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tables/table2.xml" ContentType="application/vnd.openxmlformats-officedocument.spreadsheetml.table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pi.dropbox.com/wopi/files/oid_14508346311015338752/WOPIServiceId_TP_DROPBOX_PLUS/WOPIUserId_-/"/>
    </mc:Choice>
  </mc:AlternateContent>
  <xr:revisionPtr revIDLastSave="149" documentId="13_ncr:1_{F9BF76FE-76D1-4B65-B279-0C5D51D941EF}" xr6:coauthVersionLast="47" xr6:coauthVersionMax="47" xr10:uidLastSave="{6ED0A1B2-8A5F-4ED5-8335-B7AF96629D70}"/>
  <bookViews>
    <workbookView xWindow="-120" yWindow="-120" windowWidth="29040" windowHeight="15720" tabRatio="604" activeTab="4" xr2:uid="{938A9F05-73E3-4391-B615-3DAE8962D822}"/>
  </bookViews>
  <sheets>
    <sheet name="sales report - general" sheetId="1" r:id="rId1"/>
    <sheet name="VERDE VALE H1 (MAIA)" sheetId="13" r:id="rId2"/>
    <sheet name="VERDE VALE H3 A&amp;B (MAIA)" sheetId="31" r:id="rId3"/>
    <sheet name="VERDE VALE H2 (MAIA)" sheetId="33" r:id="rId4"/>
    <sheet name="VERDE VALE H4 A&amp;B (MAIA)" sheetId="34" r:id="rId5"/>
    <sheet name="SAL D'OURO OCEAN (8)" sheetId="20" r:id="rId6"/>
    <sheet name="SAL D'OURO PARK (12,2)" sheetId="24" r:id="rId7"/>
    <sheet name="SAL D'OURO RESERVE (6)" sheetId="27" r:id="rId8"/>
    <sheet name="SAL D'OURO HORIZON (9)" sheetId="29" r:id="rId9"/>
    <sheet name="SAL D'OURO COAST (10)" sheetId="30" r:id="rId10"/>
    <sheet name="SAL D'OURO 17.2" sheetId="32" r:id="rId11"/>
    <sheet name="PANORAMA (SETUBAL)" sheetId="6" r:id="rId12"/>
    <sheet name="ELEVEN (CITY HALL)" sheetId="22" r:id="rId13"/>
    <sheet name="PARKVIEW 5" sheetId="28" r:id="rId14"/>
    <sheet name="SETUBAL SEA VIEW" sheetId="36" r:id="rId15"/>
    <sheet name="CELAS PARQUE 9 &amp; 8" sheetId="37" r:id="rId16"/>
    <sheet name="RED CLIP" sheetId="35" r:id="rId17"/>
    <sheet name="URBAN INFANTE 10 A" sheetId="26" r:id="rId18"/>
    <sheet name="URBAN INFANTE 10B" sheetId="3" r:id="rId19"/>
    <sheet name="PARKVIEW 7" sheetId="4" r:id="rId20"/>
  </sheets>
  <definedNames>
    <definedName name="_xlnm._FilterDatabase" localSheetId="15" hidden="1">'CELAS PARQUE 9 &amp; 8'!$A$1:$AU$51</definedName>
    <definedName name="_xlnm._FilterDatabase" localSheetId="12" hidden="1">'ELEVEN (CITY HALL)'!$A$1:$BE$104</definedName>
    <definedName name="_xlnm._FilterDatabase" localSheetId="11" hidden="1">'PANORAMA (SETUBAL)'!$A$1:$CA$93</definedName>
    <definedName name="_xlnm._FilterDatabase" localSheetId="13" hidden="1">'PARKVIEW 5'!$A$1:$CC$47</definedName>
    <definedName name="_xlnm._FilterDatabase" localSheetId="19" hidden="1">'PARKVIEW 7'!$A$1:$X$65</definedName>
    <definedName name="_xlnm._FilterDatabase" localSheetId="16" hidden="1">'RED CLIP'!$A$1:$BW$38</definedName>
    <definedName name="_xlnm._FilterDatabase" localSheetId="10" hidden="1">'SAL D''OURO 17.2'!$A$1:$AU$26</definedName>
    <definedName name="_xlnm._FilterDatabase" localSheetId="9" hidden="1">'SAL D''OURO COAST (10)'!$A$1:$BT$64</definedName>
    <definedName name="_xlnm._FilterDatabase" localSheetId="8" hidden="1">'SAL D''OURO HORIZON (9)'!$A$1:$BV$48</definedName>
    <definedName name="_xlnm._FilterDatabase" localSheetId="5" hidden="1">'SAL D''OURO OCEAN (8)'!$A$1:$BX$33</definedName>
    <definedName name="_xlnm._FilterDatabase" localSheetId="6" hidden="1">'SAL D''OURO PARK (12,2)'!$A$1:$CA$39</definedName>
    <definedName name="_xlnm._FilterDatabase" localSheetId="7" hidden="1">'SAL D''OURO RESERVE (6)'!$A$1:$CA$27</definedName>
    <definedName name="_xlnm._FilterDatabase" localSheetId="0" hidden="1">'sales report - general'!$A$92:$C$92</definedName>
    <definedName name="_xlnm._FilterDatabase" localSheetId="14" hidden="1">'SETUBAL SEA VIEW'!$A$1:$BB$87</definedName>
    <definedName name="_xlnm._FilterDatabase" localSheetId="18" hidden="1">'URBAN INFANTE 10B'!$A$1:$Y$71</definedName>
    <definedName name="_xlnm._FilterDatabase" localSheetId="1" hidden="1">'VERDE VALE H1 (MAIA)'!$A$1:$AY$66</definedName>
    <definedName name="_xlnm._FilterDatabase" localSheetId="3" hidden="1">'VERDE VALE H2 (MAIA)'!$A$1:$AZ$56</definedName>
    <definedName name="_xlnm._FilterDatabase" localSheetId="2" hidden="1">'VERDE VALE H3 A&amp;B (MAIA)'!$A$1:$AY$58</definedName>
    <definedName name="_xlnm._FilterDatabase" localSheetId="4" hidden="1">'VERDE VALE H4 A&amp;B (MAIA)'!$A$1:$AZ$84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" i="27" l="1"/>
  <c r="J45" i="27"/>
  <c r="H38" i="32" l="1"/>
  <c r="D31" i="32"/>
  <c r="D33" i="32"/>
  <c r="J13" i="20"/>
  <c r="S13" i="20"/>
  <c r="AB8" i="29" l="1"/>
  <c r="E32" i="27"/>
  <c r="AI77" i="6" l="1"/>
  <c r="AD77" i="6"/>
  <c r="T61" i="24" l="1"/>
  <c r="U61" i="24"/>
  <c r="AC84" i="22"/>
  <c r="T23" i="1"/>
  <c r="AE40" i="28"/>
  <c r="Z30" i="30"/>
  <c r="J30" i="30"/>
  <c r="Z15" i="30"/>
  <c r="P23" i="1" l="1"/>
  <c r="R19" i="1"/>
  <c r="AG21" i="29" l="1"/>
  <c r="AB21" i="29"/>
  <c r="AB32" i="29"/>
  <c r="AD74" i="34"/>
  <c r="T145" i="22"/>
  <c r="AG8" i="24" l="1"/>
  <c r="AB8" i="24"/>
  <c r="Z28" i="30" l="1"/>
  <c r="G51" i="32" l="1"/>
  <c r="F51" i="32"/>
  <c r="E51" i="32"/>
  <c r="D51" i="32"/>
  <c r="C51" i="32"/>
  <c r="G50" i="32"/>
  <c r="F50" i="32"/>
  <c r="E50" i="32"/>
  <c r="G47" i="32"/>
  <c r="F47" i="32"/>
  <c r="E47" i="32"/>
  <c r="G45" i="32"/>
  <c r="F45" i="32"/>
  <c r="E45" i="32"/>
  <c r="G44" i="32"/>
  <c r="F44" i="32"/>
  <c r="E44" i="32"/>
  <c r="G39" i="32"/>
  <c r="F39" i="32"/>
  <c r="E39" i="32"/>
  <c r="G38" i="32"/>
  <c r="F38" i="32"/>
  <c r="E38" i="32"/>
  <c r="G37" i="32"/>
  <c r="F37" i="32"/>
  <c r="E37" i="32"/>
  <c r="G36" i="32"/>
  <c r="F36" i="32"/>
  <c r="E36" i="32"/>
  <c r="F40" i="32" l="1"/>
  <c r="G40" i="32"/>
  <c r="E40" i="32"/>
  <c r="AC78" i="22"/>
  <c r="AD41" i="34" l="1"/>
  <c r="Z18" i="30" l="1"/>
  <c r="AD78" i="34" l="1"/>
  <c r="AD20" i="6" l="1"/>
  <c r="D80" i="36" l="1"/>
  <c r="E80" i="36"/>
  <c r="G59" i="32" l="1"/>
  <c r="F59" i="32"/>
  <c r="E59" i="32"/>
  <c r="H57" i="32"/>
  <c r="H59" i="32"/>
  <c r="H56" i="32"/>
  <c r="G57" i="32"/>
  <c r="F57" i="32"/>
  <c r="E57" i="32"/>
  <c r="G56" i="32"/>
  <c r="F56" i="32"/>
  <c r="E56" i="32"/>
  <c r="Z27" i="30" l="1"/>
  <c r="AG47" i="29" l="1"/>
  <c r="AB47" i="29"/>
  <c r="Z13" i="30"/>
  <c r="T20" i="6" l="1"/>
  <c r="AX62" i="6" l="1"/>
  <c r="AX57" i="6"/>
  <c r="AX55" i="6"/>
  <c r="AX39" i="6"/>
  <c r="AX38" i="6"/>
  <c r="AX30" i="6"/>
  <c r="AX5" i="6"/>
  <c r="Z16" i="30" l="1"/>
  <c r="AB25" i="24"/>
  <c r="AD70" i="34"/>
  <c r="AC37" i="33" l="1"/>
  <c r="AC29" i="33"/>
  <c r="AC30" i="33"/>
  <c r="Z25" i="30"/>
  <c r="AD25" i="34"/>
  <c r="R92" i="34"/>
  <c r="Q92" i="34"/>
  <c r="Q88" i="34"/>
  <c r="AB4" i="29" l="1"/>
  <c r="Z54" i="30"/>
  <c r="Z24" i="30" l="1"/>
  <c r="AB13" i="24"/>
  <c r="K30" i="35"/>
  <c r="K3" i="35"/>
  <c r="K4" i="35"/>
  <c r="K5" i="35"/>
  <c r="K6" i="35"/>
  <c r="K7" i="35"/>
  <c r="K8" i="35"/>
  <c r="K9" i="35"/>
  <c r="K10" i="35"/>
  <c r="K11" i="35"/>
  <c r="K12" i="35"/>
  <c r="K13" i="35"/>
  <c r="K14" i="35"/>
  <c r="K15" i="35"/>
  <c r="K16" i="35"/>
  <c r="K17" i="35"/>
  <c r="K18" i="35"/>
  <c r="K19" i="35"/>
  <c r="K20" i="35"/>
  <c r="K21" i="35"/>
  <c r="K22" i="35"/>
  <c r="K23" i="35"/>
  <c r="K24" i="35"/>
  <c r="K25" i="35"/>
  <c r="K26" i="35"/>
  <c r="K27" i="35"/>
  <c r="K28" i="35"/>
  <c r="K29" i="35"/>
  <c r="K31" i="35"/>
  <c r="K2" i="35"/>
  <c r="AB4" i="24"/>
  <c r="Z40" i="30" l="1"/>
  <c r="P31" i="30"/>
  <c r="AE31" i="30" s="1"/>
  <c r="AA25" i="27"/>
  <c r="Z34" i="30"/>
  <c r="Z10" i="30"/>
  <c r="Z31" i="30" l="1"/>
  <c r="AA5" i="27"/>
  <c r="AE36" i="30" l="1"/>
  <c r="Z46" i="30" l="1"/>
  <c r="Z45" i="30"/>
  <c r="Z33" i="30"/>
  <c r="AE60" i="30"/>
  <c r="Z60" i="30"/>
  <c r="AG14" i="24" l="1"/>
  <c r="AB14" i="24"/>
  <c r="AD14" i="34"/>
  <c r="AI14" i="34"/>
  <c r="R65" i="36"/>
  <c r="R56" i="36"/>
  <c r="J46" i="29" l="1"/>
  <c r="AB5" i="24" l="1"/>
  <c r="P25" i="27" l="1"/>
  <c r="AC38" i="33"/>
  <c r="Z37" i="30"/>
  <c r="AD4" i="34" l="1"/>
  <c r="AE31" i="28"/>
  <c r="F73" i="36" l="1"/>
  <c r="M74" i="36" s="1"/>
  <c r="R19" i="24" l="1"/>
  <c r="Q13" i="24"/>
  <c r="Q14" i="24"/>
  <c r="AE85" i="6" l="1"/>
  <c r="N63" i="37" l="1"/>
  <c r="AB30" i="24" l="1"/>
  <c r="W84" i="22"/>
  <c r="J26" i="27"/>
  <c r="W5" i="28" l="1"/>
  <c r="W31" i="28"/>
  <c r="W40" i="28"/>
  <c r="D47" i="28"/>
  <c r="AD51" i="34" l="1"/>
  <c r="AD46" i="34"/>
  <c r="AD24" i="34"/>
  <c r="E63" i="37" l="1"/>
  <c r="E61" i="37"/>
  <c r="D63" i="37"/>
  <c r="C63" i="37"/>
  <c r="C61" i="37"/>
  <c r="E60" i="37"/>
  <c r="D61" i="37"/>
  <c r="C60" i="37"/>
  <c r="D60" i="37"/>
  <c r="C48" i="37"/>
  <c r="H99" i="36"/>
  <c r="H97" i="36"/>
  <c r="H96" i="36"/>
  <c r="C99" i="36"/>
  <c r="D99" i="36"/>
  <c r="E99" i="36"/>
  <c r="F99" i="36"/>
  <c r="G99" i="36"/>
  <c r="C97" i="36"/>
  <c r="G97" i="36"/>
  <c r="F97" i="36"/>
  <c r="E97" i="36"/>
  <c r="D97" i="36"/>
  <c r="G96" i="36"/>
  <c r="F96" i="36"/>
  <c r="E96" i="36"/>
  <c r="D96" i="36"/>
  <c r="C96" i="36"/>
  <c r="H93" i="36"/>
  <c r="C93" i="36"/>
  <c r="H91" i="36"/>
  <c r="H90" i="36"/>
  <c r="G93" i="36"/>
  <c r="F93" i="36"/>
  <c r="E93" i="36"/>
  <c r="D93" i="36"/>
  <c r="C90" i="36"/>
  <c r="C91" i="36"/>
  <c r="G91" i="36"/>
  <c r="F91" i="36"/>
  <c r="E91" i="36"/>
  <c r="D91" i="36"/>
  <c r="G90" i="36"/>
  <c r="F90" i="36"/>
  <c r="E90" i="36"/>
  <c r="D90" i="36"/>
  <c r="C83" i="36"/>
  <c r="C78" i="36"/>
  <c r="E77" i="36"/>
  <c r="D77" i="36"/>
  <c r="C77" i="36"/>
  <c r="E76" i="36"/>
  <c r="C76" i="36"/>
  <c r="L18" i="1" l="1"/>
  <c r="K18" i="1"/>
  <c r="J18" i="1"/>
  <c r="G18" i="1"/>
  <c r="E18" i="1"/>
  <c r="C18" i="1"/>
  <c r="D42" i="37"/>
  <c r="C42" i="37"/>
  <c r="K3" i="37"/>
  <c r="K4" i="37"/>
  <c r="K5" i="37"/>
  <c r="K6" i="37"/>
  <c r="K7" i="37"/>
  <c r="K8" i="37"/>
  <c r="K9" i="37"/>
  <c r="K10" i="37"/>
  <c r="K11" i="37"/>
  <c r="K12" i="37"/>
  <c r="K13" i="37"/>
  <c r="K14" i="37"/>
  <c r="K15" i="37"/>
  <c r="K16" i="37"/>
  <c r="K17" i="37"/>
  <c r="K18" i="37"/>
  <c r="K19" i="37"/>
  <c r="K20" i="37"/>
  <c r="K21" i="37"/>
  <c r="K22" i="37"/>
  <c r="K23" i="37"/>
  <c r="K24" i="37"/>
  <c r="K25" i="37"/>
  <c r="K26" i="37"/>
  <c r="K27" i="37"/>
  <c r="K28" i="37"/>
  <c r="K29" i="37"/>
  <c r="K2" i="37"/>
  <c r="C62" i="37" l="1"/>
  <c r="E62" i="37"/>
  <c r="D62" i="37"/>
  <c r="E57" i="37" l="1"/>
  <c r="D57" i="37"/>
  <c r="C57" i="37"/>
  <c r="D55" i="37"/>
  <c r="C55" i="37"/>
  <c r="R50" i="37"/>
  <c r="Q50" i="37" a="1"/>
  <c r="Q50" i="37" s="1"/>
  <c r="E54" i="37"/>
  <c r="J19" i="1" s="1"/>
  <c r="D54" i="37"/>
  <c r="C54" i="37"/>
  <c r="R49" i="37"/>
  <c r="Q49" i="37" a="1"/>
  <c r="Q49" i="37" s="1"/>
  <c r="R48" i="37"/>
  <c r="Q48" i="37" a="1"/>
  <c r="Q48" i="37" s="1"/>
  <c r="R47" i="37"/>
  <c r="Q47" i="37" a="1"/>
  <c r="Q47" i="37" s="1"/>
  <c r="E51" i="37"/>
  <c r="D51" i="37"/>
  <c r="C51" i="37"/>
  <c r="R46" i="37"/>
  <c r="Q46" i="37" a="1"/>
  <c r="Q46" i="37" s="1"/>
  <c r="L46" i="37"/>
  <c r="K46" i="37" a="1"/>
  <c r="K46" i="37" s="1"/>
  <c r="R45" i="37"/>
  <c r="Q45" i="37" a="1"/>
  <c r="Q45" i="37" s="1"/>
  <c r="L45" i="37"/>
  <c r="K45" i="37" a="1"/>
  <c r="K45" i="37" s="1"/>
  <c r="D49" i="37"/>
  <c r="R44" i="37"/>
  <c r="Q44" i="37" a="1"/>
  <c r="Q44" i="37" s="1"/>
  <c r="L44" i="37"/>
  <c r="K44" i="37" a="1"/>
  <c r="K44" i="37" s="1"/>
  <c r="E48" i="37"/>
  <c r="D48" i="37"/>
  <c r="AF46" i="37"/>
  <c r="AF47" i="37" s="1"/>
  <c r="C43" i="37"/>
  <c r="C41" i="37"/>
  <c r="C40" i="37"/>
  <c r="V38" i="37"/>
  <c r="U38" i="37"/>
  <c r="T38" i="37"/>
  <c r="S38" i="37"/>
  <c r="Q38" i="37"/>
  <c r="P38" i="37"/>
  <c r="O38" i="37"/>
  <c r="N38" i="37"/>
  <c r="M38" i="37"/>
  <c r="L38" i="37"/>
  <c r="K38" i="37"/>
  <c r="J38" i="37"/>
  <c r="E36" i="37"/>
  <c r="M19" i="1" s="1"/>
  <c r="D36" i="37"/>
  <c r="C36" i="37"/>
  <c r="F19" i="1" s="1"/>
  <c r="V35" i="37"/>
  <c r="U35" i="37"/>
  <c r="T35" i="37"/>
  <c r="S35" i="37"/>
  <c r="Q35" i="37"/>
  <c r="P35" i="37"/>
  <c r="O35" i="37"/>
  <c r="N35" i="37"/>
  <c r="M35" i="37"/>
  <c r="L35" i="37"/>
  <c r="K35" i="37"/>
  <c r="J35" i="37"/>
  <c r="H35" i="37"/>
  <c r="C35" i="37"/>
  <c r="G19" i="1" s="1"/>
  <c r="H34" i="37"/>
  <c r="C34" i="37"/>
  <c r="E19" i="1" s="1"/>
  <c r="H33" i="37"/>
  <c r="E33" i="37"/>
  <c r="K19" i="1" s="1"/>
  <c r="D33" i="37"/>
  <c r="H19" i="1" s="1"/>
  <c r="C33" i="37"/>
  <c r="C19" i="1" s="1"/>
  <c r="R31" i="37"/>
  <c r="S29" i="37"/>
  <c r="Q29" i="37"/>
  <c r="V29" i="37"/>
  <c r="V28" i="37"/>
  <c r="T28" i="37"/>
  <c r="S28" i="37"/>
  <c r="Q28" i="37"/>
  <c r="S27" i="37"/>
  <c r="Q27" i="37"/>
  <c r="V27" i="37"/>
  <c r="S26" i="37"/>
  <c r="Q26" i="37"/>
  <c r="V26" i="37"/>
  <c r="S25" i="37"/>
  <c r="Q25" i="37"/>
  <c r="U25" i="37" s="1"/>
  <c r="S24" i="37"/>
  <c r="Q24" i="37"/>
  <c r="V24" i="37"/>
  <c r="S23" i="37"/>
  <c r="Q23" i="37"/>
  <c r="V23" i="37"/>
  <c r="S22" i="37"/>
  <c r="Q22" i="37"/>
  <c r="D34" i="37" s="1"/>
  <c r="T22" i="37"/>
  <c r="S21" i="37"/>
  <c r="Q21" i="37"/>
  <c r="V21" i="37"/>
  <c r="S20" i="37"/>
  <c r="Q20" i="37"/>
  <c r="V20" i="37"/>
  <c r="T19" i="37"/>
  <c r="S19" i="37"/>
  <c r="Q19" i="37"/>
  <c r="U19" i="37" s="1"/>
  <c r="V19" i="37"/>
  <c r="V18" i="37"/>
  <c r="T18" i="37"/>
  <c r="S18" i="37"/>
  <c r="Q18" i="37"/>
  <c r="S17" i="37"/>
  <c r="Q17" i="37"/>
  <c r="T17" i="37"/>
  <c r="S16" i="37"/>
  <c r="Q16" i="37"/>
  <c r="U16" i="37" s="1"/>
  <c r="T16" i="37"/>
  <c r="V15" i="37"/>
  <c r="T15" i="37"/>
  <c r="S15" i="37"/>
  <c r="Q15" i="37"/>
  <c r="S14" i="37"/>
  <c r="Q14" i="37"/>
  <c r="T14" i="37"/>
  <c r="S13" i="37"/>
  <c r="Q13" i="37"/>
  <c r="V13" i="37"/>
  <c r="T12" i="37"/>
  <c r="S12" i="37"/>
  <c r="Q12" i="37"/>
  <c r="U12" i="37" s="1"/>
  <c r="V12" i="37"/>
  <c r="S11" i="37"/>
  <c r="Q11" i="37"/>
  <c r="V11" i="37"/>
  <c r="T10" i="37"/>
  <c r="S10" i="37"/>
  <c r="Q10" i="37"/>
  <c r="U10" i="37" s="1"/>
  <c r="V10" i="37"/>
  <c r="S9" i="37"/>
  <c r="Q9" i="37"/>
  <c r="U9" i="37" s="1"/>
  <c r="V9" i="37"/>
  <c r="S8" i="37"/>
  <c r="Q8" i="37"/>
  <c r="V8" i="37"/>
  <c r="T7" i="37"/>
  <c r="S7" i="37"/>
  <c r="Q7" i="37"/>
  <c r="U7" i="37" s="1"/>
  <c r="V7" i="37"/>
  <c r="V6" i="37"/>
  <c r="S6" i="37"/>
  <c r="Q6" i="37"/>
  <c r="U6" i="37" s="1"/>
  <c r="T6" i="37"/>
  <c r="V5" i="37"/>
  <c r="S5" i="37"/>
  <c r="Q5" i="37"/>
  <c r="T5" i="37"/>
  <c r="T4" i="37"/>
  <c r="S4" i="37"/>
  <c r="Q4" i="37"/>
  <c r="V4" i="37"/>
  <c r="S3" i="37"/>
  <c r="Q3" i="37"/>
  <c r="V3" i="37"/>
  <c r="V2" i="37"/>
  <c r="S2" i="37"/>
  <c r="Q2" i="37"/>
  <c r="T2" i="37"/>
  <c r="R3" i="36"/>
  <c r="R4" i="36"/>
  <c r="R5" i="36"/>
  <c r="R6" i="36"/>
  <c r="R7" i="36"/>
  <c r="R8" i="36"/>
  <c r="R9" i="36"/>
  <c r="R10" i="36"/>
  <c r="R11" i="36"/>
  <c r="R12" i="36"/>
  <c r="R13" i="36"/>
  <c r="R14" i="36"/>
  <c r="R15" i="36"/>
  <c r="R16" i="36"/>
  <c r="R17" i="36"/>
  <c r="R18" i="36"/>
  <c r="R19" i="36"/>
  <c r="R20" i="36"/>
  <c r="R21" i="36"/>
  <c r="R22" i="36"/>
  <c r="R23" i="36"/>
  <c r="R24" i="36"/>
  <c r="R25" i="36"/>
  <c r="R26" i="36"/>
  <c r="R27" i="36"/>
  <c r="R28" i="36"/>
  <c r="R29" i="36"/>
  <c r="R30" i="36"/>
  <c r="R31" i="36"/>
  <c r="R32" i="36"/>
  <c r="R33" i="36"/>
  <c r="R34" i="36"/>
  <c r="R35" i="36"/>
  <c r="R36" i="36"/>
  <c r="R37" i="36"/>
  <c r="R38" i="36"/>
  <c r="R39" i="36"/>
  <c r="R40" i="36"/>
  <c r="R41" i="36"/>
  <c r="R42" i="36"/>
  <c r="R43" i="36"/>
  <c r="R44" i="36"/>
  <c r="R45" i="36"/>
  <c r="R46" i="36"/>
  <c r="R47" i="36"/>
  <c r="R48" i="36"/>
  <c r="R49" i="36"/>
  <c r="R50" i="36"/>
  <c r="R51" i="36"/>
  <c r="R52" i="36"/>
  <c r="R53" i="36"/>
  <c r="R54" i="36"/>
  <c r="R55" i="36"/>
  <c r="R57" i="36"/>
  <c r="R58" i="36"/>
  <c r="R59" i="36"/>
  <c r="R60" i="36"/>
  <c r="R61" i="36"/>
  <c r="R62" i="36"/>
  <c r="R63" i="36"/>
  <c r="R64" i="36"/>
  <c r="R66" i="36"/>
  <c r="R67" i="36"/>
  <c r="R68" i="36"/>
  <c r="R69" i="36"/>
  <c r="R70" i="36"/>
  <c r="R71" i="36"/>
  <c r="R72" i="36"/>
  <c r="R2" i="36"/>
  <c r="G86" i="36"/>
  <c r="G85" i="36"/>
  <c r="G84" i="36"/>
  <c r="G83" i="36"/>
  <c r="F83" i="36"/>
  <c r="J3" i="36"/>
  <c r="J4" i="36"/>
  <c r="W4" i="36" s="1"/>
  <c r="J5" i="36"/>
  <c r="W5" i="36" s="1"/>
  <c r="J6" i="36"/>
  <c r="W6" i="36" s="1"/>
  <c r="J7" i="36"/>
  <c r="J8" i="36"/>
  <c r="J9" i="36"/>
  <c r="W9" i="36" s="1"/>
  <c r="J10" i="36"/>
  <c r="W10" i="36" s="1"/>
  <c r="J11" i="36"/>
  <c r="W11" i="36" s="1"/>
  <c r="J12" i="36"/>
  <c r="W12" i="36" s="1"/>
  <c r="J13" i="36"/>
  <c r="W13" i="36" s="1"/>
  <c r="J14" i="36"/>
  <c r="J15" i="36"/>
  <c r="J16" i="36"/>
  <c r="W16" i="36" s="1"/>
  <c r="J17" i="36"/>
  <c r="W17" i="36" s="1"/>
  <c r="J18" i="36"/>
  <c r="W18" i="36" s="1"/>
  <c r="J19" i="36"/>
  <c r="W19" i="36" s="1"/>
  <c r="J20" i="36"/>
  <c r="W20" i="36" s="1"/>
  <c r="J21" i="36"/>
  <c r="W21" i="36" s="1"/>
  <c r="J22" i="36"/>
  <c r="W22" i="36" s="1"/>
  <c r="J23" i="36"/>
  <c r="J24" i="36"/>
  <c r="J25" i="36"/>
  <c r="W25" i="36" s="1"/>
  <c r="J26" i="36"/>
  <c r="W26" i="36" s="1"/>
  <c r="J27" i="36"/>
  <c r="W27" i="36" s="1"/>
  <c r="J28" i="36"/>
  <c r="W28" i="36" s="1"/>
  <c r="J29" i="36"/>
  <c r="W29" i="36" s="1"/>
  <c r="J30" i="36"/>
  <c r="W30" i="36" s="1"/>
  <c r="J31" i="36"/>
  <c r="W31" i="36" s="1"/>
  <c r="J32" i="36"/>
  <c r="W32" i="36" s="1"/>
  <c r="J33" i="36"/>
  <c r="W33" i="36" s="1"/>
  <c r="J34" i="36"/>
  <c r="W34" i="36" s="1"/>
  <c r="J35" i="36"/>
  <c r="W35" i="36" s="1"/>
  <c r="J36" i="36"/>
  <c r="W36" i="36" s="1"/>
  <c r="J37" i="36"/>
  <c r="W37" i="36" s="1"/>
  <c r="J38" i="36"/>
  <c r="W38" i="36" s="1"/>
  <c r="J39" i="36"/>
  <c r="J40" i="36"/>
  <c r="J41" i="36"/>
  <c r="W41" i="36" s="1"/>
  <c r="J42" i="36"/>
  <c r="W42" i="36" s="1"/>
  <c r="J43" i="36"/>
  <c r="W43" i="36" s="1"/>
  <c r="J44" i="36"/>
  <c r="W44" i="36" s="1"/>
  <c r="J45" i="36"/>
  <c r="W45" i="36" s="1"/>
  <c r="J46" i="36"/>
  <c r="W46" i="36" s="1"/>
  <c r="J47" i="36"/>
  <c r="W47" i="36" s="1"/>
  <c r="J48" i="36"/>
  <c r="W48" i="36" s="1"/>
  <c r="J49" i="36"/>
  <c r="J50" i="36"/>
  <c r="W50" i="36" s="1"/>
  <c r="J51" i="36"/>
  <c r="W51" i="36" s="1"/>
  <c r="J52" i="36"/>
  <c r="W52" i="36" s="1"/>
  <c r="J53" i="36"/>
  <c r="W53" i="36" s="1"/>
  <c r="J54" i="36"/>
  <c r="W54" i="36" s="1"/>
  <c r="J55" i="36"/>
  <c r="J56" i="36"/>
  <c r="W56" i="36" s="1"/>
  <c r="J57" i="36"/>
  <c r="W57" i="36" s="1"/>
  <c r="J58" i="36"/>
  <c r="W58" i="36" s="1"/>
  <c r="J59" i="36"/>
  <c r="W59" i="36" s="1"/>
  <c r="J60" i="36"/>
  <c r="W60" i="36" s="1"/>
  <c r="J61" i="36"/>
  <c r="W61" i="36" s="1"/>
  <c r="J62" i="36"/>
  <c r="W62" i="36" s="1"/>
  <c r="J63" i="36"/>
  <c r="W63" i="36" s="1"/>
  <c r="J64" i="36"/>
  <c r="W64" i="36" s="1"/>
  <c r="J65" i="36"/>
  <c r="W65" i="36" s="1"/>
  <c r="J66" i="36"/>
  <c r="W66" i="36" s="1"/>
  <c r="J67" i="36"/>
  <c r="W67" i="36" s="1"/>
  <c r="J68" i="36"/>
  <c r="W68" i="36" s="1"/>
  <c r="J69" i="36"/>
  <c r="W69" i="36" s="1"/>
  <c r="J70" i="36"/>
  <c r="W70" i="36" s="1"/>
  <c r="J71" i="36"/>
  <c r="W71" i="36" s="1"/>
  <c r="J72" i="36"/>
  <c r="J2" i="36"/>
  <c r="G92" i="36" l="1"/>
  <c r="H98" i="36"/>
  <c r="W2" i="36"/>
  <c r="D98" i="36"/>
  <c r="V72" i="36"/>
  <c r="V40" i="36"/>
  <c r="C92" i="36"/>
  <c r="D92" i="36"/>
  <c r="H92" i="36"/>
  <c r="D78" i="36"/>
  <c r="W14" i="36"/>
  <c r="F98" i="36"/>
  <c r="W3" i="36"/>
  <c r="C98" i="36"/>
  <c r="V63" i="36"/>
  <c r="E92" i="36"/>
  <c r="E103" i="36" s="1"/>
  <c r="F92" i="36"/>
  <c r="W15" i="36"/>
  <c r="E98" i="36"/>
  <c r="W49" i="36"/>
  <c r="G98" i="36"/>
  <c r="D35" i="37"/>
  <c r="D37" i="37" s="1"/>
  <c r="I19" i="1" s="1"/>
  <c r="V16" i="37"/>
  <c r="T20" i="37"/>
  <c r="T25" i="37"/>
  <c r="T29" i="37"/>
  <c r="U4" i="37"/>
  <c r="U20" i="37"/>
  <c r="V25" i="37"/>
  <c r="U17" i="37"/>
  <c r="V17" i="37"/>
  <c r="U29" i="37"/>
  <c r="T9" i="37"/>
  <c r="V22" i="37"/>
  <c r="U3" i="37"/>
  <c r="U13" i="37"/>
  <c r="U23" i="37"/>
  <c r="U26" i="37"/>
  <c r="T3" i="37"/>
  <c r="T13" i="37"/>
  <c r="T23" i="37"/>
  <c r="T26" i="37"/>
  <c r="D56" i="37"/>
  <c r="M46" i="37"/>
  <c r="U14" i="37"/>
  <c r="U24" i="37"/>
  <c r="U27" i="37"/>
  <c r="U8" i="37"/>
  <c r="D50" i="37" s="1"/>
  <c r="U11" i="37"/>
  <c r="V14" i="37"/>
  <c r="W31" i="37" s="1"/>
  <c r="U21" i="37"/>
  <c r="T24" i="37"/>
  <c r="T27" i="37"/>
  <c r="U5" i="37"/>
  <c r="T8" i="37"/>
  <c r="T11" i="37"/>
  <c r="U15" i="37"/>
  <c r="U18" i="37"/>
  <c r="T21" i="37"/>
  <c r="U28" i="37"/>
  <c r="C49" i="37" s="1"/>
  <c r="K30" i="37"/>
  <c r="E43" i="37"/>
  <c r="E41" i="37"/>
  <c r="M44" i="37"/>
  <c r="E42" i="37"/>
  <c r="E40" i="37"/>
  <c r="M45" i="37"/>
  <c r="U2" i="37"/>
  <c r="C37" i="37"/>
  <c r="C44" i="37"/>
  <c r="E55" i="37"/>
  <c r="C56" i="37"/>
  <c r="Q31" i="37"/>
  <c r="U22" i="37"/>
  <c r="E56" i="37"/>
  <c r="V41" i="36"/>
  <c r="V24" i="36"/>
  <c r="V8" i="36"/>
  <c r="V23" i="36"/>
  <c r="V39" i="36"/>
  <c r="V65" i="36"/>
  <c r="V49" i="36"/>
  <c r="V33" i="36"/>
  <c r="V17" i="36"/>
  <c r="V58" i="36"/>
  <c r="V59" i="36"/>
  <c r="V64" i="36"/>
  <c r="V48" i="36"/>
  <c r="V32" i="36"/>
  <c r="V16" i="36"/>
  <c r="V57" i="36"/>
  <c r="V47" i="36"/>
  <c r="V31" i="36"/>
  <c r="V15" i="36"/>
  <c r="V43" i="36"/>
  <c r="V62" i="36"/>
  <c r="V46" i="36"/>
  <c r="V30" i="36"/>
  <c r="V14" i="36"/>
  <c r="V42" i="36"/>
  <c r="V61" i="36"/>
  <c r="V45" i="36"/>
  <c r="V29" i="36"/>
  <c r="V13" i="36"/>
  <c r="V60" i="36"/>
  <c r="V44" i="36"/>
  <c r="V28" i="36"/>
  <c r="V12" i="36"/>
  <c r="V27" i="36"/>
  <c r="V11" i="36"/>
  <c r="V26" i="36"/>
  <c r="V10" i="36"/>
  <c r="V55" i="36"/>
  <c r="V2" i="36"/>
  <c r="V25" i="36"/>
  <c r="V9" i="36"/>
  <c r="V7" i="36"/>
  <c r="V68" i="36"/>
  <c r="V52" i="36"/>
  <c r="V36" i="36"/>
  <c r="V20" i="36"/>
  <c r="V4" i="36"/>
  <c r="V67" i="36"/>
  <c r="V51" i="36"/>
  <c r="V35" i="36"/>
  <c r="V19" i="36"/>
  <c r="V3" i="36"/>
  <c r="V66" i="36"/>
  <c r="V50" i="36"/>
  <c r="V34" i="36"/>
  <c r="V18" i="36"/>
  <c r="V56" i="36"/>
  <c r="V71" i="36"/>
  <c r="V70" i="36"/>
  <c r="V54" i="36"/>
  <c r="V38" i="36"/>
  <c r="V22" i="36"/>
  <c r="V6" i="36"/>
  <c r="V69" i="36"/>
  <c r="V53" i="36"/>
  <c r="V37" i="36"/>
  <c r="V21" i="36"/>
  <c r="V5" i="36"/>
  <c r="W72" i="36"/>
  <c r="W40" i="36"/>
  <c r="W24" i="36"/>
  <c r="W8" i="36"/>
  <c r="W55" i="36"/>
  <c r="W39" i="36"/>
  <c r="W23" i="36"/>
  <c r="W7" i="36"/>
  <c r="G87" i="36"/>
  <c r="U86" i="36"/>
  <c r="T86" i="36"/>
  <c r="S86" i="36"/>
  <c r="R86" i="36"/>
  <c r="Q86" i="36"/>
  <c r="P86" i="36"/>
  <c r="O86" i="36"/>
  <c r="N86" i="36"/>
  <c r="M86" i="36"/>
  <c r="L86" i="36"/>
  <c r="K86" i="36"/>
  <c r="J86" i="36"/>
  <c r="U82" i="36"/>
  <c r="T82" i="36"/>
  <c r="S82" i="36"/>
  <c r="R82" i="36"/>
  <c r="Q82" i="36"/>
  <c r="P82" i="36"/>
  <c r="O82" i="36"/>
  <c r="N82" i="36"/>
  <c r="M82" i="36"/>
  <c r="L82" i="36"/>
  <c r="K82" i="36"/>
  <c r="J82" i="36"/>
  <c r="U78" i="36"/>
  <c r="T78" i="36"/>
  <c r="S78" i="36"/>
  <c r="R78" i="36"/>
  <c r="Q78" i="36"/>
  <c r="P78" i="36"/>
  <c r="O78" i="36"/>
  <c r="N78" i="36"/>
  <c r="M78" i="36"/>
  <c r="L78" i="36"/>
  <c r="K78" i="36"/>
  <c r="J78" i="36"/>
  <c r="F86" i="36"/>
  <c r="E86" i="36"/>
  <c r="D86" i="36"/>
  <c r="C86" i="36"/>
  <c r="F85" i="36"/>
  <c r="E85" i="36"/>
  <c r="D85" i="36"/>
  <c r="C85" i="36"/>
  <c r="F84" i="36"/>
  <c r="E84" i="36"/>
  <c r="D84" i="36"/>
  <c r="C84" i="36"/>
  <c r="E83" i="36"/>
  <c r="D83" i="36"/>
  <c r="E79" i="36"/>
  <c r="M18" i="1" s="1"/>
  <c r="D79" i="36"/>
  <c r="C79" i="36"/>
  <c r="F18" i="1" s="1"/>
  <c r="H78" i="36"/>
  <c r="H77" i="36"/>
  <c r="H76" i="36"/>
  <c r="Q18" i="1" s="1"/>
  <c r="R18" i="1" s="1"/>
  <c r="H73" i="36"/>
  <c r="I73" i="36"/>
  <c r="J73" i="36"/>
  <c r="D103" i="36" l="1"/>
  <c r="G103" i="36"/>
  <c r="C103" i="36"/>
  <c r="F103" i="36"/>
  <c r="H37" i="37"/>
  <c r="D19" i="1" s="1"/>
  <c r="B19" i="1"/>
  <c r="E78" i="36"/>
  <c r="C50" i="37"/>
  <c r="E37" i="37"/>
  <c r="E44" i="37"/>
  <c r="E35" i="37"/>
  <c r="V31" i="37"/>
  <c r="E50" i="37"/>
  <c r="E34" i="37"/>
  <c r="L19" i="1" s="1"/>
  <c r="E49" i="37"/>
  <c r="H86" i="36"/>
  <c r="H83" i="36"/>
  <c r="H85" i="36"/>
  <c r="H84" i="36"/>
  <c r="C87" i="36"/>
  <c r="D87" i="36"/>
  <c r="E87" i="36"/>
  <c r="F87" i="36"/>
  <c r="C80" i="36"/>
  <c r="G73" i="36"/>
  <c r="L74" i="36" s="1"/>
  <c r="D76" i="36"/>
  <c r="H18" i="1" l="1"/>
  <c r="H87" i="36"/>
  <c r="H79" i="36"/>
  <c r="B18" i="1"/>
  <c r="D18" i="1" s="1"/>
  <c r="I18" i="1" l="1"/>
  <c r="AB52" i="30" l="1"/>
  <c r="Z52" i="30"/>
  <c r="AJ125" i="22" l="1"/>
  <c r="AJ24" i="28" l="1"/>
  <c r="AE24" i="28"/>
  <c r="AJ4" i="28"/>
  <c r="AE4" i="28"/>
  <c r="U74" i="32" l="1"/>
  <c r="U73" i="32"/>
  <c r="U75" i="32" s="1"/>
  <c r="U76" i="32" s="1"/>
  <c r="J3" i="28" l="1"/>
  <c r="J4" i="28"/>
  <c r="AB4" i="28" s="1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AB24" i="28" s="1"/>
  <c r="J25" i="28"/>
  <c r="J26" i="28"/>
  <c r="Z26" i="28" s="1"/>
  <c r="J27" i="28"/>
  <c r="J28" i="28"/>
  <c r="J29" i="28"/>
  <c r="J30" i="28"/>
  <c r="J31" i="28"/>
  <c r="J32" i="28"/>
  <c r="J33" i="28"/>
  <c r="J34" i="28"/>
  <c r="J35" i="28"/>
  <c r="J36" i="28"/>
  <c r="J37" i="28"/>
  <c r="J38" i="28"/>
  <c r="J39" i="28"/>
  <c r="J40" i="28"/>
  <c r="AB40" i="28" s="1"/>
  <c r="J2" i="28"/>
  <c r="AE26" i="28"/>
  <c r="AJ26" i="28"/>
  <c r="Z49" i="30"/>
  <c r="AB31" i="24" l="1"/>
  <c r="AB22" i="24"/>
  <c r="U40" i="28"/>
  <c r="U39" i="28"/>
  <c r="U38" i="28"/>
  <c r="U37" i="28"/>
  <c r="U36" i="28"/>
  <c r="U34" i="28"/>
  <c r="U33" i="28"/>
  <c r="U32" i="28"/>
  <c r="U31" i="28"/>
  <c r="U30" i="28"/>
  <c r="U29" i="28"/>
  <c r="U27" i="28"/>
  <c r="U26" i="28"/>
  <c r="V25" i="28"/>
  <c r="U24" i="28"/>
  <c r="U23" i="28"/>
  <c r="V22" i="28"/>
  <c r="U21" i="28"/>
  <c r="V20" i="28"/>
  <c r="U18" i="28"/>
  <c r="U12" i="28"/>
  <c r="U10" i="28"/>
  <c r="V6" i="28"/>
  <c r="U5" i="28"/>
  <c r="U4" i="28"/>
  <c r="U2" i="28"/>
  <c r="J54" i="34"/>
  <c r="T3" i="34" l="1"/>
  <c r="T2" i="34"/>
  <c r="AD31" i="34" l="1"/>
  <c r="Z12" i="30"/>
  <c r="S12" i="30"/>
  <c r="AG18" i="29"/>
  <c r="AB18" i="29"/>
  <c r="AB40" i="29"/>
  <c r="AI56" i="6"/>
  <c r="AD56" i="6"/>
  <c r="AD41" i="6"/>
  <c r="AI5" i="6"/>
  <c r="AG73" i="6"/>
  <c r="AI46" i="6"/>
  <c r="Z5" i="30"/>
  <c r="J25" i="30"/>
  <c r="T25" i="30" s="1"/>
  <c r="J23" i="30"/>
  <c r="V23" i="30" s="1"/>
  <c r="Z20" i="30"/>
  <c r="AJ12" i="28"/>
  <c r="AG12" i="28"/>
  <c r="Z19" i="30"/>
  <c r="Z41" i="30"/>
  <c r="L76" i="20"/>
  <c r="L75" i="20"/>
  <c r="L74" i="20"/>
  <c r="AC75" i="22"/>
  <c r="AB23" i="29"/>
  <c r="AH34" i="13"/>
  <c r="AD43" i="34"/>
  <c r="AD17" i="34"/>
  <c r="AB9" i="24"/>
  <c r="AE27" i="22"/>
  <c r="AC27" i="22"/>
  <c r="Z58" i="30"/>
  <c r="Z53" i="30"/>
  <c r="W4" i="34"/>
  <c r="Z57" i="30"/>
  <c r="AF16" i="34"/>
  <c r="AH16" i="34" s="1"/>
  <c r="AD16" i="34"/>
  <c r="AI51" i="6"/>
  <c r="AE57" i="30"/>
  <c r="AD23" i="34"/>
  <c r="O72" i="30"/>
  <c r="G38" i="1" s="1"/>
  <c r="D91" i="30"/>
  <c r="J21" i="29"/>
  <c r="X21" i="29" s="1"/>
  <c r="R4" i="24"/>
  <c r="D43" i="24" s="1"/>
  <c r="R5" i="24"/>
  <c r="R8" i="24"/>
  <c r="R13" i="24"/>
  <c r="R14" i="24"/>
  <c r="R25" i="24"/>
  <c r="V25" i="24" s="1"/>
  <c r="Q4" i="24"/>
  <c r="Q5" i="24"/>
  <c r="Q8" i="24"/>
  <c r="Q25" i="24"/>
  <c r="R6" i="24"/>
  <c r="AB6" i="24" s="1"/>
  <c r="R7" i="24"/>
  <c r="V7" i="24" s="1"/>
  <c r="R9" i="24"/>
  <c r="Q9" i="24" s="1"/>
  <c r="AD35" i="34"/>
  <c r="AJ18" i="28"/>
  <c r="AE18" i="28"/>
  <c r="AI62" i="34"/>
  <c r="AE51" i="30"/>
  <c r="AI57" i="34"/>
  <c r="AD57" i="34"/>
  <c r="AD62" i="34"/>
  <c r="AI15" i="34"/>
  <c r="AD15" i="34"/>
  <c r="J30" i="29"/>
  <c r="V30" i="29" s="1"/>
  <c r="P98" i="6"/>
  <c r="B73" i="1" s="1"/>
  <c r="Q98" i="6"/>
  <c r="P99" i="6"/>
  <c r="Q99" i="6"/>
  <c r="P100" i="6"/>
  <c r="F73" i="1" s="1"/>
  <c r="Q100" i="6"/>
  <c r="P101" i="6"/>
  <c r="H73" i="1" s="1"/>
  <c r="H89" i="1" s="1"/>
  <c r="B108" i="1" s="1"/>
  <c r="Q101" i="6"/>
  <c r="P102" i="6"/>
  <c r="I73" i="1" s="1"/>
  <c r="I89" i="1" s="1"/>
  <c r="B109" i="1" s="1"/>
  <c r="Q102" i="6"/>
  <c r="P103" i="6"/>
  <c r="J73" i="1" s="1"/>
  <c r="J89" i="1" s="1"/>
  <c r="B110" i="1" s="1"/>
  <c r="Q103" i="6"/>
  <c r="P104" i="6"/>
  <c r="K73" i="1" s="1"/>
  <c r="K89" i="1" s="1"/>
  <c r="B104" i="1" s="1"/>
  <c r="Q104" i="6"/>
  <c r="P105" i="6"/>
  <c r="L73" i="1" s="1"/>
  <c r="Q105" i="6"/>
  <c r="P106" i="6"/>
  <c r="M73" i="1" s="1"/>
  <c r="M89" i="1" s="1"/>
  <c r="B105" i="1" s="1"/>
  <c r="Q106" i="6"/>
  <c r="P107" i="6"/>
  <c r="Q107" i="6"/>
  <c r="P108" i="6"/>
  <c r="D73" i="1" s="1"/>
  <c r="Q108" i="6"/>
  <c r="P109" i="6"/>
  <c r="T73" i="1" s="1"/>
  <c r="T89" i="1" s="1"/>
  <c r="B106" i="1" s="1"/>
  <c r="Q109" i="6"/>
  <c r="P110" i="6"/>
  <c r="U73" i="1" s="1"/>
  <c r="Q110" i="6"/>
  <c r="T51" i="6"/>
  <c r="W51" i="6" s="1"/>
  <c r="M34" i="27"/>
  <c r="E36" i="1" s="1"/>
  <c r="AG32" i="28"/>
  <c r="X26" i="20"/>
  <c r="D36" i="20"/>
  <c r="H7" i="1" s="1"/>
  <c r="AD37" i="31"/>
  <c r="P9" i="24"/>
  <c r="J58" i="30"/>
  <c r="G98" i="30" s="1"/>
  <c r="AD50" i="34"/>
  <c r="AI2" i="31"/>
  <c r="AE2" i="31"/>
  <c r="AD2" i="31"/>
  <c r="AI20" i="31"/>
  <c r="AD20" i="31"/>
  <c r="W76" i="34"/>
  <c r="AA40" i="28"/>
  <c r="W33" i="28"/>
  <c r="W30" i="28"/>
  <c r="W26" i="28"/>
  <c r="W24" i="28"/>
  <c r="W23" i="28"/>
  <c r="W18" i="28"/>
  <c r="W12" i="28"/>
  <c r="AA5" i="28"/>
  <c r="W4" i="28"/>
  <c r="AA4" i="28" s="1"/>
  <c r="W2" i="28"/>
  <c r="S40" i="28"/>
  <c r="S39" i="28"/>
  <c r="S38" i="28"/>
  <c r="S37" i="28"/>
  <c r="S36" i="28"/>
  <c r="S34" i="28"/>
  <c r="S33" i="28"/>
  <c r="S32" i="28"/>
  <c r="S31" i="28"/>
  <c r="S30" i="28"/>
  <c r="S29" i="28"/>
  <c r="S27" i="28"/>
  <c r="S26" i="28"/>
  <c r="T25" i="28"/>
  <c r="S24" i="28"/>
  <c r="S23" i="28"/>
  <c r="T22" i="28"/>
  <c r="S21" i="28"/>
  <c r="T20" i="28"/>
  <c r="S18" i="28"/>
  <c r="S12" i="28"/>
  <c r="S10" i="28"/>
  <c r="T6" i="28"/>
  <c r="S4" i="28"/>
  <c r="J2" i="34"/>
  <c r="Z2" i="34" s="1"/>
  <c r="G3" i="34"/>
  <c r="J3" i="34" s="1"/>
  <c r="Z3" i="34" s="1"/>
  <c r="O33" i="20"/>
  <c r="R11" i="34"/>
  <c r="AI45" i="6"/>
  <c r="AD45" i="6"/>
  <c r="Z43" i="30"/>
  <c r="Z17" i="30"/>
  <c r="AJ38" i="28"/>
  <c r="AE38" i="28"/>
  <c r="AH27" i="28"/>
  <c r="AF27" i="28"/>
  <c r="AE27" i="28"/>
  <c r="X12" i="20"/>
  <c r="Z56" i="30"/>
  <c r="AE9" i="30"/>
  <c r="R4" i="20"/>
  <c r="AB38" i="24"/>
  <c r="AI76" i="34"/>
  <c r="AD76" i="34"/>
  <c r="K52" i="24"/>
  <c r="C35" i="1" s="1"/>
  <c r="AD7" i="34"/>
  <c r="AC5" i="33"/>
  <c r="R80" i="6"/>
  <c r="R81" i="6" s="1"/>
  <c r="AD11" i="34"/>
  <c r="AF72" i="34"/>
  <c r="AE72" i="34"/>
  <c r="AD72" i="34"/>
  <c r="AD80" i="34"/>
  <c r="P22" i="24"/>
  <c r="V8" i="1" s="1" a="1"/>
  <c r="V8" i="1" s="1"/>
  <c r="D66" i="24"/>
  <c r="AE3" i="28"/>
  <c r="AC19" i="22"/>
  <c r="H26" i="32"/>
  <c r="AD76" i="6"/>
  <c r="AJ29" i="28"/>
  <c r="AE29" i="28"/>
  <c r="W45" i="6"/>
  <c r="AF15" i="31"/>
  <c r="AD15" i="31"/>
  <c r="T80" i="34"/>
  <c r="AI76" i="6"/>
  <c r="AC21" i="22"/>
  <c r="AC64" i="22"/>
  <c r="AC66" i="22"/>
  <c r="AJ19" i="28"/>
  <c r="AA2" i="27"/>
  <c r="AC26" i="20"/>
  <c r="AI37" i="34"/>
  <c r="Q31" i="24"/>
  <c r="Q30" i="24"/>
  <c r="Q22" i="24"/>
  <c r="V2" i="31"/>
  <c r="Z55" i="30"/>
  <c r="H88" i="34"/>
  <c r="Q6" i="1" s="1"/>
  <c r="R6" i="1" s="1"/>
  <c r="J6" i="29"/>
  <c r="AD38" i="6"/>
  <c r="AI38" i="6"/>
  <c r="AC36" i="22"/>
  <c r="P44" i="30"/>
  <c r="Z44" i="30"/>
  <c r="AE44" i="30"/>
  <c r="AA44" i="30"/>
  <c r="AC2" i="13"/>
  <c r="M63" i="28"/>
  <c r="O63" i="28" s="1"/>
  <c r="M64" i="28"/>
  <c r="O64" i="28" s="1"/>
  <c r="M65" i="28"/>
  <c r="O65" i="28" s="1"/>
  <c r="M66" i="28"/>
  <c r="O66" i="28" s="1"/>
  <c r="M67" i="28"/>
  <c r="U87" i="1" s="1"/>
  <c r="M68" i="28"/>
  <c r="O68" i="28" s="1"/>
  <c r="M62" i="28"/>
  <c r="B87" i="1" s="1"/>
  <c r="P98" i="34"/>
  <c r="C77" i="1" s="1"/>
  <c r="P99" i="34"/>
  <c r="D77" i="1" s="1"/>
  <c r="P100" i="34"/>
  <c r="P101" i="34"/>
  <c r="P97" i="34"/>
  <c r="B77" i="1" s="1"/>
  <c r="P70" i="33"/>
  <c r="C76" i="1" s="1"/>
  <c r="P71" i="33"/>
  <c r="D76" i="1" s="1"/>
  <c r="P72" i="33"/>
  <c r="Q72" i="33"/>
  <c r="P76" i="31"/>
  <c r="D75" i="1" s="1"/>
  <c r="Q76" i="31"/>
  <c r="P88" i="13"/>
  <c r="E74" i="1" s="1"/>
  <c r="Q88" i="13"/>
  <c r="P83" i="30"/>
  <c r="P82" i="30"/>
  <c r="P81" i="30"/>
  <c r="P80" i="30"/>
  <c r="P79" i="30"/>
  <c r="C82" i="1" s="1"/>
  <c r="Z82" i="1" s="1"/>
  <c r="P78" i="30"/>
  <c r="B82" i="1" s="1"/>
  <c r="Q66" i="29"/>
  <c r="Q65" i="29"/>
  <c r="Q64" i="29"/>
  <c r="Q63" i="29"/>
  <c r="Q62" i="29"/>
  <c r="C81" i="1" s="1"/>
  <c r="Z81" i="1" s="1"/>
  <c r="Q61" i="29"/>
  <c r="B81" i="1" s="1"/>
  <c r="AC30" i="22"/>
  <c r="X32" i="20"/>
  <c r="AD64" i="34"/>
  <c r="AJ3" i="28"/>
  <c r="Z66" i="22"/>
  <c r="AC39" i="22"/>
  <c r="V17" i="1" a="1"/>
  <c r="V17" i="1" s="1"/>
  <c r="V2" i="1"/>
  <c r="S17" i="1"/>
  <c r="S16" i="1"/>
  <c r="U16" i="1" s="1"/>
  <c r="S15" i="1"/>
  <c r="U15" i="1" s="1"/>
  <c r="V40" i="35"/>
  <c r="U40" i="35"/>
  <c r="T40" i="35"/>
  <c r="S40" i="35"/>
  <c r="R40" i="35"/>
  <c r="Q40" i="35"/>
  <c r="P40" i="35"/>
  <c r="O40" i="35"/>
  <c r="M40" i="35"/>
  <c r="L40" i="35"/>
  <c r="K40" i="35"/>
  <c r="J40" i="35"/>
  <c r="U37" i="35"/>
  <c r="L44" i="1" s="1"/>
  <c r="S37" i="35"/>
  <c r="J44" i="1" s="1"/>
  <c r="P37" i="35"/>
  <c r="G44" i="1" s="1"/>
  <c r="M37" i="35"/>
  <c r="E44" i="1" s="1"/>
  <c r="K37" i="35"/>
  <c r="C44" i="1" s="1"/>
  <c r="V37" i="35"/>
  <c r="M44" i="1" s="1"/>
  <c r="T37" i="35"/>
  <c r="K44" i="1" s="1"/>
  <c r="R37" i="35"/>
  <c r="I44" i="1" s="1"/>
  <c r="Q37" i="35"/>
  <c r="H44" i="1" s="1"/>
  <c r="O37" i="35"/>
  <c r="F44" i="1" s="1"/>
  <c r="L37" i="35"/>
  <c r="D44" i="1" s="1"/>
  <c r="J37" i="35"/>
  <c r="B44" i="1" s="1"/>
  <c r="T93" i="6"/>
  <c r="L29" i="1" s="1"/>
  <c r="R93" i="6"/>
  <c r="J29" i="1" s="1"/>
  <c r="O93" i="6"/>
  <c r="G29" i="1" s="1"/>
  <c r="M93" i="6"/>
  <c r="E29" i="1" s="1"/>
  <c r="K93" i="6"/>
  <c r="C29" i="1" s="1"/>
  <c r="U93" i="6"/>
  <c r="M29" i="1" s="1"/>
  <c r="S93" i="6"/>
  <c r="K29" i="1" s="1"/>
  <c r="Q93" i="6"/>
  <c r="I29" i="1" s="1"/>
  <c r="P93" i="6"/>
  <c r="N93" i="6"/>
  <c r="F29" i="1" s="1"/>
  <c r="L93" i="6"/>
  <c r="D29" i="1" s="1"/>
  <c r="J93" i="6"/>
  <c r="B29" i="1" s="1"/>
  <c r="J90" i="6"/>
  <c r="H46" i="28"/>
  <c r="H45" i="28"/>
  <c r="Q16" i="1" s="1"/>
  <c r="R16" i="1" s="1"/>
  <c r="H44" i="28"/>
  <c r="Q55" i="28"/>
  <c r="L43" i="1" s="1"/>
  <c r="O55" i="28"/>
  <c r="J43" i="1" s="1"/>
  <c r="L55" i="28"/>
  <c r="G43" i="1" s="1"/>
  <c r="J55" i="28"/>
  <c r="E43" i="1" s="1"/>
  <c r="H55" i="28"/>
  <c r="C43" i="1" s="1"/>
  <c r="R55" i="28"/>
  <c r="M43" i="1" s="1"/>
  <c r="P55" i="28"/>
  <c r="K43" i="1" s="1"/>
  <c r="N55" i="28"/>
  <c r="I43" i="1" s="1"/>
  <c r="M55" i="28"/>
  <c r="H43" i="1" s="1"/>
  <c r="K55" i="28"/>
  <c r="F43" i="1" s="1"/>
  <c r="I55" i="28"/>
  <c r="D43" i="1" s="1"/>
  <c r="G55" i="28"/>
  <c r="B43" i="1" s="1"/>
  <c r="G52" i="28"/>
  <c r="V108" i="22"/>
  <c r="L40" i="1" s="1"/>
  <c r="T108" i="22"/>
  <c r="J40" i="1" s="1"/>
  <c r="Q108" i="22"/>
  <c r="G40" i="1" s="1"/>
  <c r="O108" i="22"/>
  <c r="E40" i="1" s="1"/>
  <c r="M108" i="22"/>
  <c r="C40" i="1" s="1"/>
  <c r="W108" i="22"/>
  <c r="M40" i="1" s="1"/>
  <c r="U108" i="22"/>
  <c r="K40" i="1" s="1"/>
  <c r="S108" i="22"/>
  <c r="I40" i="1" s="1"/>
  <c r="R108" i="22"/>
  <c r="H40" i="1" s="1"/>
  <c r="P108" i="22"/>
  <c r="F40" i="1" s="1"/>
  <c r="N108" i="22"/>
  <c r="D40" i="1" s="1"/>
  <c r="L108" i="22"/>
  <c r="B40" i="1" s="1"/>
  <c r="L105" i="22"/>
  <c r="N114" i="22"/>
  <c r="S115" i="22"/>
  <c r="S116" i="22"/>
  <c r="S117" i="22"/>
  <c r="S118" i="22"/>
  <c r="S119" i="22"/>
  <c r="S120" i="22"/>
  <c r="S121" i="22"/>
  <c r="S122" i="22"/>
  <c r="S123" i="22"/>
  <c r="S124" i="22"/>
  <c r="S125" i="22"/>
  <c r="S114" i="22"/>
  <c r="R115" i="22"/>
  <c r="C84" i="1" s="1"/>
  <c r="R116" i="22"/>
  <c r="D84" i="1" s="1"/>
  <c r="R117" i="22"/>
  <c r="L84" i="1" s="1"/>
  <c r="R118" i="22"/>
  <c r="P84" i="1" s="1"/>
  <c r="R119" i="22"/>
  <c r="R84" i="1" s="1"/>
  <c r="R89" i="1" s="1"/>
  <c r="B112" i="1" s="1"/>
  <c r="R120" i="22"/>
  <c r="U84" i="1" s="1"/>
  <c r="R121" i="22"/>
  <c r="S84" i="1" s="1"/>
  <c r="S89" i="1" s="1"/>
  <c r="B113" i="1" s="1"/>
  <c r="R122" i="22"/>
  <c r="F84" i="1" s="1"/>
  <c r="R123" i="22"/>
  <c r="N84" i="1" s="1"/>
  <c r="R124" i="22"/>
  <c r="Q84" i="1" s="1"/>
  <c r="R125" i="22"/>
  <c r="W84" i="1" s="1"/>
  <c r="R114" i="22"/>
  <c r="H103" i="22"/>
  <c r="Q13" i="1" s="1"/>
  <c r="R13" i="1" s="1"/>
  <c r="H102" i="22"/>
  <c r="U55" i="29"/>
  <c r="L37" i="1" s="1"/>
  <c r="S55" i="29"/>
  <c r="J37" i="1" s="1"/>
  <c r="O55" i="29"/>
  <c r="G37" i="1" s="1"/>
  <c r="M55" i="29"/>
  <c r="E37" i="1" s="1"/>
  <c r="K55" i="29"/>
  <c r="C37" i="1" s="1"/>
  <c r="J55" i="29"/>
  <c r="B37" i="1" s="1"/>
  <c r="V55" i="29"/>
  <c r="M37" i="1" s="1"/>
  <c r="T55" i="29"/>
  <c r="K37" i="1" s="1"/>
  <c r="Q55" i="29"/>
  <c r="I37" i="1" s="1"/>
  <c r="P55" i="29"/>
  <c r="H37" i="1" s="1"/>
  <c r="N55" i="29"/>
  <c r="F37" i="1" s="1"/>
  <c r="L55" i="29"/>
  <c r="D37" i="1" s="1"/>
  <c r="J52" i="29"/>
  <c r="V34" i="27"/>
  <c r="L36" i="1" s="1"/>
  <c r="S34" i="27"/>
  <c r="J36" i="1" s="1"/>
  <c r="O34" i="27"/>
  <c r="G36" i="1" s="1"/>
  <c r="K34" i="27"/>
  <c r="C36" i="1" s="1"/>
  <c r="W34" i="27"/>
  <c r="M36" i="1" s="1"/>
  <c r="T34" i="27"/>
  <c r="K36" i="1" s="1"/>
  <c r="R34" i="27"/>
  <c r="I36" i="1" s="1"/>
  <c r="P34" i="27"/>
  <c r="H36" i="1" s="1"/>
  <c r="N34" i="27"/>
  <c r="F36" i="1" s="1"/>
  <c r="L34" i="27"/>
  <c r="D36" i="1" s="1"/>
  <c r="J34" i="27"/>
  <c r="B36" i="1" s="1"/>
  <c r="J31" i="27"/>
  <c r="T52" i="24"/>
  <c r="L35" i="1" s="1"/>
  <c r="R52" i="24"/>
  <c r="J35" i="1" s="1"/>
  <c r="M52" i="24"/>
  <c r="E35" i="1" s="1"/>
  <c r="O52" i="24"/>
  <c r="G35" i="1" s="1"/>
  <c r="K49" i="24"/>
  <c r="U52" i="24"/>
  <c r="M35" i="1" s="1"/>
  <c r="S52" i="24"/>
  <c r="K35" i="1" s="1"/>
  <c r="Q52" i="24"/>
  <c r="I35" i="1" s="1"/>
  <c r="P52" i="24"/>
  <c r="H35" i="1" s="1"/>
  <c r="N52" i="24"/>
  <c r="F35" i="1" s="1"/>
  <c r="L52" i="24"/>
  <c r="D35" i="1" s="1"/>
  <c r="J52" i="24"/>
  <c r="B35" i="1" s="1"/>
  <c r="J49" i="24"/>
  <c r="T46" i="20"/>
  <c r="L34" i="1" s="1"/>
  <c r="R46" i="20"/>
  <c r="J34" i="1" s="1"/>
  <c r="O46" i="20"/>
  <c r="G34" i="1" s="1"/>
  <c r="M46" i="20"/>
  <c r="E34" i="1" s="1"/>
  <c r="M40" i="20"/>
  <c r="K46" i="20"/>
  <c r="C34" i="1" s="1"/>
  <c r="K43" i="20"/>
  <c r="U46" i="20"/>
  <c r="M34" i="1" s="1"/>
  <c r="S46" i="20"/>
  <c r="K34" i="1" s="1"/>
  <c r="Q46" i="20"/>
  <c r="I34" i="1" s="1"/>
  <c r="P46" i="20"/>
  <c r="H34" i="1" s="1"/>
  <c r="N46" i="20"/>
  <c r="F34" i="1" s="1"/>
  <c r="L46" i="20"/>
  <c r="D34" i="1" s="1"/>
  <c r="J46" i="20"/>
  <c r="B34" i="1" s="1"/>
  <c r="J43" i="20"/>
  <c r="H39" i="20"/>
  <c r="Q7" i="1" s="1"/>
  <c r="R7" i="1" s="1"/>
  <c r="H38" i="20"/>
  <c r="T92" i="34"/>
  <c r="L33" i="1" s="1"/>
  <c r="J33" i="1"/>
  <c r="I33" i="1"/>
  <c r="O92" i="34"/>
  <c r="G33" i="1" s="1"/>
  <c r="M92" i="34"/>
  <c r="E33" i="1" s="1"/>
  <c r="U92" i="34"/>
  <c r="M33" i="1" s="1"/>
  <c r="S92" i="34"/>
  <c r="K33" i="1" s="1"/>
  <c r="P92" i="34"/>
  <c r="H33" i="1" s="1"/>
  <c r="N92" i="34"/>
  <c r="F33" i="1" s="1"/>
  <c r="L92" i="34"/>
  <c r="D33" i="1" s="1"/>
  <c r="K92" i="34"/>
  <c r="C33" i="1" s="1"/>
  <c r="J92" i="34"/>
  <c r="B33" i="1" s="1"/>
  <c r="J88" i="34"/>
  <c r="U64" i="33"/>
  <c r="M32" i="1" s="1"/>
  <c r="U60" i="33"/>
  <c r="T64" i="33"/>
  <c r="L32" i="1" s="1"/>
  <c r="T60" i="33"/>
  <c r="S64" i="33"/>
  <c r="K32" i="1" s="1"/>
  <c r="R64" i="33"/>
  <c r="J32" i="1" s="1"/>
  <c r="R60" i="33"/>
  <c r="Q64" i="33"/>
  <c r="I32" i="1" s="1"/>
  <c r="Q60" i="33"/>
  <c r="P64" i="33"/>
  <c r="H32" i="1" s="1"/>
  <c r="P60" i="33"/>
  <c r="O64" i="33"/>
  <c r="G32" i="1" s="1"/>
  <c r="O60" i="33"/>
  <c r="N64" i="33"/>
  <c r="F32" i="1" s="1"/>
  <c r="N60" i="33"/>
  <c r="M64" i="33"/>
  <c r="E32" i="1" s="1"/>
  <c r="M60" i="33"/>
  <c r="L64" i="33"/>
  <c r="D32" i="1" s="1"/>
  <c r="K64" i="33"/>
  <c r="C32" i="1" s="1"/>
  <c r="K60" i="33"/>
  <c r="J64" i="33"/>
  <c r="B32" i="1" s="1"/>
  <c r="J60" i="33"/>
  <c r="U68" i="31"/>
  <c r="M31" i="1" s="1"/>
  <c r="T68" i="31"/>
  <c r="L31" i="1" s="1"/>
  <c r="S68" i="31"/>
  <c r="K31" i="1"/>
  <c r="R68" i="31"/>
  <c r="J31" i="1" s="1"/>
  <c r="Q68" i="31"/>
  <c r="I31" i="1" s="1"/>
  <c r="P68" i="31"/>
  <c r="H31" i="1" s="1"/>
  <c r="O68" i="31"/>
  <c r="G31" i="1" s="1"/>
  <c r="N68" i="31"/>
  <c r="F31" i="1" s="1"/>
  <c r="M68" i="31"/>
  <c r="E31" i="1" s="1"/>
  <c r="L68" i="31"/>
  <c r="D31" i="1" s="1"/>
  <c r="K68" i="31"/>
  <c r="C31" i="1" s="1"/>
  <c r="K64" i="31"/>
  <c r="J68" i="31"/>
  <c r="B31" i="1" s="1"/>
  <c r="J64" i="31"/>
  <c r="H72" i="13"/>
  <c r="Q3" i="1" s="1"/>
  <c r="R3" i="1" s="1"/>
  <c r="H69" i="13"/>
  <c r="H70" i="13"/>
  <c r="U80" i="13"/>
  <c r="M30" i="1" s="1"/>
  <c r="T80" i="13"/>
  <c r="L30" i="1" s="1"/>
  <c r="S80" i="13"/>
  <c r="K30" i="1" s="1"/>
  <c r="R80" i="13"/>
  <c r="J30" i="1" s="1"/>
  <c r="Q80" i="13"/>
  <c r="I30" i="1" s="1"/>
  <c r="P80" i="13"/>
  <c r="H30" i="1" s="1"/>
  <c r="O80" i="13"/>
  <c r="G30" i="1" s="1"/>
  <c r="N80" i="13"/>
  <c r="F30" i="1" s="1"/>
  <c r="M80" i="13"/>
  <c r="E30" i="1" s="1"/>
  <c r="L80" i="13"/>
  <c r="D30" i="1" s="1"/>
  <c r="K80" i="13"/>
  <c r="C30" i="1" s="1"/>
  <c r="J80" i="13"/>
  <c r="B30" i="1" s="1"/>
  <c r="J76" i="13"/>
  <c r="H85" i="6"/>
  <c r="Q2" i="1" s="1"/>
  <c r="R2" i="1" s="1"/>
  <c r="H84" i="6"/>
  <c r="AF21" i="27"/>
  <c r="AA21" i="27"/>
  <c r="Q27" i="35"/>
  <c r="Q26" i="35"/>
  <c r="U26" i="35" s="1"/>
  <c r="Q23" i="35"/>
  <c r="Q22" i="35"/>
  <c r="Q19" i="35"/>
  <c r="Q18" i="35"/>
  <c r="Q15" i="35"/>
  <c r="Q14" i="35"/>
  <c r="Q11" i="35"/>
  <c r="Q10" i="35"/>
  <c r="Q7" i="35"/>
  <c r="Q6" i="35"/>
  <c r="Q3" i="35"/>
  <c r="Q2" i="35"/>
  <c r="U2" i="35" s="1"/>
  <c r="Q4" i="35"/>
  <c r="Q5" i="35"/>
  <c r="Q8" i="35"/>
  <c r="Q9" i="35"/>
  <c r="Q12" i="35"/>
  <c r="Q13" i="35"/>
  <c r="V30" i="35"/>
  <c r="Q16" i="35"/>
  <c r="Q17" i="35"/>
  <c r="Q20" i="35"/>
  <c r="Q21" i="35"/>
  <c r="Q24" i="35"/>
  <c r="Q25" i="35"/>
  <c r="Q28" i="35"/>
  <c r="Q29" i="35"/>
  <c r="Q30" i="35"/>
  <c r="F58" i="35" s="1"/>
  <c r="Q31" i="35"/>
  <c r="G65" i="35"/>
  <c r="F65" i="35"/>
  <c r="E65" i="35"/>
  <c r="D65" i="35"/>
  <c r="C65" i="35"/>
  <c r="C62" i="35"/>
  <c r="F63" i="35"/>
  <c r="E63" i="35"/>
  <c r="F62" i="35"/>
  <c r="E62" i="35"/>
  <c r="D62" i="35"/>
  <c r="G59" i="35"/>
  <c r="F59" i="35"/>
  <c r="E59" i="35"/>
  <c r="D59" i="35"/>
  <c r="C59" i="35"/>
  <c r="F57" i="35"/>
  <c r="E57" i="35"/>
  <c r="D57" i="35"/>
  <c r="C57" i="35"/>
  <c r="G56" i="35"/>
  <c r="J17" i="1" s="1"/>
  <c r="D56" i="35"/>
  <c r="E56" i="35"/>
  <c r="F56" i="35"/>
  <c r="C56" i="35"/>
  <c r="C53" i="35"/>
  <c r="C44" i="35"/>
  <c r="C43" i="35"/>
  <c r="D43" i="35"/>
  <c r="C42" i="35"/>
  <c r="C45" i="35"/>
  <c r="D42" i="35"/>
  <c r="G53" i="35"/>
  <c r="M17" i="1" s="1"/>
  <c r="G50" i="35"/>
  <c r="K17" i="1" s="1"/>
  <c r="D53" i="35"/>
  <c r="E53" i="35"/>
  <c r="F53" i="35"/>
  <c r="E51" i="35"/>
  <c r="F51" i="35"/>
  <c r="F50" i="35"/>
  <c r="E50" i="35"/>
  <c r="D50" i="35"/>
  <c r="C50" i="35"/>
  <c r="R56" i="35"/>
  <c r="Q56" i="35" a="1"/>
  <c r="Q56" i="35" s="1"/>
  <c r="R55" i="35"/>
  <c r="Q55" i="35" a="1"/>
  <c r="Q55" i="35" s="1"/>
  <c r="R54" i="35"/>
  <c r="Q54" i="35" a="1"/>
  <c r="Q54" i="35" s="1"/>
  <c r="R53" i="35"/>
  <c r="Q53" i="35" a="1"/>
  <c r="Q53" i="35" s="1"/>
  <c r="R52" i="35"/>
  <c r="Q52" i="35" a="1"/>
  <c r="Q52" i="35" s="1"/>
  <c r="L52" i="35"/>
  <c r="K52" i="35" a="1"/>
  <c r="K52" i="35" s="1"/>
  <c r="R51" i="35"/>
  <c r="Q51" i="35" a="1"/>
  <c r="Q51" i="35" s="1"/>
  <c r="L51" i="35"/>
  <c r="K51" i="35" a="1"/>
  <c r="K51" i="35" s="1"/>
  <c r="AE48" i="35"/>
  <c r="AE49" i="35"/>
  <c r="R50" i="35"/>
  <c r="Q50" i="35" a="1"/>
  <c r="Q50" i="35" s="1"/>
  <c r="L50" i="35"/>
  <c r="K50" i="35" a="1"/>
  <c r="K50" i="35" s="1"/>
  <c r="F45" i="35"/>
  <c r="D45" i="35"/>
  <c r="F44" i="35"/>
  <c r="D44" i="35"/>
  <c r="F43" i="35"/>
  <c r="F42" i="35"/>
  <c r="D38" i="35"/>
  <c r="C38" i="35"/>
  <c r="F17" i="1" s="1"/>
  <c r="H37" i="35"/>
  <c r="C37" i="35"/>
  <c r="G17" i="1" s="1"/>
  <c r="H36" i="35"/>
  <c r="C36" i="35"/>
  <c r="E17" i="1" s="1"/>
  <c r="H35" i="35"/>
  <c r="Q17" i="1" s="1"/>
  <c r="R17" i="1" s="1"/>
  <c r="D35" i="35"/>
  <c r="H17" i="1" s="1"/>
  <c r="C35" i="35"/>
  <c r="C17" i="1" s="1"/>
  <c r="S31" i="35"/>
  <c r="V31" i="35"/>
  <c r="S30" i="35"/>
  <c r="S29" i="35"/>
  <c r="T29" i="35"/>
  <c r="S28" i="35"/>
  <c r="V28" i="35"/>
  <c r="S27" i="35"/>
  <c r="T27" i="35"/>
  <c r="S26" i="35"/>
  <c r="V26" i="35"/>
  <c r="S25" i="35"/>
  <c r="S24" i="35"/>
  <c r="V24" i="35"/>
  <c r="S23" i="35"/>
  <c r="T23" i="35"/>
  <c r="S22" i="35"/>
  <c r="V22" i="35"/>
  <c r="S21" i="35"/>
  <c r="V21" i="35"/>
  <c r="S20" i="35"/>
  <c r="V20" i="35"/>
  <c r="S19" i="35"/>
  <c r="V19" i="35"/>
  <c r="S18" i="35"/>
  <c r="V18" i="35"/>
  <c r="S17" i="35"/>
  <c r="V17" i="35"/>
  <c r="S16" i="35"/>
  <c r="T16" i="35"/>
  <c r="S15" i="35"/>
  <c r="V15" i="35"/>
  <c r="S14" i="35"/>
  <c r="T14" i="35"/>
  <c r="S13" i="35"/>
  <c r="V13" i="35"/>
  <c r="S12" i="35"/>
  <c r="V12" i="35"/>
  <c r="S11" i="35"/>
  <c r="T11" i="35"/>
  <c r="S10" i="35"/>
  <c r="V10" i="35"/>
  <c r="S9" i="35"/>
  <c r="V9" i="35"/>
  <c r="S8" i="35"/>
  <c r="V8" i="35"/>
  <c r="S7" i="35"/>
  <c r="T7" i="35"/>
  <c r="S6" i="35"/>
  <c r="V6" i="35"/>
  <c r="S5" i="35"/>
  <c r="T5" i="35"/>
  <c r="S4" i="35"/>
  <c r="T4" i="35"/>
  <c r="S3" i="35"/>
  <c r="T3" i="35"/>
  <c r="S2" i="35"/>
  <c r="V2" i="35"/>
  <c r="G62" i="35"/>
  <c r="R33" i="35"/>
  <c r="E35" i="35"/>
  <c r="E38" i="35"/>
  <c r="AH57" i="22"/>
  <c r="AC57" i="22"/>
  <c r="AF21" i="31"/>
  <c r="T60" i="26"/>
  <c r="U88" i="34"/>
  <c r="T88" i="34"/>
  <c r="X55" i="31"/>
  <c r="AI21" i="6"/>
  <c r="AD21" i="6"/>
  <c r="AA3" i="27"/>
  <c r="AF49" i="26"/>
  <c r="W39" i="28"/>
  <c r="N39" i="28" s="1"/>
  <c r="W37" i="28"/>
  <c r="N37" i="28" s="1"/>
  <c r="V16" i="1" a="1"/>
  <c r="V16" i="1" s="1"/>
  <c r="W38" i="28"/>
  <c r="W36" i="28"/>
  <c r="W34" i="28"/>
  <c r="W32" i="28"/>
  <c r="W29" i="28"/>
  <c r="W27" i="28"/>
  <c r="W21" i="28"/>
  <c r="W10" i="28"/>
  <c r="X22" i="28"/>
  <c r="Y22" i="28" s="1"/>
  <c r="AB34" i="29"/>
  <c r="AC69" i="22"/>
  <c r="C43" i="24"/>
  <c r="E8" i="1" s="1"/>
  <c r="Q52" i="28"/>
  <c r="P52" i="28"/>
  <c r="O52" i="28"/>
  <c r="N52" i="28"/>
  <c r="M52" i="28"/>
  <c r="AJ35" i="28"/>
  <c r="AE35" i="28"/>
  <c r="AI53" i="31"/>
  <c r="AD53" i="31"/>
  <c r="R26" i="20"/>
  <c r="R19" i="20"/>
  <c r="R12" i="20"/>
  <c r="R5" i="20"/>
  <c r="AD11" i="31"/>
  <c r="O38" i="29"/>
  <c r="C51" i="29"/>
  <c r="C10" i="1" s="1"/>
  <c r="AF58" i="6"/>
  <c r="AB19" i="29"/>
  <c r="AD10" i="34"/>
  <c r="AD6" i="31"/>
  <c r="AH15" i="22"/>
  <c r="AC15" i="22"/>
  <c r="AH20" i="22"/>
  <c r="AC20" i="22"/>
  <c r="AD32" i="34"/>
  <c r="AE38" i="30"/>
  <c r="Z38" i="30"/>
  <c r="D118" i="22"/>
  <c r="Z48" i="30"/>
  <c r="Z26" i="30"/>
  <c r="S39" i="34"/>
  <c r="AJ9" i="28"/>
  <c r="AE9" i="28"/>
  <c r="AC12" i="33"/>
  <c r="T4" i="6"/>
  <c r="T6" i="6"/>
  <c r="W6" i="6" s="1"/>
  <c r="AI67" i="34"/>
  <c r="AD67" i="34"/>
  <c r="AI10" i="31"/>
  <c r="AD10" i="31"/>
  <c r="Z23" i="30"/>
  <c r="Q60" i="30"/>
  <c r="S60" i="30" s="1"/>
  <c r="Q58" i="30"/>
  <c r="S58" i="30" s="1"/>
  <c r="Q57" i="30"/>
  <c r="S57" i="30" s="1"/>
  <c r="Q55" i="30"/>
  <c r="S55" i="30" s="1"/>
  <c r="Q54" i="30"/>
  <c r="S54" i="30" s="1"/>
  <c r="Q53" i="30"/>
  <c r="S53" i="30" s="1"/>
  <c r="Q52" i="30"/>
  <c r="S52" i="30" s="1"/>
  <c r="Q51" i="30"/>
  <c r="S51" i="30" s="1"/>
  <c r="Q49" i="30"/>
  <c r="S49" i="30" s="1"/>
  <c r="Q46" i="30"/>
  <c r="S46" i="30" s="1"/>
  <c r="Q45" i="30"/>
  <c r="S45" i="30" s="1"/>
  <c r="Q43" i="30"/>
  <c r="S43" i="30" s="1"/>
  <c r="Q41" i="30"/>
  <c r="S41" i="30" s="1"/>
  <c r="Q40" i="30"/>
  <c r="S40" i="30" s="1"/>
  <c r="Q39" i="30"/>
  <c r="S39" i="30" s="1"/>
  <c r="Q38" i="30"/>
  <c r="Q37" i="30"/>
  <c r="S37" i="30" s="1"/>
  <c r="Q36" i="30"/>
  <c r="S36" i="30" s="1"/>
  <c r="Q34" i="30"/>
  <c r="E89" i="30" s="1"/>
  <c r="Q33" i="30"/>
  <c r="S33" i="30" s="1"/>
  <c r="Q31" i="30"/>
  <c r="S31" i="30" s="1"/>
  <c r="Q30" i="30"/>
  <c r="Q29" i="30"/>
  <c r="S29" i="30" s="1"/>
  <c r="Q28" i="30"/>
  <c r="S28" i="30" s="1"/>
  <c r="Q27" i="30"/>
  <c r="S27" i="30" s="1"/>
  <c r="Q25" i="30"/>
  <c r="S25" i="30" s="1"/>
  <c r="Q24" i="30"/>
  <c r="S24" i="30" s="1"/>
  <c r="Q22" i="30"/>
  <c r="S22" i="30" s="1"/>
  <c r="Q21" i="30"/>
  <c r="S21" i="30" s="1"/>
  <c r="Q20" i="30"/>
  <c r="S20" i="30" s="1"/>
  <c r="Q19" i="30"/>
  <c r="S19" i="30" s="1"/>
  <c r="Q18" i="30"/>
  <c r="S18" i="30" s="1"/>
  <c r="Q17" i="30"/>
  <c r="S17" i="30" s="1"/>
  <c r="Q16" i="30"/>
  <c r="S16" i="30" s="1"/>
  <c r="Q15" i="30"/>
  <c r="S15" i="30" s="1"/>
  <c r="Q13" i="30"/>
  <c r="Q12" i="30"/>
  <c r="Q11" i="30"/>
  <c r="S11" i="30" s="1"/>
  <c r="Q10" i="30"/>
  <c r="S10" i="30" s="1"/>
  <c r="Q9" i="30"/>
  <c r="S9" i="30" s="1"/>
  <c r="Q7" i="30"/>
  <c r="Q6" i="30"/>
  <c r="S6" i="30" s="1"/>
  <c r="Q5" i="30"/>
  <c r="S5" i="30" s="1"/>
  <c r="Q4" i="30"/>
  <c r="S4" i="30" s="1"/>
  <c r="AE42" i="30"/>
  <c r="Z42" i="30"/>
  <c r="AH28" i="33"/>
  <c r="AC28" i="33"/>
  <c r="AI27" i="34"/>
  <c r="AD27" i="34"/>
  <c r="AI48" i="34"/>
  <c r="AD48" i="34"/>
  <c r="AH55" i="33"/>
  <c r="AC55" i="33"/>
  <c r="AG20" i="28"/>
  <c r="W71" i="34"/>
  <c r="W67" i="34"/>
  <c r="R22" i="24"/>
  <c r="W6" i="34"/>
  <c r="W11" i="34"/>
  <c r="W12" i="34"/>
  <c r="W13" i="34"/>
  <c r="W14" i="34"/>
  <c r="W15" i="34"/>
  <c r="W16" i="34"/>
  <c r="W17" i="34"/>
  <c r="W18" i="34"/>
  <c r="W19" i="34"/>
  <c r="W20" i="34"/>
  <c r="W22" i="34"/>
  <c r="W23" i="34"/>
  <c r="W24" i="34"/>
  <c r="W25" i="34"/>
  <c r="W26" i="34"/>
  <c r="W29" i="34"/>
  <c r="W30" i="34"/>
  <c r="W31" i="34"/>
  <c r="W32" i="34"/>
  <c r="W33" i="34"/>
  <c r="W34" i="34"/>
  <c r="W35" i="34"/>
  <c r="W36" i="34"/>
  <c r="W37" i="34"/>
  <c r="W38" i="34"/>
  <c r="W40" i="34"/>
  <c r="W41" i="34"/>
  <c r="W43" i="34"/>
  <c r="W44" i="34"/>
  <c r="W46" i="34"/>
  <c r="W47" i="34"/>
  <c r="W48" i="34"/>
  <c r="W49" i="34"/>
  <c r="W50" i="34"/>
  <c r="W51" i="34"/>
  <c r="W52" i="34"/>
  <c r="W54" i="34"/>
  <c r="W55" i="34"/>
  <c r="W56" i="34"/>
  <c r="W57" i="34"/>
  <c r="W60" i="34"/>
  <c r="W62" i="34"/>
  <c r="W63" i="34"/>
  <c r="W64" i="34"/>
  <c r="W66" i="34"/>
  <c r="W68" i="34"/>
  <c r="W70" i="34"/>
  <c r="W72" i="34"/>
  <c r="W73" i="34"/>
  <c r="W74" i="34"/>
  <c r="W77" i="34"/>
  <c r="W78" i="34"/>
  <c r="W80" i="34"/>
  <c r="W82" i="34"/>
  <c r="T56" i="6"/>
  <c r="R30" i="24"/>
  <c r="V30" i="24" s="1"/>
  <c r="AC22" i="13"/>
  <c r="AD53" i="34"/>
  <c r="AD45" i="31"/>
  <c r="AF42" i="26"/>
  <c r="AA42" i="26"/>
  <c r="W7" i="34"/>
  <c r="AD34" i="34"/>
  <c r="S81" i="34"/>
  <c r="S75" i="34"/>
  <c r="S59" i="34"/>
  <c r="W59" i="34" s="1"/>
  <c r="W10" i="34"/>
  <c r="S9" i="34"/>
  <c r="S79" i="34"/>
  <c r="S69" i="34"/>
  <c r="AI63" i="34"/>
  <c r="S61" i="34"/>
  <c r="S83" i="34"/>
  <c r="S65" i="34"/>
  <c r="S53" i="34"/>
  <c r="S45" i="34"/>
  <c r="S42" i="34"/>
  <c r="S28" i="34"/>
  <c r="S27" i="34"/>
  <c r="S21" i="34"/>
  <c r="S8" i="34"/>
  <c r="S5" i="34"/>
  <c r="AD65" i="34"/>
  <c r="AI71" i="34"/>
  <c r="AI72" i="34"/>
  <c r="AI73" i="34"/>
  <c r="AI77" i="34"/>
  <c r="AI78" i="34"/>
  <c r="AI82" i="34"/>
  <c r="AI32" i="34"/>
  <c r="AI33" i="34"/>
  <c r="AI35" i="34"/>
  <c r="AI36" i="34"/>
  <c r="AI38" i="34"/>
  <c r="AI40" i="34"/>
  <c r="AI43" i="34"/>
  <c r="AI44" i="34"/>
  <c r="AI47" i="34"/>
  <c r="AI49" i="34"/>
  <c r="AI52" i="34"/>
  <c r="AI54" i="34"/>
  <c r="AI55" i="34"/>
  <c r="AI56" i="34"/>
  <c r="AI60" i="34"/>
  <c r="AD33" i="34"/>
  <c r="AD36" i="34"/>
  <c r="AD38" i="34"/>
  <c r="AD40" i="34"/>
  <c r="AD44" i="34"/>
  <c r="AD47" i="34"/>
  <c r="AD49" i="34"/>
  <c r="AD52" i="34"/>
  <c r="AD54" i="34"/>
  <c r="AD55" i="34"/>
  <c r="AD56" i="34"/>
  <c r="AC30" i="20"/>
  <c r="AD63" i="34"/>
  <c r="R52" i="28"/>
  <c r="T25" i="33"/>
  <c r="R22" i="13"/>
  <c r="V22" i="13" s="1"/>
  <c r="Z47" i="30"/>
  <c r="Z35" i="30"/>
  <c r="Z32" i="30"/>
  <c r="Z14" i="30"/>
  <c r="Z2" i="30"/>
  <c r="AE2" i="30" s="1"/>
  <c r="Z3" i="30"/>
  <c r="Z59" i="30"/>
  <c r="AE59" i="30"/>
  <c r="Z63" i="30"/>
  <c r="Z8" i="30"/>
  <c r="J81" i="34"/>
  <c r="AY81" i="34" s="1"/>
  <c r="J80" i="34"/>
  <c r="X80" i="34" s="1"/>
  <c r="J77" i="34"/>
  <c r="AY77" i="34" s="1"/>
  <c r="J76" i="34"/>
  <c r="AY76" i="34" s="1"/>
  <c r="J73" i="34"/>
  <c r="Z73" i="34" s="1"/>
  <c r="J72" i="34"/>
  <c r="X72" i="34" s="1"/>
  <c r="J69" i="34"/>
  <c r="Z69" i="34" s="1"/>
  <c r="J68" i="34"/>
  <c r="X68" i="34" s="1"/>
  <c r="J65" i="34"/>
  <c r="AY65" i="34" s="1"/>
  <c r="J64" i="34"/>
  <c r="J63" i="34"/>
  <c r="Z63" i="34" s="1"/>
  <c r="J62" i="34"/>
  <c r="Z62" i="34" s="1"/>
  <c r="J61" i="34"/>
  <c r="Z61" i="34" s="1"/>
  <c r="J60" i="34"/>
  <c r="AY60" i="34" s="1"/>
  <c r="J53" i="34"/>
  <c r="AY53" i="34" s="1"/>
  <c r="J52" i="34"/>
  <c r="AY52" i="34" s="1"/>
  <c r="J51" i="34"/>
  <c r="X51" i="34" s="1"/>
  <c r="D105" i="34" s="1"/>
  <c r="J50" i="34"/>
  <c r="AY50" i="34" s="1"/>
  <c r="J45" i="34"/>
  <c r="J44" i="34"/>
  <c r="AY44" i="34" s="1"/>
  <c r="J43" i="34"/>
  <c r="X43" i="34" s="1"/>
  <c r="J42" i="34"/>
  <c r="J37" i="34"/>
  <c r="AY37" i="34" s="1"/>
  <c r="J36" i="34"/>
  <c r="Z36" i="34" s="1"/>
  <c r="J35" i="34"/>
  <c r="J34" i="34"/>
  <c r="J29" i="34"/>
  <c r="Z29" i="34" s="1"/>
  <c r="J28" i="34"/>
  <c r="Z28" i="34" s="1"/>
  <c r="J27" i="34"/>
  <c r="AY27" i="34" s="1"/>
  <c r="J26" i="34"/>
  <c r="AY26" i="34" s="1"/>
  <c r="J21" i="34"/>
  <c r="Z21" i="34" s="1"/>
  <c r="J20" i="34"/>
  <c r="Z20" i="34" s="1"/>
  <c r="J19" i="34"/>
  <c r="Z19" i="34" s="1"/>
  <c r="J18" i="34"/>
  <c r="X18" i="34" s="1"/>
  <c r="J17" i="34"/>
  <c r="X17" i="34" s="1"/>
  <c r="J14" i="34"/>
  <c r="X14" i="34" s="1"/>
  <c r="J13" i="34"/>
  <c r="X13" i="34" s="1"/>
  <c r="J12" i="34"/>
  <c r="X12" i="34" s="1"/>
  <c r="J11" i="34"/>
  <c r="X11" i="34" s="1"/>
  <c r="J10" i="34"/>
  <c r="J9" i="34"/>
  <c r="Z9" i="34" s="1"/>
  <c r="J8" i="34"/>
  <c r="Z8" i="34" s="1"/>
  <c r="J6" i="34"/>
  <c r="AY6" i="34" s="1"/>
  <c r="J5" i="34"/>
  <c r="AY5" i="34" s="1"/>
  <c r="R36" i="33"/>
  <c r="P19" i="20"/>
  <c r="P26" i="20"/>
  <c r="P5" i="20"/>
  <c r="P12" i="20"/>
  <c r="P4" i="20"/>
  <c r="D38" i="20"/>
  <c r="G59" i="20"/>
  <c r="AC32" i="33"/>
  <c r="AG25" i="6"/>
  <c r="C64" i="24"/>
  <c r="T5" i="34"/>
  <c r="T6" i="34"/>
  <c r="T7" i="34"/>
  <c r="T8" i="34"/>
  <c r="T9" i="34"/>
  <c r="T10" i="34"/>
  <c r="T11" i="34"/>
  <c r="T12" i="34"/>
  <c r="T13" i="34"/>
  <c r="T14" i="34"/>
  <c r="T15" i="34"/>
  <c r="T16" i="34"/>
  <c r="T17" i="34"/>
  <c r="T18" i="34"/>
  <c r="T19" i="34"/>
  <c r="T20" i="34"/>
  <c r="T21" i="34"/>
  <c r="T22" i="34"/>
  <c r="T23" i="34"/>
  <c r="T24" i="34"/>
  <c r="T25" i="34"/>
  <c r="T26" i="34"/>
  <c r="T27" i="34"/>
  <c r="T28" i="34"/>
  <c r="T29" i="34"/>
  <c r="T30" i="34"/>
  <c r="T31" i="34"/>
  <c r="T32" i="34"/>
  <c r="T33" i="34"/>
  <c r="T34" i="34"/>
  <c r="T35" i="34"/>
  <c r="T36" i="34"/>
  <c r="T37" i="34"/>
  <c r="T38" i="34"/>
  <c r="T39" i="34"/>
  <c r="T40" i="34"/>
  <c r="T41" i="34"/>
  <c r="T42" i="34"/>
  <c r="T43" i="34"/>
  <c r="T44" i="34"/>
  <c r="T45" i="34"/>
  <c r="T46" i="34"/>
  <c r="T47" i="34"/>
  <c r="T48" i="34"/>
  <c r="T49" i="34"/>
  <c r="T50" i="34"/>
  <c r="T51" i="34"/>
  <c r="D110" i="34" s="1"/>
  <c r="T52" i="34"/>
  <c r="T53" i="34"/>
  <c r="T54" i="34"/>
  <c r="Y54" i="34" s="1"/>
  <c r="T55" i="34"/>
  <c r="T56" i="34"/>
  <c r="T57" i="34"/>
  <c r="T58" i="34"/>
  <c r="S58" i="34" s="1"/>
  <c r="T59" i="34"/>
  <c r="T60" i="34"/>
  <c r="T61" i="34"/>
  <c r="T62" i="34"/>
  <c r="T63" i="34"/>
  <c r="T64" i="34"/>
  <c r="T65" i="34"/>
  <c r="T66" i="34"/>
  <c r="T67" i="34"/>
  <c r="T68" i="34"/>
  <c r="T69" i="34"/>
  <c r="T70" i="34"/>
  <c r="T71" i="34"/>
  <c r="T72" i="34"/>
  <c r="T73" i="34"/>
  <c r="T74" i="34"/>
  <c r="T75" i="34"/>
  <c r="T76" i="34"/>
  <c r="T77" i="34"/>
  <c r="T78" i="34"/>
  <c r="T79" i="34"/>
  <c r="T81" i="34"/>
  <c r="T82" i="34"/>
  <c r="T83" i="34"/>
  <c r="T4" i="34"/>
  <c r="C110" i="34"/>
  <c r="J9" i="30"/>
  <c r="T9" i="30" s="1"/>
  <c r="J5" i="30"/>
  <c r="V5" i="30" s="1"/>
  <c r="Q62" i="30"/>
  <c r="S62" i="30" s="1"/>
  <c r="Q61" i="30"/>
  <c r="S61" i="30" s="1"/>
  <c r="Q59" i="30"/>
  <c r="S59" i="30" s="1"/>
  <c r="Q56" i="30"/>
  <c r="S56" i="30" s="1"/>
  <c r="Q48" i="30"/>
  <c r="S48" i="30" s="1"/>
  <c r="Q44" i="30"/>
  <c r="Q42" i="30"/>
  <c r="S42" i="30" s="1"/>
  <c r="Q32" i="30"/>
  <c r="S32" i="30" s="1"/>
  <c r="Q8" i="30"/>
  <c r="S8" i="30" s="1"/>
  <c r="Q2" i="30"/>
  <c r="S14" i="1"/>
  <c r="Q14" i="1" s="1"/>
  <c r="V13" i="1" a="1"/>
  <c r="V13" i="1" s="1"/>
  <c r="S13" i="1"/>
  <c r="U13" i="1" s="1"/>
  <c r="V12" i="1" a="1"/>
  <c r="V12" i="1" s="1"/>
  <c r="S12" i="1"/>
  <c r="U12" i="1" s="1"/>
  <c r="V10" i="1" a="1"/>
  <c r="V10" i="1" s="1"/>
  <c r="S10" i="1"/>
  <c r="U10" i="1" s="1"/>
  <c r="V9" i="1" a="1"/>
  <c r="V9" i="1" s="1"/>
  <c r="S9" i="1"/>
  <c r="U9" i="1" s="1"/>
  <c r="S8" i="1"/>
  <c r="V7" i="1" a="1"/>
  <c r="V7" i="1" s="1"/>
  <c r="S7" i="1"/>
  <c r="U7" i="1" s="1"/>
  <c r="V6" i="1" a="1"/>
  <c r="V6" i="1" s="1"/>
  <c r="S6" i="1"/>
  <c r="U6" i="1" s="1"/>
  <c r="V5" i="1"/>
  <c r="S5" i="1"/>
  <c r="U5" i="1" s="1"/>
  <c r="V4" i="1"/>
  <c r="V3" i="1"/>
  <c r="S4" i="1"/>
  <c r="U4" i="1" s="1"/>
  <c r="S2" i="1"/>
  <c r="AE19" i="28"/>
  <c r="Y12" i="28"/>
  <c r="AE48" i="33"/>
  <c r="Q60" i="26"/>
  <c r="AA30" i="26"/>
  <c r="AH42" i="13"/>
  <c r="AC42" i="13"/>
  <c r="W70" i="6"/>
  <c r="U37" i="29"/>
  <c r="AC54" i="33"/>
  <c r="AI9" i="31"/>
  <c r="AD9" i="31"/>
  <c r="AJ25" i="28"/>
  <c r="AF25" i="28"/>
  <c r="AE25" i="28"/>
  <c r="J2" i="30"/>
  <c r="V2" i="30" s="1"/>
  <c r="C76" i="30"/>
  <c r="H59" i="33"/>
  <c r="T31" i="6"/>
  <c r="AI25" i="6"/>
  <c r="AD25" i="6"/>
  <c r="C75" i="29"/>
  <c r="D75" i="29"/>
  <c r="E75" i="29"/>
  <c r="F75" i="29"/>
  <c r="G75" i="29"/>
  <c r="F78" i="29"/>
  <c r="P69" i="33"/>
  <c r="B76" i="1" s="1"/>
  <c r="L71" i="33"/>
  <c r="L70" i="33"/>
  <c r="L69" i="33"/>
  <c r="K71" i="33"/>
  <c r="C55" i="1" s="1"/>
  <c r="K70" i="33"/>
  <c r="E55" i="1" s="1"/>
  <c r="K69" i="33"/>
  <c r="B55" i="1" s="1"/>
  <c r="AD44" i="31"/>
  <c r="AC18" i="33"/>
  <c r="R34" i="26"/>
  <c r="AB10" i="27"/>
  <c r="AF10" i="27" s="1"/>
  <c r="AH48" i="33"/>
  <c r="AD48" i="33"/>
  <c r="AC48" i="33"/>
  <c r="AC50" i="33"/>
  <c r="AI57" i="31"/>
  <c r="AE57" i="31"/>
  <c r="AD57" i="31"/>
  <c r="AH15" i="33"/>
  <c r="AC15" i="33"/>
  <c r="AH42" i="33"/>
  <c r="AH43" i="33"/>
  <c r="AC43" i="33"/>
  <c r="AH47" i="33"/>
  <c r="AC47" i="33"/>
  <c r="AH17" i="33"/>
  <c r="AC17" i="33"/>
  <c r="AH23" i="33"/>
  <c r="AC23" i="33"/>
  <c r="AH2" i="33"/>
  <c r="AC2" i="33"/>
  <c r="AH27" i="33"/>
  <c r="AC27" i="33"/>
  <c r="AC31" i="33"/>
  <c r="AH31" i="33"/>
  <c r="AH46" i="33"/>
  <c r="AC46" i="33"/>
  <c r="AH39" i="33"/>
  <c r="AC39" i="33"/>
  <c r="AC35" i="33"/>
  <c r="AH35" i="33"/>
  <c r="AH9" i="33"/>
  <c r="AC9" i="33"/>
  <c r="AI55" i="31"/>
  <c r="AD55" i="31"/>
  <c r="AF30" i="26"/>
  <c r="AC42" i="22"/>
  <c r="AF35" i="26"/>
  <c r="AA35" i="26"/>
  <c r="S34" i="29"/>
  <c r="U34" i="29" s="1"/>
  <c r="S32" i="29"/>
  <c r="I8" i="33"/>
  <c r="AX8" i="33" s="1"/>
  <c r="I9" i="33"/>
  <c r="W9" i="33" s="1"/>
  <c r="I10" i="33"/>
  <c r="Y10" i="33" s="1"/>
  <c r="I7" i="33"/>
  <c r="Y7" i="33" s="1"/>
  <c r="I2" i="33"/>
  <c r="W2" i="33" s="1"/>
  <c r="C42" i="24"/>
  <c r="C8" i="1" s="1"/>
  <c r="K56" i="31"/>
  <c r="AA56" i="31" s="1"/>
  <c r="K31" i="31"/>
  <c r="Y31" i="31" s="1"/>
  <c r="AX31" i="31"/>
  <c r="K30" i="31"/>
  <c r="AA30" i="31" s="1"/>
  <c r="K57" i="31"/>
  <c r="AX57" i="31" s="1"/>
  <c r="AI48" i="31"/>
  <c r="AD48" i="31"/>
  <c r="Z24" i="20"/>
  <c r="S42" i="29"/>
  <c r="S31" i="29"/>
  <c r="S20" i="29"/>
  <c r="AG39" i="29"/>
  <c r="AB15" i="29"/>
  <c r="AG15" i="29"/>
  <c r="C61" i="31"/>
  <c r="C4" i="1" s="1"/>
  <c r="W49" i="6"/>
  <c r="S21" i="29"/>
  <c r="J3" i="32"/>
  <c r="T3" i="32" s="1"/>
  <c r="J4" i="32"/>
  <c r="V4" i="32" s="1"/>
  <c r="J5" i="32"/>
  <c r="T5" i="32" s="1"/>
  <c r="J6" i="32"/>
  <c r="T6" i="32" s="1"/>
  <c r="J7" i="32"/>
  <c r="V7" i="32" s="1"/>
  <c r="J8" i="32"/>
  <c r="T8" i="32" s="1"/>
  <c r="J9" i="32"/>
  <c r="V9" i="32" s="1"/>
  <c r="J10" i="32"/>
  <c r="T10" i="32" s="1"/>
  <c r="J11" i="32"/>
  <c r="T11" i="32" s="1"/>
  <c r="J12" i="32"/>
  <c r="T12" i="32" s="1"/>
  <c r="J13" i="32"/>
  <c r="V13" i="32" s="1"/>
  <c r="J14" i="32"/>
  <c r="V14" i="32" s="1"/>
  <c r="J15" i="32"/>
  <c r="J16" i="32"/>
  <c r="V16" i="32" s="1"/>
  <c r="J17" i="32"/>
  <c r="V17" i="32" s="1"/>
  <c r="J18" i="32"/>
  <c r="V18" i="32" s="1"/>
  <c r="J19" i="32"/>
  <c r="V19" i="32" s="1"/>
  <c r="J20" i="32"/>
  <c r="T20" i="32" s="1"/>
  <c r="J21" i="32"/>
  <c r="V21" i="32" s="1"/>
  <c r="J23" i="32"/>
  <c r="T23" i="32" s="1"/>
  <c r="J24" i="32"/>
  <c r="J25" i="32"/>
  <c r="T25" i="32" s="1"/>
  <c r="J2" i="32"/>
  <c r="K53" i="31"/>
  <c r="AA53" i="31" s="1"/>
  <c r="K49" i="31"/>
  <c r="AA49" i="31" s="1"/>
  <c r="K45" i="31"/>
  <c r="Y45" i="31" s="1"/>
  <c r="K41" i="31"/>
  <c r="AX41" i="31" s="1"/>
  <c r="K26" i="31"/>
  <c r="Y26" i="31" s="1"/>
  <c r="K25" i="31"/>
  <c r="AA25" i="31" s="1"/>
  <c r="Y25" i="31"/>
  <c r="K21" i="31"/>
  <c r="Y21" i="31" s="1"/>
  <c r="K20" i="31"/>
  <c r="AA20" i="31" s="1"/>
  <c r="K16" i="31"/>
  <c r="AX16" i="31" s="1"/>
  <c r="K15" i="31"/>
  <c r="AA15" i="31" s="1"/>
  <c r="K11" i="31"/>
  <c r="Y11" i="31" s="1"/>
  <c r="K10" i="31"/>
  <c r="AX10" i="31" s="1"/>
  <c r="J27" i="20"/>
  <c r="AS27" i="20" s="1"/>
  <c r="AI26" i="31"/>
  <c r="AD26" i="31"/>
  <c r="U57" i="26"/>
  <c r="T57" i="26"/>
  <c r="S57" i="26"/>
  <c r="R57" i="26"/>
  <c r="Q57" i="26"/>
  <c r="T102" i="22"/>
  <c r="W102" i="22"/>
  <c r="V102" i="22"/>
  <c r="U102" i="22"/>
  <c r="S102" i="22"/>
  <c r="S105" i="22"/>
  <c r="W105" i="22"/>
  <c r="V105" i="22"/>
  <c r="U105" i="22"/>
  <c r="T105" i="22"/>
  <c r="R105" i="22"/>
  <c r="R102" i="22"/>
  <c r="Q102" i="22"/>
  <c r="Q105" i="22"/>
  <c r="P102" i="22"/>
  <c r="P105" i="22"/>
  <c r="O105" i="22"/>
  <c r="N105" i="22"/>
  <c r="L102" i="22"/>
  <c r="U46" i="24"/>
  <c r="T46" i="24"/>
  <c r="S46" i="24"/>
  <c r="S49" i="24"/>
  <c r="R46" i="24"/>
  <c r="R49" i="24"/>
  <c r="Q49" i="24"/>
  <c r="O49" i="24"/>
  <c r="U37" i="20"/>
  <c r="U40" i="20"/>
  <c r="T40" i="20"/>
  <c r="S40" i="20"/>
  <c r="R40" i="20"/>
  <c r="Q40" i="20"/>
  <c r="P40" i="20"/>
  <c r="O40" i="20"/>
  <c r="N40" i="20"/>
  <c r="L40" i="20"/>
  <c r="K40" i="20"/>
  <c r="J40" i="20"/>
  <c r="U87" i="6"/>
  <c r="T87" i="6"/>
  <c r="S87" i="6"/>
  <c r="R87" i="6"/>
  <c r="Q87" i="6"/>
  <c r="P87" i="6"/>
  <c r="O87" i="6"/>
  <c r="N87" i="6"/>
  <c r="M87" i="6"/>
  <c r="L87" i="6"/>
  <c r="K87" i="6"/>
  <c r="J87" i="6"/>
  <c r="U84" i="6"/>
  <c r="H82" i="6"/>
  <c r="V84" i="6"/>
  <c r="Q79" i="3"/>
  <c r="Q78" i="3"/>
  <c r="Q77" i="3"/>
  <c r="Q76" i="3"/>
  <c r="Q75" i="3"/>
  <c r="Q74" i="3"/>
  <c r="Q73" i="3"/>
  <c r="P79" i="3"/>
  <c r="P78" i="3"/>
  <c r="P77" i="3"/>
  <c r="F85" i="1"/>
  <c r="P76" i="3"/>
  <c r="Q85" i="1"/>
  <c r="P75" i="3"/>
  <c r="E85" i="1"/>
  <c r="P74" i="3"/>
  <c r="D85" i="1"/>
  <c r="P73" i="3"/>
  <c r="B85" i="1"/>
  <c r="X85" i="1" s="1"/>
  <c r="L75" i="3"/>
  <c r="L74" i="3"/>
  <c r="L73" i="3"/>
  <c r="K75" i="3"/>
  <c r="D64" i="1"/>
  <c r="K74" i="3"/>
  <c r="K73" i="3"/>
  <c r="N41" i="1"/>
  <c r="D74" i="1"/>
  <c r="M73" i="3"/>
  <c r="R78" i="3"/>
  <c r="R79" i="3"/>
  <c r="R75" i="3"/>
  <c r="R76" i="3"/>
  <c r="M75" i="3"/>
  <c r="R73" i="3"/>
  <c r="R74" i="3"/>
  <c r="R77" i="3"/>
  <c r="M74" i="3"/>
  <c r="B64" i="1"/>
  <c r="C64" i="1"/>
  <c r="L101" i="6"/>
  <c r="L100" i="6"/>
  <c r="L99" i="6"/>
  <c r="L98" i="6"/>
  <c r="K101" i="6"/>
  <c r="H52" i="1" s="1"/>
  <c r="H68" i="1" s="1"/>
  <c r="L58" i="1" s="1"/>
  <c r="K100" i="6"/>
  <c r="C52" i="1" s="1"/>
  <c r="K99" i="6"/>
  <c r="B52" i="1" s="1"/>
  <c r="K98" i="6"/>
  <c r="U90" i="6"/>
  <c r="T90" i="6"/>
  <c r="S90" i="6"/>
  <c r="R90" i="6"/>
  <c r="Q90" i="6"/>
  <c r="P90" i="6"/>
  <c r="O90" i="6"/>
  <c r="N90" i="6"/>
  <c r="M90" i="6"/>
  <c r="L90" i="6"/>
  <c r="K90" i="6"/>
  <c r="N62" i="28"/>
  <c r="N68" i="28"/>
  <c r="N67" i="28"/>
  <c r="N66" i="28"/>
  <c r="N65" i="28"/>
  <c r="N64" i="28"/>
  <c r="N63" i="28"/>
  <c r="I64" i="28"/>
  <c r="I63" i="28"/>
  <c r="I62" i="28"/>
  <c r="H64" i="28" a="1"/>
  <c r="H64" i="28" s="1"/>
  <c r="H63" i="28" a="1"/>
  <c r="H63" i="28" s="1"/>
  <c r="E66" i="1" s="1"/>
  <c r="H62" i="28" a="1"/>
  <c r="H62" i="28" s="1"/>
  <c r="L52" i="28"/>
  <c r="K52" i="28"/>
  <c r="J52" i="28"/>
  <c r="I52" i="28"/>
  <c r="H52" i="28"/>
  <c r="Q71" i="26"/>
  <c r="Q70" i="26"/>
  <c r="Q69" i="26"/>
  <c r="Q68" i="26"/>
  <c r="Q67" i="26"/>
  <c r="Q66" i="26"/>
  <c r="Q65" i="26"/>
  <c r="P71" i="26"/>
  <c r="P70" i="26"/>
  <c r="N86" i="1" s="1"/>
  <c r="P69" i="26"/>
  <c r="W86" i="1" s="1"/>
  <c r="P68" i="26"/>
  <c r="P67" i="26"/>
  <c r="D86" i="1" s="1"/>
  <c r="P66" i="26"/>
  <c r="P65" i="26"/>
  <c r="R70" i="26" s="1"/>
  <c r="K60" i="26"/>
  <c r="J60" i="26"/>
  <c r="L67" i="26"/>
  <c r="L66" i="26"/>
  <c r="L65" i="26"/>
  <c r="K67" i="26"/>
  <c r="D65" i="1" s="1"/>
  <c r="K66" i="26"/>
  <c r="M66" i="26" s="1"/>
  <c r="K65" i="26"/>
  <c r="B65" i="1" s="1"/>
  <c r="U60" i="26"/>
  <c r="S60" i="26"/>
  <c r="R60" i="26"/>
  <c r="P60" i="26"/>
  <c r="O60" i="26"/>
  <c r="N60" i="26"/>
  <c r="M60" i="26"/>
  <c r="L60" i="26"/>
  <c r="N116" i="22"/>
  <c r="N115" i="22"/>
  <c r="M116" i="22"/>
  <c r="D63" i="1" s="1"/>
  <c r="M115" i="22"/>
  <c r="C63" i="1" s="1"/>
  <c r="M114" i="22"/>
  <c r="M105" i="22"/>
  <c r="Q48" i="32"/>
  <c r="Q47" i="32"/>
  <c r="Q46" i="32"/>
  <c r="Q45" i="32"/>
  <c r="Q44" i="32"/>
  <c r="Q43" i="32"/>
  <c r="Q42" i="32"/>
  <c r="P48" i="32" a="1"/>
  <c r="P48" i="32" s="1"/>
  <c r="P47" i="32" a="1"/>
  <c r="P47" i="32" s="1"/>
  <c r="P46" i="32" a="1"/>
  <c r="P46" i="32" s="1"/>
  <c r="P45" i="32" a="1"/>
  <c r="P45" i="32" s="1"/>
  <c r="P44" i="32" a="1"/>
  <c r="P44" i="32" s="1"/>
  <c r="P43" i="32" a="1"/>
  <c r="P43" i="32" s="1"/>
  <c r="C83" i="1" s="1"/>
  <c r="P42" i="32" a="1"/>
  <c r="P42" i="32"/>
  <c r="L44" i="32"/>
  <c r="L43" i="32"/>
  <c r="L42" i="32"/>
  <c r="K44" i="32" a="1"/>
  <c r="K44" i="32" s="1"/>
  <c r="K43" i="32" a="1"/>
  <c r="K43" i="32" s="1"/>
  <c r="K42" i="32" a="1"/>
  <c r="K42" i="32" s="1"/>
  <c r="K78" i="30" a="1"/>
  <c r="K78" i="30" s="1"/>
  <c r="B61" i="1" s="1"/>
  <c r="U37" i="32"/>
  <c r="T37" i="32"/>
  <c r="S37" i="32"/>
  <c r="R37" i="32"/>
  <c r="Q37" i="32"/>
  <c r="P37" i="32"/>
  <c r="O37" i="32"/>
  <c r="N37" i="32"/>
  <c r="M37" i="32"/>
  <c r="L37" i="32"/>
  <c r="K37" i="32"/>
  <c r="J37" i="32"/>
  <c r="P84" i="30" a="1"/>
  <c r="P84" i="30" s="1"/>
  <c r="K80" i="30" a="1"/>
  <c r="K80" i="30" s="1"/>
  <c r="F62" i="1" s="1"/>
  <c r="K79" i="30" a="1"/>
  <c r="K79" i="30" s="1"/>
  <c r="S67" i="29"/>
  <c r="S66" i="29"/>
  <c r="S65" i="29"/>
  <c r="S64" i="29"/>
  <c r="S63" i="29"/>
  <c r="S62" i="29"/>
  <c r="S61" i="29"/>
  <c r="Q67" i="29" a="1"/>
  <c r="Q67" i="29" s="1"/>
  <c r="L63" i="29"/>
  <c r="F60" i="1" s="1"/>
  <c r="L62" i="29"/>
  <c r="L61" i="29"/>
  <c r="K63" i="29" a="1"/>
  <c r="K63" i="29" s="1"/>
  <c r="K62" i="29" a="1"/>
  <c r="K62" i="29" s="1"/>
  <c r="K61" i="29" a="1"/>
  <c r="K61" i="29" s="1"/>
  <c r="V52" i="29"/>
  <c r="U52" i="29"/>
  <c r="T52" i="29"/>
  <c r="S52" i="29"/>
  <c r="Q52" i="29"/>
  <c r="P52" i="29"/>
  <c r="O52" i="29"/>
  <c r="N52" i="29"/>
  <c r="M52" i="29"/>
  <c r="L52" i="29"/>
  <c r="K52" i="29"/>
  <c r="AI52" i="31"/>
  <c r="AD52" i="31"/>
  <c r="Q69" i="33"/>
  <c r="L73" i="31"/>
  <c r="R46" i="27"/>
  <c r="R45" i="27"/>
  <c r="R44" i="27"/>
  <c r="R43" i="27"/>
  <c r="R42" i="27"/>
  <c r="R41" i="27"/>
  <c r="R40" i="27"/>
  <c r="Q57" i="24"/>
  <c r="P46" i="27"/>
  <c r="P45" i="27"/>
  <c r="P44" i="27"/>
  <c r="P43" i="27"/>
  <c r="L80" i="1" s="1"/>
  <c r="P42" i="27"/>
  <c r="D80" i="1" s="1"/>
  <c r="P41" i="27"/>
  <c r="C80" i="1" s="1"/>
  <c r="R9" i="27"/>
  <c r="P40" i="27"/>
  <c r="P57" i="24"/>
  <c r="B79" i="1" s="1"/>
  <c r="L42" i="27"/>
  <c r="L41" i="27"/>
  <c r="L40" i="27"/>
  <c r="K42" i="27"/>
  <c r="F59" i="1" s="1"/>
  <c r="K41" i="27"/>
  <c r="C59" i="1" s="1"/>
  <c r="K40" i="27"/>
  <c r="K57" i="24"/>
  <c r="B58" i="1" s="1"/>
  <c r="Q63" i="24"/>
  <c r="Q62" i="24"/>
  <c r="Q61" i="24"/>
  <c r="Q60" i="24"/>
  <c r="Q59" i="24"/>
  <c r="Q58" i="24"/>
  <c r="L57" i="24"/>
  <c r="P63" i="24"/>
  <c r="E79" i="1" s="1"/>
  <c r="P62" i="24"/>
  <c r="O79" i="1" s="1"/>
  <c r="O89" i="1" s="1"/>
  <c r="B111" i="1" s="1"/>
  <c r="P61" i="24"/>
  <c r="P79" i="1" s="1"/>
  <c r="P60" i="24"/>
  <c r="G79" i="1" s="1"/>
  <c r="P59" i="24"/>
  <c r="D79" i="1" s="1"/>
  <c r="P58" i="24"/>
  <c r="L60" i="24"/>
  <c r="L59" i="24"/>
  <c r="L58" i="24"/>
  <c r="L51" i="20"/>
  <c r="K60" i="24"/>
  <c r="F58" i="1" s="1"/>
  <c r="K59" i="24"/>
  <c r="K58" i="24"/>
  <c r="C58" i="1" s="1"/>
  <c r="Q55" i="20"/>
  <c r="Q54" i="20"/>
  <c r="Q53" i="20"/>
  <c r="Q52" i="20"/>
  <c r="P52" i="20"/>
  <c r="Q51" i="20"/>
  <c r="P55" i="20"/>
  <c r="P78" i="1" s="1"/>
  <c r="P51" i="20"/>
  <c r="B78" i="1" s="1"/>
  <c r="P54" i="20"/>
  <c r="G78" i="1" s="1"/>
  <c r="P53" i="20"/>
  <c r="D78" i="1" s="1"/>
  <c r="L55" i="20"/>
  <c r="L54" i="20"/>
  <c r="K55" i="20"/>
  <c r="F57" i="1" s="1"/>
  <c r="K54" i="20"/>
  <c r="L53" i="20"/>
  <c r="L52" i="20"/>
  <c r="K53" i="20"/>
  <c r="K52" i="20"/>
  <c r="G57" i="1" s="1"/>
  <c r="G68" i="1" s="1"/>
  <c r="L57" i="1" s="1"/>
  <c r="K51" i="20"/>
  <c r="K97" i="34" a="1"/>
  <c r="K97" i="34" s="1"/>
  <c r="B56" i="1" s="1"/>
  <c r="K99" i="34" a="1"/>
  <c r="K99" i="34" s="1"/>
  <c r="C56" i="1" s="1"/>
  <c r="K98" i="34" a="1"/>
  <c r="K98" i="34" s="1"/>
  <c r="Q71" i="33"/>
  <c r="Q70" i="33"/>
  <c r="Q74" i="31"/>
  <c r="Q75" i="31"/>
  <c r="Q73" i="31"/>
  <c r="Q85" i="13"/>
  <c r="P74" i="31"/>
  <c r="P75" i="31"/>
  <c r="W75" i="1" s="1"/>
  <c r="P73" i="31"/>
  <c r="L75" i="31"/>
  <c r="L74" i="31"/>
  <c r="L85" i="13"/>
  <c r="K75" i="31"/>
  <c r="C54" i="1" s="1"/>
  <c r="K74" i="31"/>
  <c r="E54" i="1" s="1"/>
  <c r="K73" i="31"/>
  <c r="B54" i="1" s="1"/>
  <c r="K85" i="13"/>
  <c r="B53" i="1" s="1"/>
  <c r="C89" i="6"/>
  <c r="D89" i="6"/>
  <c r="E89" i="6"/>
  <c r="F89" i="6"/>
  <c r="C92" i="6"/>
  <c r="D92" i="6"/>
  <c r="E92" i="6"/>
  <c r="F92" i="6"/>
  <c r="C98" i="6"/>
  <c r="C99" i="6"/>
  <c r="C100" i="6"/>
  <c r="C103" i="6"/>
  <c r="F103" i="6"/>
  <c r="C104" i="6"/>
  <c r="D104" i="6"/>
  <c r="E104" i="6"/>
  <c r="F104" i="6"/>
  <c r="G104" i="6"/>
  <c r="C105" i="6"/>
  <c r="D105" i="6"/>
  <c r="E105" i="6"/>
  <c r="F105" i="6"/>
  <c r="G105" i="6"/>
  <c r="C106" i="6"/>
  <c r="D106" i="6"/>
  <c r="E106" i="6"/>
  <c r="F106" i="6"/>
  <c r="Q87" i="13"/>
  <c r="Q86" i="13"/>
  <c r="P86" i="13"/>
  <c r="C74" i="1" s="1"/>
  <c r="P87" i="13"/>
  <c r="U74" i="1" s="1"/>
  <c r="P85" i="13"/>
  <c r="B74" i="1" s="1"/>
  <c r="L87" i="13"/>
  <c r="L86" i="13"/>
  <c r="K87" i="13"/>
  <c r="C53" i="1" s="1"/>
  <c r="K86" i="13"/>
  <c r="X6" i="28"/>
  <c r="Y6" i="28" s="1"/>
  <c r="X20" i="28"/>
  <c r="X25" i="28"/>
  <c r="Y25" i="28" s="1"/>
  <c r="P42" i="28"/>
  <c r="O40" i="28"/>
  <c r="O39" i="28"/>
  <c r="O38" i="28"/>
  <c r="O37" i="28"/>
  <c r="O36" i="28"/>
  <c r="O35" i="28"/>
  <c r="O34" i="28"/>
  <c r="O33" i="28"/>
  <c r="O32" i="28"/>
  <c r="O31" i="28"/>
  <c r="O30" i="28"/>
  <c r="O29" i="28"/>
  <c r="O28" i="28"/>
  <c r="O27" i="28"/>
  <c r="O26" i="28"/>
  <c r="O25" i="28"/>
  <c r="O24" i="28"/>
  <c r="O23" i="28"/>
  <c r="O22" i="28"/>
  <c r="O21" i="28"/>
  <c r="O20" i="28"/>
  <c r="O19" i="28"/>
  <c r="O18" i="28"/>
  <c r="O17" i="28"/>
  <c r="O16" i="28"/>
  <c r="O15" i="28"/>
  <c r="O14" i="28"/>
  <c r="O13" i="28"/>
  <c r="O12" i="28"/>
  <c r="O11" i="28"/>
  <c r="O10" i="28"/>
  <c r="O9" i="28"/>
  <c r="O8" i="28"/>
  <c r="O7" i="28"/>
  <c r="O6" i="28"/>
  <c r="O5" i="28"/>
  <c r="O4" i="28"/>
  <c r="O3" i="28"/>
  <c r="O2" i="28"/>
  <c r="N39" i="1"/>
  <c r="N42" i="1"/>
  <c r="I26" i="33"/>
  <c r="Y26" i="33" s="1"/>
  <c r="I51" i="33"/>
  <c r="W51" i="33" s="1"/>
  <c r="I50" i="33"/>
  <c r="Y50" i="33" s="1"/>
  <c r="I49" i="33"/>
  <c r="Y49" i="33" s="1"/>
  <c r="I48" i="33"/>
  <c r="W48" i="33" s="1"/>
  <c r="I43" i="33"/>
  <c r="AX43" i="33" s="1"/>
  <c r="I42" i="33"/>
  <c r="Y42" i="33" s="1"/>
  <c r="I41" i="33"/>
  <c r="AX41" i="33" s="1"/>
  <c r="I40" i="33"/>
  <c r="Y40" i="33" s="1"/>
  <c r="I35" i="33"/>
  <c r="Y35" i="33" s="1"/>
  <c r="I34" i="33"/>
  <c r="Y34" i="33" s="1"/>
  <c r="I33" i="33"/>
  <c r="AX33" i="33" s="1"/>
  <c r="I32" i="33"/>
  <c r="Y32" i="33" s="1"/>
  <c r="I27" i="33"/>
  <c r="AX27" i="33" s="1"/>
  <c r="I25" i="33"/>
  <c r="W25" i="33" s="1"/>
  <c r="I24" i="33"/>
  <c r="W24" i="33" s="1"/>
  <c r="I19" i="33"/>
  <c r="Y19" i="33" s="1"/>
  <c r="I16" i="33"/>
  <c r="AX16" i="33" s="1"/>
  <c r="I11" i="33"/>
  <c r="Y11" i="33" s="1"/>
  <c r="I6" i="33"/>
  <c r="W6" i="33" s="1"/>
  <c r="K12" i="31"/>
  <c r="Y12" i="31" s="1"/>
  <c r="S4" i="33"/>
  <c r="V4" i="33" s="1"/>
  <c r="S26" i="33"/>
  <c r="V26" i="33" s="1"/>
  <c r="S52" i="33"/>
  <c r="V52" i="33" s="1"/>
  <c r="H61" i="33"/>
  <c r="H60" i="33"/>
  <c r="Q5" i="1" s="1"/>
  <c r="R5" i="1" s="1"/>
  <c r="J7" i="34"/>
  <c r="J22" i="34"/>
  <c r="Z22" i="34" s="1"/>
  <c r="J25" i="34"/>
  <c r="Z25" i="34" s="1"/>
  <c r="J30" i="34"/>
  <c r="AY30" i="34" s="1"/>
  <c r="J33" i="34"/>
  <c r="AY33" i="34" s="1"/>
  <c r="J38" i="34"/>
  <c r="Z38" i="34" s="1"/>
  <c r="J41" i="34"/>
  <c r="X41" i="34" s="1"/>
  <c r="J46" i="34"/>
  <c r="AY46" i="34" s="1"/>
  <c r="J49" i="34"/>
  <c r="AY49" i="34" s="1"/>
  <c r="J55" i="34"/>
  <c r="J56" i="34"/>
  <c r="X56" i="34" s="1"/>
  <c r="F105" i="34" s="1"/>
  <c r="J57" i="34"/>
  <c r="X57" i="34" s="1"/>
  <c r="F102" i="34" s="1"/>
  <c r="J59" i="34"/>
  <c r="J66" i="34"/>
  <c r="Z66" i="34" s="1"/>
  <c r="J70" i="34"/>
  <c r="AY70" i="34" s="1"/>
  <c r="J74" i="34"/>
  <c r="X74" i="34" s="1"/>
  <c r="J78" i="34"/>
  <c r="AY78" i="34" s="1"/>
  <c r="J82" i="34"/>
  <c r="AY82" i="34" s="1"/>
  <c r="J83" i="34"/>
  <c r="Z83" i="34" s="1"/>
  <c r="J4" i="34"/>
  <c r="H79" i="34"/>
  <c r="J79" i="34" s="1"/>
  <c r="AY79" i="34" s="1"/>
  <c r="H75" i="34"/>
  <c r="J75" i="34"/>
  <c r="Z75" i="34" s="1"/>
  <c r="H71" i="34"/>
  <c r="J71" i="34" s="1"/>
  <c r="AY71" i="34" s="1"/>
  <c r="H67" i="34"/>
  <c r="J67" i="34" s="1"/>
  <c r="AY67" i="34" s="1"/>
  <c r="I58" i="34"/>
  <c r="J58" i="34"/>
  <c r="AY58" i="34" s="1"/>
  <c r="H48" i="34"/>
  <c r="J48" i="34" s="1"/>
  <c r="H47" i="34"/>
  <c r="J47" i="34" s="1"/>
  <c r="AY47" i="34" s="1"/>
  <c r="H40" i="34"/>
  <c r="J40" i="34" s="1"/>
  <c r="H39" i="34"/>
  <c r="J39" i="34" s="1"/>
  <c r="AY39" i="34" s="1"/>
  <c r="H32" i="34"/>
  <c r="J32" i="34"/>
  <c r="AY32" i="34" s="1"/>
  <c r="H31" i="34"/>
  <c r="J31" i="34" s="1"/>
  <c r="H24" i="34"/>
  <c r="J24" i="34"/>
  <c r="X24" i="34" s="1"/>
  <c r="H23" i="34"/>
  <c r="J23" i="34" s="1"/>
  <c r="AY23" i="34" s="1"/>
  <c r="H16" i="34"/>
  <c r="J16" i="34" s="1"/>
  <c r="Z16" i="34" s="1"/>
  <c r="H15" i="34"/>
  <c r="J15" i="34" s="1"/>
  <c r="AY15" i="34" s="1"/>
  <c r="G117" i="34"/>
  <c r="C117" i="34"/>
  <c r="G116" i="34"/>
  <c r="G115" i="34"/>
  <c r="D115" i="34"/>
  <c r="G114" i="34"/>
  <c r="H111" i="34"/>
  <c r="G111" i="34"/>
  <c r="F111" i="34"/>
  <c r="E111" i="34"/>
  <c r="D111" i="34"/>
  <c r="C111" i="34"/>
  <c r="G110" i="34"/>
  <c r="H109" i="34"/>
  <c r="G109" i="34"/>
  <c r="F109" i="34"/>
  <c r="E109" i="34"/>
  <c r="D109" i="34"/>
  <c r="C109" i="34"/>
  <c r="G108" i="34"/>
  <c r="F108" i="34"/>
  <c r="G105" i="34"/>
  <c r="G104" i="34"/>
  <c r="G103" i="34"/>
  <c r="G102" i="34"/>
  <c r="G97" i="34"/>
  <c r="F97" i="34"/>
  <c r="E97" i="34"/>
  <c r="D97" i="34"/>
  <c r="C97" i="34"/>
  <c r="G96" i="34"/>
  <c r="F96" i="34"/>
  <c r="E96" i="34"/>
  <c r="D96" i="34"/>
  <c r="C96" i="34"/>
  <c r="G95" i="34"/>
  <c r="F95" i="34"/>
  <c r="E95" i="34"/>
  <c r="D95" i="34"/>
  <c r="C95" i="34"/>
  <c r="S88" i="34"/>
  <c r="R88" i="34"/>
  <c r="P88" i="34"/>
  <c r="O88" i="34"/>
  <c r="N88" i="34"/>
  <c r="M88" i="34"/>
  <c r="L88" i="34"/>
  <c r="K88" i="34"/>
  <c r="G94" i="34"/>
  <c r="F94" i="34"/>
  <c r="E94" i="34"/>
  <c r="D94" i="34"/>
  <c r="C94" i="34"/>
  <c r="D90" i="34"/>
  <c r="C90" i="34"/>
  <c r="F6" i="1" s="1"/>
  <c r="C89" i="34"/>
  <c r="G6" i="1" s="1"/>
  <c r="C88" i="34"/>
  <c r="E6" i="1" s="1"/>
  <c r="C87" i="34"/>
  <c r="C6" i="1" s="1"/>
  <c r="F84" i="34"/>
  <c r="AD82" i="34"/>
  <c r="AD77" i="34"/>
  <c r="AD73" i="34"/>
  <c r="AD71" i="34"/>
  <c r="AI66" i="34"/>
  <c r="AD66" i="34"/>
  <c r="AD60" i="34"/>
  <c r="AI30" i="34"/>
  <c r="AD30" i="34"/>
  <c r="AI29" i="34"/>
  <c r="AD29" i="34"/>
  <c r="AI26" i="34"/>
  <c r="AD26" i="34"/>
  <c r="AI25" i="34"/>
  <c r="AI24" i="34"/>
  <c r="AI22" i="34"/>
  <c r="AD22" i="34"/>
  <c r="AI20" i="34"/>
  <c r="AD20" i="34"/>
  <c r="AI19" i="34"/>
  <c r="AD19" i="34"/>
  <c r="AI18" i="34"/>
  <c r="AD18" i="34"/>
  <c r="AI17" i="34"/>
  <c r="AI13" i="34"/>
  <c r="AD13" i="34"/>
  <c r="AI12" i="34"/>
  <c r="AD12" i="34"/>
  <c r="AI10" i="34"/>
  <c r="AI7" i="34"/>
  <c r="AI6" i="34"/>
  <c r="G46" i="33"/>
  <c r="I46" i="33"/>
  <c r="W46" i="33" s="1"/>
  <c r="G45" i="33"/>
  <c r="I45" i="33"/>
  <c r="AX45" i="33" s="1"/>
  <c r="G38" i="33"/>
  <c r="I38" i="33"/>
  <c r="Y38" i="33" s="1"/>
  <c r="S38" i="33"/>
  <c r="V38" i="33" s="1"/>
  <c r="G37" i="33"/>
  <c r="I37" i="33"/>
  <c r="Y37" i="33" s="1"/>
  <c r="G30" i="33"/>
  <c r="I30" i="33"/>
  <c r="Y30" i="33" s="1"/>
  <c r="G29" i="33"/>
  <c r="I29" i="33"/>
  <c r="W29" i="33" s="1"/>
  <c r="G22" i="33"/>
  <c r="I22" i="33"/>
  <c r="W22" i="33" s="1"/>
  <c r="S22" i="33"/>
  <c r="V22" i="33" s="1"/>
  <c r="G21" i="33"/>
  <c r="I21" i="33"/>
  <c r="AX21" i="33" s="1"/>
  <c r="I3" i="33"/>
  <c r="I4" i="33"/>
  <c r="W4" i="33" s="1"/>
  <c r="I5" i="33"/>
  <c r="Y5" i="33" s="1"/>
  <c r="S8" i="33"/>
  <c r="V8" i="33" s="1"/>
  <c r="S10" i="33"/>
  <c r="V10" i="33" s="1"/>
  <c r="I12" i="33"/>
  <c r="Y12" i="33" s="1"/>
  <c r="S12" i="33"/>
  <c r="V12" i="33" s="1"/>
  <c r="I15" i="33"/>
  <c r="Y15" i="33" s="1"/>
  <c r="S16" i="33"/>
  <c r="AH16" i="33" s="1"/>
  <c r="I17" i="33"/>
  <c r="Y17" i="33" s="1"/>
  <c r="I18" i="33"/>
  <c r="Y18" i="33" s="1"/>
  <c r="I20" i="33"/>
  <c r="W20" i="33" s="1"/>
  <c r="S20" i="33"/>
  <c r="V20" i="33" s="1"/>
  <c r="I23" i="33"/>
  <c r="Y23" i="33" s="1"/>
  <c r="S23" i="33"/>
  <c r="V23" i="33" s="1"/>
  <c r="S24" i="33"/>
  <c r="V24" i="33" s="1"/>
  <c r="I28" i="33"/>
  <c r="AX28" i="33" s="1"/>
  <c r="S28" i="33"/>
  <c r="V28" i="33" s="1"/>
  <c r="I31" i="33"/>
  <c r="Y31" i="33" s="1"/>
  <c r="S32" i="33"/>
  <c r="V32" i="33" s="1"/>
  <c r="S34" i="33"/>
  <c r="I36" i="33"/>
  <c r="AX36" i="33" s="1"/>
  <c r="I39" i="33"/>
  <c r="W39" i="33" s="1"/>
  <c r="S40" i="33"/>
  <c r="V40" i="33" s="1"/>
  <c r="I44" i="33"/>
  <c r="AX44" i="33" s="1"/>
  <c r="S44" i="33"/>
  <c r="V44" i="33" s="1"/>
  <c r="I47" i="33"/>
  <c r="Y47" i="33" s="1"/>
  <c r="I52" i="33"/>
  <c r="I53" i="33"/>
  <c r="F89" i="33" s="1"/>
  <c r="F91" i="33" s="1"/>
  <c r="I54" i="33"/>
  <c r="AX54" i="33" s="1"/>
  <c r="S54" i="33"/>
  <c r="V54" i="33" s="1"/>
  <c r="I55" i="33"/>
  <c r="W55" i="33" s="1"/>
  <c r="F87" i="33"/>
  <c r="S2" i="33"/>
  <c r="V2" i="33" s="1"/>
  <c r="G14" i="33"/>
  <c r="I14" i="33"/>
  <c r="AX14" i="33" s="1"/>
  <c r="S14" i="33"/>
  <c r="V14" i="33" s="1"/>
  <c r="G13" i="33"/>
  <c r="I13" i="33"/>
  <c r="AX13" i="33" s="1"/>
  <c r="AH3" i="33"/>
  <c r="AH4" i="33"/>
  <c r="AH5" i="33"/>
  <c r="AH6" i="33"/>
  <c r="AH7" i="33"/>
  <c r="AH8" i="33"/>
  <c r="AH10" i="33"/>
  <c r="AH11" i="33"/>
  <c r="AH14" i="33"/>
  <c r="AH19" i="33"/>
  <c r="AH20" i="33"/>
  <c r="AH21" i="33"/>
  <c r="AH24" i="33"/>
  <c r="AH25" i="33"/>
  <c r="AH26" i="33"/>
  <c r="AH29" i="33"/>
  <c r="AH32" i="33"/>
  <c r="AH33" i="33"/>
  <c r="AH34" i="33"/>
  <c r="AH37" i="33"/>
  <c r="AH40" i="33"/>
  <c r="AH44" i="33"/>
  <c r="AH45" i="33"/>
  <c r="AH49" i="33"/>
  <c r="AH50" i="33"/>
  <c r="AH52" i="33"/>
  <c r="AH54" i="33"/>
  <c r="AC3" i="33"/>
  <c r="AC4" i="33"/>
  <c r="AC7" i="33"/>
  <c r="AC8" i="33"/>
  <c r="AC10" i="33"/>
  <c r="AC11" i="33"/>
  <c r="AC14" i="33"/>
  <c r="AC19" i="33"/>
  <c r="AC20" i="33"/>
  <c r="AC21" i="33"/>
  <c r="AC25" i="33"/>
  <c r="AC26" i="33"/>
  <c r="AC33" i="33"/>
  <c r="AC34" i="33"/>
  <c r="AC40" i="33"/>
  <c r="AC42" i="33"/>
  <c r="AC44" i="33"/>
  <c r="AC45" i="33"/>
  <c r="AC49" i="33"/>
  <c r="AC52" i="33"/>
  <c r="G83" i="33"/>
  <c r="F83" i="33"/>
  <c r="E83" i="33"/>
  <c r="D83" i="33"/>
  <c r="C83" i="33"/>
  <c r="G81" i="33"/>
  <c r="F81" i="33"/>
  <c r="E81" i="33"/>
  <c r="D81" i="33"/>
  <c r="C81" i="33"/>
  <c r="F80" i="33"/>
  <c r="D80" i="33"/>
  <c r="C80" i="33"/>
  <c r="F69" i="33"/>
  <c r="E69" i="33"/>
  <c r="D69" i="33"/>
  <c r="C69" i="33"/>
  <c r="F68" i="33"/>
  <c r="E68" i="33"/>
  <c r="D68" i="33"/>
  <c r="C68" i="33"/>
  <c r="F67" i="33"/>
  <c r="E67" i="33"/>
  <c r="D67" i="33"/>
  <c r="C67" i="33"/>
  <c r="S60" i="33"/>
  <c r="L60" i="33"/>
  <c r="F66" i="33"/>
  <c r="E66" i="33"/>
  <c r="D66" i="33"/>
  <c r="C66" i="33"/>
  <c r="D62" i="33"/>
  <c r="C62" i="33"/>
  <c r="F5" i="1" s="1"/>
  <c r="C61" i="33"/>
  <c r="G5" i="1" s="1"/>
  <c r="C60" i="33"/>
  <c r="E5" i="1" s="1"/>
  <c r="C59" i="33"/>
  <c r="C5" i="1" s="1"/>
  <c r="F56" i="33"/>
  <c r="F115" i="34"/>
  <c r="D117" i="34"/>
  <c r="F103" i="34"/>
  <c r="C89" i="33"/>
  <c r="C91" i="33" s="1"/>
  <c r="D89" i="33"/>
  <c r="D91" i="33" s="1"/>
  <c r="D87" i="33"/>
  <c r="C87" i="33"/>
  <c r="H89" i="34"/>
  <c r="H87" i="34"/>
  <c r="S13" i="33"/>
  <c r="V13" i="33" s="1"/>
  <c r="S45" i="33"/>
  <c r="V45" i="33" s="1"/>
  <c r="S55" i="33"/>
  <c r="V55" i="33" s="1"/>
  <c r="S49" i="33"/>
  <c r="S37" i="33"/>
  <c r="V37" i="33" s="1"/>
  <c r="S31" i="33"/>
  <c r="V31" i="33" s="1"/>
  <c r="S43" i="33"/>
  <c r="S7" i="33"/>
  <c r="V7" i="33" s="1"/>
  <c r="S46" i="33"/>
  <c r="V46" i="33" s="1"/>
  <c r="S50" i="33"/>
  <c r="V50" i="33" s="1"/>
  <c r="S48" i="33"/>
  <c r="V48" i="33" s="1"/>
  <c r="S42" i="33"/>
  <c r="V42" i="33" s="1"/>
  <c r="S36" i="33"/>
  <c r="V36" i="33" s="1"/>
  <c r="S30" i="33"/>
  <c r="V30" i="33" s="1"/>
  <c r="S18" i="33"/>
  <c r="V18" i="33" s="1"/>
  <c r="S53" i="33"/>
  <c r="S47" i="33"/>
  <c r="V47" i="33" s="1"/>
  <c r="S41" i="33"/>
  <c r="V41" i="33" s="1"/>
  <c r="S35" i="33"/>
  <c r="V35" i="33" s="1"/>
  <c r="S29" i="33"/>
  <c r="S17" i="33"/>
  <c r="V17" i="33" s="1"/>
  <c r="S11" i="33"/>
  <c r="V11" i="33" s="1"/>
  <c r="S5" i="33"/>
  <c r="V5" i="33" s="1"/>
  <c r="S51" i="33"/>
  <c r="V51" i="33" s="1"/>
  <c r="S39" i="33"/>
  <c r="V39" i="33" s="1"/>
  <c r="S33" i="33"/>
  <c r="V33" i="33" s="1"/>
  <c r="S27" i="33"/>
  <c r="V27" i="33" s="1"/>
  <c r="S21" i="33"/>
  <c r="V21" i="33" s="1"/>
  <c r="S15" i="33"/>
  <c r="V15" i="33" s="1"/>
  <c r="S9" i="33"/>
  <c r="S3" i="33"/>
  <c r="V3" i="33" s="1"/>
  <c r="C116" i="34"/>
  <c r="C88" i="33"/>
  <c r="D88" i="33"/>
  <c r="D103" i="34"/>
  <c r="D77" i="33"/>
  <c r="C77" i="33"/>
  <c r="F82" i="33"/>
  <c r="C82" i="33"/>
  <c r="S19" i="33"/>
  <c r="V19" i="33" s="1"/>
  <c r="D82" i="33"/>
  <c r="S6" i="33"/>
  <c r="S25" i="33"/>
  <c r="C75" i="33"/>
  <c r="D75" i="33"/>
  <c r="C76" i="33"/>
  <c r="D76" i="33"/>
  <c r="AF23" i="26"/>
  <c r="AH57" i="13"/>
  <c r="AC57" i="13"/>
  <c r="AI67" i="6"/>
  <c r="AE67" i="6"/>
  <c r="AD67" i="6"/>
  <c r="AI49" i="6"/>
  <c r="AE49" i="6"/>
  <c r="AD49" i="6"/>
  <c r="AA7" i="27"/>
  <c r="S3" i="1"/>
  <c r="U3" i="1" s="1"/>
  <c r="H31" i="32"/>
  <c r="H30" i="32"/>
  <c r="Q12" i="1" s="1"/>
  <c r="R12" i="1" s="1"/>
  <c r="H29" i="32"/>
  <c r="H53" i="29"/>
  <c r="H52" i="29"/>
  <c r="Q10" i="1" s="1"/>
  <c r="R10" i="1" s="1"/>
  <c r="H51" i="29"/>
  <c r="H32" i="27"/>
  <c r="H31" i="27"/>
  <c r="Q9" i="1" s="1"/>
  <c r="R9" i="1" s="1"/>
  <c r="H30" i="27"/>
  <c r="K76" i="13"/>
  <c r="C69" i="13"/>
  <c r="G91" i="30"/>
  <c r="F91" i="30"/>
  <c r="F89" i="30"/>
  <c r="G89" i="30"/>
  <c r="F88" i="30"/>
  <c r="G88" i="30"/>
  <c r="E88" i="30"/>
  <c r="F83" i="30"/>
  <c r="G83" i="30"/>
  <c r="G76" i="30"/>
  <c r="F76" i="30"/>
  <c r="G75" i="30"/>
  <c r="F75" i="30"/>
  <c r="G74" i="30"/>
  <c r="F74" i="30"/>
  <c r="G77" i="30"/>
  <c r="F77" i="30"/>
  <c r="E77" i="30"/>
  <c r="G97" i="30"/>
  <c r="F95" i="30"/>
  <c r="G95" i="30"/>
  <c r="E76" i="30"/>
  <c r="E75" i="30"/>
  <c r="E74" i="30"/>
  <c r="H96" i="30"/>
  <c r="H95" i="30"/>
  <c r="C88" i="30"/>
  <c r="V55" i="13"/>
  <c r="S62" i="13"/>
  <c r="V62" i="13" s="1"/>
  <c r="S57" i="13"/>
  <c r="V57" i="13" s="1"/>
  <c r="S52" i="13"/>
  <c r="V52" i="13" s="1"/>
  <c r="S42" i="13"/>
  <c r="V42" i="13" s="1"/>
  <c r="S32" i="13"/>
  <c r="V32" i="13" s="1"/>
  <c r="S22" i="13"/>
  <c r="S12" i="13"/>
  <c r="V12" i="13" s="1"/>
  <c r="S11" i="13"/>
  <c r="V11" i="13" s="1"/>
  <c r="S2" i="13"/>
  <c r="V2" i="13" s="1"/>
  <c r="V3" i="31"/>
  <c r="P4" i="27"/>
  <c r="AE54" i="13"/>
  <c r="AI54" i="31"/>
  <c r="AD54" i="31"/>
  <c r="AH59" i="13"/>
  <c r="G62" i="26"/>
  <c r="G63" i="26"/>
  <c r="AC59" i="13"/>
  <c r="AC34" i="13"/>
  <c r="AC24" i="13"/>
  <c r="AH24" i="13" s="1"/>
  <c r="AI35" i="31"/>
  <c r="AD35" i="31"/>
  <c r="AD5" i="31"/>
  <c r="AI5" i="31" s="1"/>
  <c r="N64" i="31"/>
  <c r="AF8" i="27"/>
  <c r="AA8" i="27"/>
  <c r="P23" i="27"/>
  <c r="AA23" i="27" s="1"/>
  <c r="AF23" i="27" s="1"/>
  <c r="J12" i="27"/>
  <c r="U12" i="27" s="1"/>
  <c r="AD28" i="31"/>
  <c r="AD18" i="31"/>
  <c r="AD17" i="31"/>
  <c r="AI6" i="6"/>
  <c r="AE6" i="6"/>
  <c r="AD6" i="6"/>
  <c r="X3" i="31"/>
  <c r="X4" i="31"/>
  <c r="X5" i="31"/>
  <c r="X6" i="31"/>
  <c r="X7" i="31"/>
  <c r="X8" i="31"/>
  <c r="X9" i="31"/>
  <c r="X10" i="31"/>
  <c r="X11" i="31"/>
  <c r="X12" i="31"/>
  <c r="X13" i="31"/>
  <c r="X14" i="31"/>
  <c r="X15" i="31"/>
  <c r="X16" i="31"/>
  <c r="X17" i="31"/>
  <c r="X18" i="31"/>
  <c r="X19" i="31"/>
  <c r="X20" i="31"/>
  <c r="X21" i="31"/>
  <c r="X22" i="31"/>
  <c r="X23" i="31"/>
  <c r="X24" i="31"/>
  <c r="X25" i="31"/>
  <c r="X26" i="31"/>
  <c r="X27" i="31"/>
  <c r="X28" i="31"/>
  <c r="X29" i="31"/>
  <c r="X30" i="31"/>
  <c r="X31" i="31"/>
  <c r="X32" i="31"/>
  <c r="X33" i="31"/>
  <c r="X34" i="31"/>
  <c r="X35" i="31"/>
  <c r="X36" i="31"/>
  <c r="X38" i="31"/>
  <c r="X39" i="31"/>
  <c r="X40" i="31"/>
  <c r="X41" i="31"/>
  <c r="X42" i="31"/>
  <c r="X43" i="31"/>
  <c r="X44" i="31"/>
  <c r="X45" i="31"/>
  <c r="X46" i="31"/>
  <c r="X47" i="31"/>
  <c r="X48" i="31"/>
  <c r="X49" i="31"/>
  <c r="X50" i="31"/>
  <c r="X51" i="31"/>
  <c r="X52" i="31"/>
  <c r="X53" i="31"/>
  <c r="X54" i="31"/>
  <c r="X57" i="31"/>
  <c r="X2" i="31"/>
  <c r="T3" i="27"/>
  <c r="AF11" i="26"/>
  <c r="AA11" i="26"/>
  <c r="Q3" i="32"/>
  <c r="Q4" i="32"/>
  <c r="D52" i="32" s="1"/>
  <c r="Q5" i="32"/>
  <c r="S5" i="32" s="1"/>
  <c r="Q6" i="32"/>
  <c r="S6" i="32" s="1"/>
  <c r="Q7" i="32"/>
  <c r="Q8" i="32"/>
  <c r="Q9" i="32"/>
  <c r="S9" i="32" s="1"/>
  <c r="Q10" i="32"/>
  <c r="Q11" i="32"/>
  <c r="Q12" i="32"/>
  <c r="S12" i="32" s="1"/>
  <c r="Q13" i="32"/>
  <c r="S13" i="32" s="1"/>
  <c r="Q14" i="32"/>
  <c r="Q15" i="32"/>
  <c r="Q16" i="32"/>
  <c r="Q17" i="32"/>
  <c r="Q18" i="32"/>
  <c r="S18" i="32" s="1"/>
  <c r="Q19" i="32"/>
  <c r="S19" i="32" s="1"/>
  <c r="Q20" i="32"/>
  <c r="Q21" i="32"/>
  <c r="S21" i="32" s="1"/>
  <c r="Q22" i="32"/>
  <c r="Q23" i="32"/>
  <c r="Q24" i="32"/>
  <c r="G52" i="32" s="1"/>
  <c r="Q25" i="32"/>
  <c r="S25" i="32" s="1"/>
  <c r="Q2" i="32"/>
  <c r="G22" i="32"/>
  <c r="G26" i="32" s="1"/>
  <c r="J22" i="32"/>
  <c r="V22" i="32" s="1"/>
  <c r="D59" i="32"/>
  <c r="C59" i="32"/>
  <c r="D57" i="32"/>
  <c r="C57" i="32"/>
  <c r="D56" i="32"/>
  <c r="C56" i="32"/>
  <c r="H53" i="32"/>
  <c r="E53" i="32"/>
  <c r="D53" i="32"/>
  <c r="C53" i="32"/>
  <c r="H51" i="32"/>
  <c r="H50" i="32"/>
  <c r="J12" i="1" s="1"/>
  <c r="D50" i="32"/>
  <c r="C50" i="32"/>
  <c r="H47" i="32"/>
  <c r="D47" i="32"/>
  <c r="C47" i="32"/>
  <c r="H45" i="32"/>
  <c r="D45" i="32"/>
  <c r="C45" i="32"/>
  <c r="H44" i="32"/>
  <c r="D44" i="32"/>
  <c r="C44" i="32"/>
  <c r="D39" i="32"/>
  <c r="C39" i="32"/>
  <c r="D38" i="32"/>
  <c r="C38" i="32"/>
  <c r="D37" i="32"/>
  <c r="C37" i="32"/>
  <c r="D36" i="32"/>
  <c r="C36" i="32"/>
  <c r="E32" i="32"/>
  <c r="M12" i="1" s="1"/>
  <c r="D32" i="32"/>
  <c r="C32" i="32"/>
  <c r="F12" i="1" s="1"/>
  <c r="C31" i="32"/>
  <c r="G12" i="1" s="1"/>
  <c r="E30" i="32"/>
  <c r="L12" i="1" s="1"/>
  <c r="D30" i="32"/>
  <c r="C30" i="32"/>
  <c r="E12" i="1" s="1"/>
  <c r="E29" i="32"/>
  <c r="K12" i="1" s="1"/>
  <c r="D29" i="32"/>
  <c r="H12" i="1" s="1"/>
  <c r="C29" i="32"/>
  <c r="I26" i="32"/>
  <c r="F26" i="32"/>
  <c r="AF6" i="6"/>
  <c r="AF9" i="26"/>
  <c r="AA9" i="26"/>
  <c r="J24" i="27"/>
  <c r="X24" i="27" s="1"/>
  <c r="C64" i="31"/>
  <c r="F4" i="1" s="1"/>
  <c r="C62" i="31"/>
  <c r="E4" i="1" s="1"/>
  <c r="F71" i="31"/>
  <c r="E71" i="31"/>
  <c r="D71" i="31"/>
  <c r="C71" i="31"/>
  <c r="F70" i="31"/>
  <c r="E70" i="31"/>
  <c r="D69" i="31"/>
  <c r="C69" i="31"/>
  <c r="F68" i="31"/>
  <c r="E68" i="31"/>
  <c r="D68" i="31"/>
  <c r="C68" i="31"/>
  <c r="V27" i="13"/>
  <c r="AD31" i="31"/>
  <c r="P18" i="27"/>
  <c r="O18" i="27" s="1"/>
  <c r="X26" i="27"/>
  <c r="J2" i="27"/>
  <c r="H43" i="24"/>
  <c r="H42" i="24"/>
  <c r="H44" i="24"/>
  <c r="Q8" i="1" s="1"/>
  <c r="R8" i="1" s="1"/>
  <c r="AI13" i="31"/>
  <c r="AD13" i="31"/>
  <c r="K48" i="29"/>
  <c r="S18" i="27"/>
  <c r="R37" i="13"/>
  <c r="W31" i="27"/>
  <c r="V31" i="27"/>
  <c r="T31" i="27"/>
  <c r="S31" i="27"/>
  <c r="R31" i="27"/>
  <c r="P31" i="27"/>
  <c r="O31" i="27"/>
  <c r="N31" i="27"/>
  <c r="M31" i="27"/>
  <c r="L31" i="27"/>
  <c r="K31" i="27"/>
  <c r="U49" i="24"/>
  <c r="T49" i="24"/>
  <c r="P49" i="24"/>
  <c r="N49" i="24"/>
  <c r="M49" i="24"/>
  <c r="L49" i="24"/>
  <c r="U43" i="20"/>
  <c r="T43" i="20"/>
  <c r="S43" i="20"/>
  <c r="R43" i="20"/>
  <c r="Q43" i="20"/>
  <c r="P43" i="20"/>
  <c r="O43" i="20"/>
  <c r="N43" i="20"/>
  <c r="M43" i="20"/>
  <c r="L43" i="20"/>
  <c r="U64" i="31"/>
  <c r="T64" i="31"/>
  <c r="S64" i="31"/>
  <c r="R64" i="31"/>
  <c r="Q64" i="31"/>
  <c r="P64" i="31"/>
  <c r="O64" i="31"/>
  <c r="M64" i="31"/>
  <c r="L64" i="31"/>
  <c r="H63" i="31"/>
  <c r="H62" i="31"/>
  <c r="Q4" i="1" s="1"/>
  <c r="R4" i="1" s="1"/>
  <c r="H61" i="31"/>
  <c r="U76" i="13"/>
  <c r="T76" i="13"/>
  <c r="S76" i="13"/>
  <c r="R76" i="13"/>
  <c r="Q76" i="13"/>
  <c r="P76" i="13"/>
  <c r="O76" i="13"/>
  <c r="N76" i="13"/>
  <c r="M76" i="13"/>
  <c r="L76" i="13"/>
  <c r="C70" i="13"/>
  <c r="E3" i="1" s="1"/>
  <c r="V4" i="31"/>
  <c r="V5" i="31"/>
  <c r="V6" i="31"/>
  <c r="V7" i="31"/>
  <c r="V8" i="31"/>
  <c r="V9" i="31"/>
  <c r="V10" i="31"/>
  <c r="V11" i="31"/>
  <c r="V12" i="31"/>
  <c r="V13" i="31"/>
  <c r="V14" i="31"/>
  <c r="V15" i="31"/>
  <c r="V16" i="31"/>
  <c r="V17" i="31"/>
  <c r="V19" i="31"/>
  <c r="V20" i="31"/>
  <c r="V21" i="31"/>
  <c r="V22" i="31"/>
  <c r="V23" i="31"/>
  <c r="V24" i="31"/>
  <c r="V25" i="31"/>
  <c r="V26" i="31"/>
  <c r="V27" i="31"/>
  <c r="V28" i="31"/>
  <c r="V29" i="31"/>
  <c r="V30" i="31"/>
  <c r="V31" i="31"/>
  <c r="V32" i="31"/>
  <c r="V33" i="31"/>
  <c r="V34" i="31"/>
  <c r="V35" i="31"/>
  <c r="V36" i="31"/>
  <c r="V37" i="31"/>
  <c r="V38" i="31"/>
  <c r="V39" i="31"/>
  <c r="V40" i="31"/>
  <c r="V41" i="31"/>
  <c r="V42" i="31"/>
  <c r="AI42" i="31" s="1"/>
  <c r="V43" i="31"/>
  <c r="V44" i="31"/>
  <c r="V45" i="31"/>
  <c r="Z45" i="31" s="1"/>
  <c r="V46" i="31"/>
  <c r="V47" i="31"/>
  <c r="V48" i="31"/>
  <c r="V49" i="31"/>
  <c r="V50" i="31"/>
  <c r="AI50" i="31" s="1"/>
  <c r="V51" i="31"/>
  <c r="V52" i="31"/>
  <c r="V53" i="31"/>
  <c r="V54" i="31"/>
  <c r="V55" i="31"/>
  <c r="V56" i="31"/>
  <c r="V57" i="31"/>
  <c r="G84" i="31"/>
  <c r="V5" i="13"/>
  <c r="V6" i="13"/>
  <c r="V37" i="13"/>
  <c r="V63" i="13"/>
  <c r="C82" i="6"/>
  <c r="C2" i="1" s="1"/>
  <c r="D63" i="31"/>
  <c r="D84" i="31"/>
  <c r="D62" i="31"/>
  <c r="C84" i="31"/>
  <c r="E84" i="31"/>
  <c r="R32" i="26"/>
  <c r="D64" i="31"/>
  <c r="C109" i="22"/>
  <c r="H101" i="22"/>
  <c r="AF35" i="6"/>
  <c r="AE5" i="13"/>
  <c r="AE8" i="13"/>
  <c r="R11" i="27"/>
  <c r="R3" i="27"/>
  <c r="AF24" i="26"/>
  <c r="AA24" i="26"/>
  <c r="AF66" i="6"/>
  <c r="R60" i="6"/>
  <c r="W60" i="6" s="1"/>
  <c r="S49" i="26"/>
  <c r="S48" i="26"/>
  <c r="S46" i="26"/>
  <c r="S45" i="26"/>
  <c r="S42" i="26"/>
  <c r="S41" i="26"/>
  <c r="X41" i="26"/>
  <c r="S37" i="26"/>
  <c r="S36" i="26"/>
  <c r="S35" i="26"/>
  <c r="S32" i="26"/>
  <c r="S30" i="26"/>
  <c r="S29" i="26"/>
  <c r="S28" i="26"/>
  <c r="S25" i="26"/>
  <c r="V25" i="26" s="1"/>
  <c r="S24" i="26"/>
  <c r="V24" i="26" s="1"/>
  <c r="S23" i="26"/>
  <c r="S22" i="26"/>
  <c r="S21" i="26"/>
  <c r="S20" i="26"/>
  <c r="S17" i="26"/>
  <c r="S16" i="26"/>
  <c r="S15" i="26"/>
  <c r="S14" i="26"/>
  <c r="S13" i="26"/>
  <c r="S12" i="26"/>
  <c r="S11" i="26"/>
  <c r="S6" i="26"/>
  <c r="S31" i="26"/>
  <c r="W58" i="31"/>
  <c r="K7" i="31"/>
  <c r="Y7" i="31" s="1"/>
  <c r="I32" i="31"/>
  <c r="K32" i="31" s="1"/>
  <c r="Y32" i="31" s="1"/>
  <c r="I2" i="31"/>
  <c r="G85" i="31"/>
  <c r="F85" i="31"/>
  <c r="E85" i="31"/>
  <c r="D85" i="31"/>
  <c r="C85" i="31"/>
  <c r="G83" i="31"/>
  <c r="F83" i="31"/>
  <c r="E83" i="31"/>
  <c r="D83" i="31"/>
  <c r="C83" i="31"/>
  <c r="F82" i="31"/>
  <c r="D82" i="31"/>
  <c r="C82" i="31"/>
  <c r="G76" i="31"/>
  <c r="D70" i="31"/>
  <c r="C70" i="31"/>
  <c r="F69" i="31"/>
  <c r="E69" i="31"/>
  <c r="C63" i="31"/>
  <c r="G4" i="1" s="1"/>
  <c r="K55" i="31"/>
  <c r="AX55" i="31" s="1"/>
  <c r="K54" i="31"/>
  <c r="Y54" i="31" s="1"/>
  <c r="K52" i="31"/>
  <c r="Y52" i="31" s="1"/>
  <c r="K51" i="31"/>
  <c r="AA51" i="31" s="1"/>
  <c r="K50" i="31"/>
  <c r="AX50" i="31" s="1"/>
  <c r="K48" i="31"/>
  <c r="Y48" i="31" s="1"/>
  <c r="K47" i="31"/>
  <c r="Y47" i="31" s="1"/>
  <c r="K46" i="31"/>
  <c r="AX46" i="31" s="1"/>
  <c r="K44" i="31"/>
  <c r="Y44" i="31" s="1"/>
  <c r="K43" i="31"/>
  <c r="AA43" i="31" s="1"/>
  <c r="K42" i="31"/>
  <c r="Y42" i="31" s="1"/>
  <c r="K40" i="31"/>
  <c r="AA40" i="31" s="1"/>
  <c r="K39" i="31"/>
  <c r="Y39" i="31" s="1"/>
  <c r="K38" i="31"/>
  <c r="AA38" i="31" s="1"/>
  <c r="K37" i="31"/>
  <c r="AA37" i="31" s="1"/>
  <c r="K36" i="31"/>
  <c r="AA36" i="31" s="1"/>
  <c r="K35" i="31"/>
  <c r="AX35" i="31" s="1"/>
  <c r="K34" i="31"/>
  <c r="Y34" i="31" s="1"/>
  <c r="K33" i="31"/>
  <c r="AA33" i="31" s="1"/>
  <c r="K29" i="31"/>
  <c r="AA29" i="31" s="1"/>
  <c r="K28" i="31"/>
  <c r="AA28" i="31" s="1"/>
  <c r="K27" i="31"/>
  <c r="AA27" i="31" s="1"/>
  <c r="AA26" i="31"/>
  <c r="K24" i="31"/>
  <c r="Y24" i="31" s="1"/>
  <c r="K23" i="31"/>
  <c r="Y23" i="31"/>
  <c r="K22" i="31"/>
  <c r="AX22" i="31" s="1"/>
  <c r="K19" i="31"/>
  <c r="AX19" i="31" s="1"/>
  <c r="Y19" i="31"/>
  <c r="K18" i="31"/>
  <c r="Z18" i="31" s="1"/>
  <c r="K17" i="31"/>
  <c r="AA17" i="31" s="1"/>
  <c r="G58" i="31"/>
  <c r="K13" i="31"/>
  <c r="AX13" i="31" s="1"/>
  <c r="K9" i="31"/>
  <c r="AX9" i="31" s="1"/>
  <c r="K8" i="31"/>
  <c r="AA8" i="31" s="1"/>
  <c r="Y8" i="31"/>
  <c r="K6" i="31"/>
  <c r="Y6" i="31" s="1"/>
  <c r="K5" i="31"/>
  <c r="AX5" i="31" s="1"/>
  <c r="K4" i="31"/>
  <c r="Y4" i="31" s="1"/>
  <c r="K3" i="31"/>
  <c r="Y3" i="31" s="1"/>
  <c r="K14" i="31"/>
  <c r="AA14" i="31" s="1"/>
  <c r="Q63" i="30"/>
  <c r="S63" i="30" s="1"/>
  <c r="Q50" i="30"/>
  <c r="S50" i="30" s="1"/>
  <c r="Q47" i="30"/>
  <c r="S47" i="30" s="1"/>
  <c r="Q35" i="30"/>
  <c r="S35" i="30" s="1"/>
  <c r="Q26" i="30"/>
  <c r="S26" i="30" s="1"/>
  <c r="Q23" i="30"/>
  <c r="S23" i="30" s="1"/>
  <c r="Q14" i="30"/>
  <c r="S14" i="30" s="1"/>
  <c r="Q3" i="30"/>
  <c r="S3" i="30" s="1"/>
  <c r="J3" i="30"/>
  <c r="T3" i="30" s="1"/>
  <c r="F69" i="29"/>
  <c r="F66" i="29"/>
  <c r="F81" i="29"/>
  <c r="F72" i="29"/>
  <c r="E72" i="29"/>
  <c r="D72" i="29"/>
  <c r="G81" i="29"/>
  <c r="F61" i="29"/>
  <c r="E61" i="29"/>
  <c r="F60" i="29"/>
  <c r="E60" i="29"/>
  <c r="F59" i="29"/>
  <c r="E59" i="29"/>
  <c r="F58" i="29"/>
  <c r="E58" i="29"/>
  <c r="S47" i="29"/>
  <c r="S3" i="29"/>
  <c r="U3" i="29" s="1"/>
  <c r="S4" i="29"/>
  <c r="S5" i="29"/>
  <c r="S6" i="29"/>
  <c r="S7" i="29"/>
  <c r="S8" i="29"/>
  <c r="S9" i="29"/>
  <c r="U9" i="29" s="1"/>
  <c r="S10" i="29"/>
  <c r="U10" i="29" s="1"/>
  <c r="S11" i="29"/>
  <c r="S12" i="29"/>
  <c r="U12" i="29" s="1"/>
  <c r="S13" i="29"/>
  <c r="U13" i="29" s="1"/>
  <c r="S14" i="29"/>
  <c r="U14" i="29" s="1"/>
  <c r="S15" i="29"/>
  <c r="U15" i="29" s="1"/>
  <c r="S16" i="29"/>
  <c r="U16" i="29" s="1"/>
  <c r="S17" i="29"/>
  <c r="U17" i="29" s="1"/>
  <c r="S18" i="29"/>
  <c r="U18" i="29" s="1"/>
  <c r="S19" i="29"/>
  <c r="S22" i="29"/>
  <c r="U22" i="29" s="1"/>
  <c r="S23" i="29"/>
  <c r="U23" i="29" s="1"/>
  <c r="S24" i="29"/>
  <c r="S25" i="29"/>
  <c r="U25" i="29" s="1"/>
  <c r="S26" i="29"/>
  <c r="U26" i="29" s="1"/>
  <c r="S27" i="29"/>
  <c r="U27" i="29" s="1"/>
  <c r="S28" i="29"/>
  <c r="U28" i="29" s="1"/>
  <c r="S29" i="29"/>
  <c r="U29" i="29" s="1"/>
  <c r="S30" i="29"/>
  <c r="U30" i="29" s="1"/>
  <c r="S33" i="29"/>
  <c r="U33" i="29" s="1"/>
  <c r="S35" i="29"/>
  <c r="S36" i="29"/>
  <c r="U36" i="29" s="1"/>
  <c r="S37" i="29"/>
  <c r="S38" i="29"/>
  <c r="U38" i="29" s="1"/>
  <c r="S39" i="29"/>
  <c r="U39" i="29" s="1"/>
  <c r="S40" i="29"/>
  <c r="U40" i="29" s="1"/>
  <c r="S41" i="29"/>
  <c r="U41" i="29" s="1"/>
  <c r="S43" i="29"/>
  <c r="S44" i="29"/>
  <c r="U44" i="29" s="1"/>
  <c r="S45" i="29"/>
  <c r="U45" i="29" s="1"/>
  <c r="S46" i="29"/>
  <c r="S2" i="29"/>
  <c r="U2" i="29" s="1"/>
  <c r="H90" i="30"/>
  <c r="H89" i="30"/>
  <c r="D77" i="30"/>
  <c r="C77" i="30"/>
  <c r="D76" i="30"/>
  <c r="D75" i="30"/>
  <c r="C75" i="30"/>
  <c r="D74" i="30"/>
  <c r="C74" i="30"/>
  <c r="C70" i="30"/>
  <c r="F11" i="1" s="1"/>
  <c r="C69" i="30"/>
  <c r="G11" i="1" s="1"/>
  <c r="C68" i="30"/>
  <c r="E11" i="1" s="1"/>
  <c r="C67" i="30"/>
  <c r="C11" i="1" s="1"/>
  <c r="H64" i="30"/>
  <c r="F64" i="30"/>
  <c r="J63" i="30"/>
  <c r="T63" i="30" s="1"/>
  <c r="F82" i="30" s="1"/>
  <c r="J62" i="30"/>
  <c r="T62" i="30" s="1"/>
  <c r="J61" i="30"/>
  <c r="T61" i="30" s="1"/>
  <c r="J60" i="30"/>
  <c r="V60" i="30" s="1"/>
  <c r="J59" i="30"/>
  <c r="T59" i="30" s="1"/>
  <c r="J57" i="30"/>
  <c r="V57" i="30" s="1"/>
  <c r="J56" i="30"/>
  <c r="T56" i="30" s="1"/>
  <c r="J55" i="30"/>
  <c r="T55" i="30" s="1"/>
  <c r="J54" i="30"/>
  <c r="J53" i="30"/>
  <c r="V53" i="30" s="1"/>
  <c r="J52" i="30"/>
  <c r="V52" i="30" s="1"/>
  <c r="J51" i="30"/>
  <c r="T51" i="30" s="1"/>
  <c r="J50" i="30"/>
  <c r="V50" i="30" s="1"/>
  <c r="J49" i="30"/>
  <c r="T49" i="30" s="1"/>
  <c r="J48" i="30"/>
  <c r="T48" i="30" s="1"/>
  <c r="J47" i="30"/>
  <c r="V47" i="30" s="1"/>
  <c r="J46" i="30"/>
  <c r="V46" i="30" s="1"/>
  <c r="J45" i="30"/>
  <c r="V45" i="30" s="1"/>
  <c r="J44" i="30"/>
  <c r="T44" i="30" s="1"/>
  <c r="J43" i="30"/>
  <c r="V43" i="30" s="1"/>
  <c r="J42" i="30"/>
  <c r="T42" i="30" s="1"/>
  <c r="J41" i="30"/>
  <c r="V41" i="30" s="1"/>
  <c r="J40" i="30"/>
  <c r="V40" i="30" s="1"/>
  <c r="J39" i="30"/>
  <c r="T39" i="30" s="1"/>
  <c r="J38" i="30"/>
  <c r="V38" i="30" s="1"/>
  <c r="J37" i="30"/>
  <c r="V37" i="30" s="1"/>
  <c r="J36" i="30"/>
  <c r="V36" i="30" s="1"/>
  <c r="J35" i="30"/>
  <c r="T35" i="30" s="1"/>
  <c r="J34" i="30"/>
  <c r="T34" i="30" s="1"/>
  <c r="J33" i="30"/>
  <c r="T33" i="30" s="1"/>
  <c r="J32" i="30"/>
  <c r="T32" i="30" s="1"/>
  <c r="J31" i="30"/>
  <c r="T30" i="30"/>
  <c r="J29" i="30"/>
  <c r="V29" i="30" s="1"/>
  <c r="J28" i="30"/>
  <c r="V28" i="30" s="1"/>
  <c r="J27" i="30"/>
  <c r="J26" i="30"/>
  <c r="V26" i="30" s="1"/>
  <c r="C95" i="30"/>
  <c r="J24" i="30"/>
  <c r="V24" i="30" s="1"/>
  <c r="J22" i="30"/>
  <c r="T22" i="30" s="1"/>
  <c r="J21" i="30"/>
  <c r="V21" i="30" s="1"/>
  <c r="J20" i="30"/>
  <c r="V20" i="30" s="1"/>
  <c r="J19" i="30"/>
  <c r="V19" i="30" s="1"/>
  <c r="J18" i="30"/>
  <c r="V18" i="30" s="1"/>
  <c r="J17" i="30"/>
  <c r="V17" i="30" s="1"/>
  <c r="J16" i="30"/>
  <c r="J15" i="30"/>
  <c r="V15" i="30" s="1"/>
  <c r="J14" i="30"/>
  <c r="V14" i="30" s="1"/>
  <c r="J13" i="30"/>
  <c r="V13" i="30" s="1"/>
  <c r="J12" i="30"/>
  <c r="V12" i="30" s="1"/>
  <c r="J11" i="30"/>
  <c r="V11" i="30" s="1"/>
  <c r="J10" i="30"/>
  <c r="T10" i="30" s="1"/>
  <c r="J8" i="30"/>
  <c r="V8" i="30" s="1"/>
  <c r="J7" i="30"/>
  <c r="T7" i="30" s="1"/>
  <c r="J6" i="30"/>
  <c r="T6" i="30" s="1"/>
  <c r="J4" i="30"/>
  <c r="T4" i="30" s="1"/>
  <c r="G73" i="29"/>
  <c r="D61" i="29"/>
  <c r="C61" i="29"/>
  <c r="D60" i="29"/>
  <c r="C60" i="29"/>
  <c r="D59" i="29"/>
  <c r="C59" i="29"/>
  <c r="D58" i="29"/>
  <c r="C58" i="29"/>
  <c r="D54" i="29"/>
  <c r="C54" i="29"/>
  <c r="F10" i="1" s="1"/>
  <c r="C53" i="29"/>
  <c r="G10" i="1" s="1"/>
  <c r="C52" i="29"/>
  <c r="E10" i="1" s="1"/>
  <c r="H48" i="29"/>
  <c r="F48" i="29"/>
  <c r="J47" i="29"/>
  <c r="J45" i="29"/>
  <c r="X45" i="29" s="1"/>
  <c r="J44" i="29"/>
  <c r="V44" i="29" s="1"/>
  <c r="J43" i="29"/>
  <c r="F82" i="29" s="1"/>
  <c r="J42" i="29"/>
  <c r="V42" i="29" s="1"/>
  <c r="J41" i="29"/>
  <c r="X41" i="29" s="1"/>
  <c r="J40" i="29"/>
  <c r="W40" i="29" s="1"/>
  <c r="J39" i="29"/>
  <c r="X39" i="29" s="1"/>
  <c r="J38" i="29"/>
  <c r="X38" i="29" s="1"/>
  <c r="J37" i="29"/>
  <c r="V37" i="29" s="1"/>
  <c r="J36" i="29"/>
  <c r="V36" i="29" s="1"/>
  <c r="J35" i="29"/>
  <c r="X35" i="29" s="1"/>
  <c r="J34" i="29"/>
  <c r="X34" i="29" s="1"/>
  <c r="J33" i="29"/>
  <c r="X33" i="29" s="1"/>
  <c r="J32" i="29"/>
  <c r="V32" i="29" s="1"/>
  <c r="J31" i="29"/>
  <c r="X31" i="29" s="1"/>
  <c r="I48" i="29"/>
  <c r="J29" i="29"/>
  <c r="J28" i="29"/>
  <c r="V28" i="29" s="1"/>
  <c r="J27" i="29"/>
  <c r="V27" i="29" s="1"/>
  <c r="J26" i="29"/>
  <c r="V26" i="29" s="1"/>
  <c r="J25" i="29"/>
  <c r="V25" i="29" s="1"/>
  <c r="J24" i="29"/>
  <c r="X24" i="29" s="1"/>
  <c r="J23" i="29"/>
  <c r="V23" i="29" s="1"/>
  <c r="J22" i="29"/>
  <c r="X22" i="29" s="1"/>
  <c r="J20" i="29"/>
  <c r="X20" i="29" s="1"/>
  <c r="J19" i="29"/>
  <c r="V19" i="29" s="1"/>
  <c r="J18" i="29"/>
  <c r="W18" i="29" s="1"/>
  <c r="J17" i="29"/>
  <c r="V17" i="29" s="1"/>
  <c r="D51" i="29"/>
  <c r="H10" i="1" s="1"/>
  <c r="J16" i="29"/>
  <c r="X16" i="29" s="1"/>
  <c r="J15" i="29"/>
  <c r="V15" i="29" s="1"/>
  <c r="J14" i="29"/>
  <c r="X14" i="29" s="1"/>
  <c r="J13" i="29"/>
  <c r="X13" i="29" s="1"/>
  <c r="J12" i="29"/>
  <c r="X12" i="29" s="1"/>
  <c r="J11" i="29"/>
  <c r="X11" i="29" s="1"/>
  <c r="J10" i="29"/>
  <c r="V10" i="29" s="1"/>
  <c r="J8" i="29"/>
  <c r="J7" i="29"/>
  <c r="V7" i="29" s="1"/>
  <c r="J5" i="29"/>
  <c r="V5" i="29" s="1"/>
  <c r="J4" i="29"/>
  <c r="X4" i="29" s="1"/>
  <c r="J3" i="29"/>
  <c r="X3" i="29" s="1"/>
  <c r="J2" i="29"/>
  <c r="I64" i="30"/>
  <c r="C91" i="30"/>
  <c r="G64" i="30"/>
  <c r="G72" i="29"/>
  <c r="J10" i="1" s="1"/>
  <c r="C72" i="29"/>
  <c r="J9" i="29"/>
  <c r="V9" i="29" s="1"/>
  <c r="Z34" i="28"/>
  <c r="AB35" i="28"/>
  <c r="Z36" i="28"/>
  <c r="AB37" i="28"/>
  <c r="Y34" i="28"/>
  <c r="Y35" i="28"/>
  <c r="Y36" i="28"/>
  <c r="AA3" i="28"/>
  <c r="Z6" i="28"/>
  <c r="Z7" i="28"/>
  <c r="AB8" i="28"/>
  <c r="AA9" i="28"/>
  <c r="AB10" i="28"/>
  <c r="AB11" i="28"/>
  <c r="Z12" i="28"/>
  <c r="Z13" i="28"/>
  <c r="AA14" i="28"/>
  <c r="AA15" i="28"/>
  <c r="Z16" i="28"/>
  <c r="AA17" i="28"/>
  <c r="Z18" i="28"/>
  <c r="AB19" i="28"/>
  <c r="Z20" i="28"/>
  <c r="Z21" i="28"/>
  <c r="Z22" i="28"/>
  <c r="Z23" i="28"/>
  <c r="Z24" i="28"/>
  <c r="AA25" i="28"/>
  <c r="AB26" i="28"/>
  <c r="Z27" i="28"/>
  <c r="AB28" i="28"/>
  <c r="AB29" i="28"/>
  <c r="Z31" i="28"/>
  <c r="Z32" i="28"/>
  <c r="AB33" i="28"/>
  <c r="AB38" i="28"/>
  <c r="AB39" i="28"/>
  <c r="Z40" i="28"/>
  <c r="Y3" i="28"/>
  <c r="Y4" i="28"/>
  <c r="Y5" i="28"/>
  <c r="Y7" i="28"/>
  <c r="Y8" i="28"/>
  <c r="Y9" i="28"/>
  <c r="Y10" i="28"/>
  <c r="Y11" i="28"/>
  <c r="Y13" i="28"/>
  <c r="Y14" i="28"/>
  <c r="Y15" i="28"/>
  <c r="Y16" i="28"/>
  <c r="Y17" i="28"/>
  <c r="Y18" i="28"/>
  <c r="Y19" i="28"/>
  <c r="Y21" i="28"/>
  <c r="Y23" i="28"/>
  <c r="Y24" i="28"/>
  <c r="Y26" i="28"/>
  <c r="Y28" i="28"/>
  <c r="Y29" i="28"/>
  <c r="Y30" i="28"/>
  <c r="Y31" i="28"/>
  <c r="Y33" i="28"/>
  <c r="Y38" i="28"/>
  <c r="Y2" i="28"/>
  <c r="C44" i="28"/>
  <c r="C45" i="28"/>
  <c r="E16" i="1" s="1"/>
  <c r="D74" i="28"/>
  <c r="C74" i="28"/>
  <c r="E68" i="28"/>
  <c r="D68" i="28"/>
  <c r="C68" i="28"/>
  <c r="E66" i="28"/>
  <c r="D66" i="28"/>
  <c r="C66" i="28"/>
  <c r="D65" i="28"/>
  <c r="D54" i="28"/>
  <c r="C54" i="28"/>
  <c r="D53" i="28"/>
  <c r="C53" i="28"/>
  <c r="D52" i="28"/>
  <c r="C52" i="28"/>
  <c r="D51" i="28"/>
  <c r="C51" i="28"/>
  <c r="C47" i="28"/>
  <c r="F16" i="1" s="1"/>
  <c r="C46" i="28"/>
  <c r="G16" i="1" s="1"/>
  <c r="Z2" i="28"/>
  <c r="R5" i="27"/>
  <c r="W95" i="22"/>
  <c r="T95" i="22"/>
  <c r="K95" i="22"/>
  <c r="BB95" i="22" s="1"/>
  <c r="AH51" i="22"/>
  <c r="AD51" i="22"/>
  <c r="AC51" i="22"/>
  <c r="J21" i="27"/>
  <c r="U21" i="27" s="1"/>
  <c r="J20" i="27"/>
  <c r="V20" i="27" s="1"/>
  <c r="J14" i="27"/>
  <c r="V14" i="27" s="1"/>
  <c r="J13" i="27"/>
  <c r="V13" i="27" s="1"/>
  <c r="J6" i="27"/>
  <c r="V6" i="27" s="1"/>
  <c r="J5" i="27"/>
  <c r="U5" i="27" s="1"/>
  <c r="J17" i="27"/>
  <c r="X17" i="27" s="1"/>
  <c r="J10" i="27"/>
  <c r="V10" i="27" s="1"/>
  <c r="J18" i="27"/>
  <c r="W18" i="27" s="1"/>
  <c r="J11" i="27"/>
  <c r="U11" i="27" s="1"/>
  <c r="J3" i="27"/>
  <c r="X3" i="27" s="1"/>
  <c r="R25" i="27"/>
  <c r="R24" i="27"/>
  <c r="R22" i="27"/>
  <c r="R17" i="27"/>
  <c r="P17" i="27" s="1"/>
  <c r="R15" i="27"/>
  <c r="R10" i="27"/>
  <c r="R2" i="27"/>
  <c r="R26" i="27"/>
  <c r="R23" i="27"/>
  <c r="R21" i="27"/>
  <c r="R20" i="27"/>
  <c r="R16" i="27"/>
  <c r="R14" i="27"/>
  <c r="R13" i="27"/>
  <c r="R6" i="27"/>
  <c r="R19" i="27"/>
  <c r="R12" i="27"/>
  <c r="R8" i="27"/>
  <c r="R7" i="27"/>
  <c r="R4" i="27"/>
  <c r="G25" i="27"/>
  <c r="J25" i="27"/>
  <c r="U25" i="27" s="1"/>
  <c r="G22" i="27"/>
  <c r="J22" i="27"/>
  <c r="X22" i="27" s="1"/>
  <c r="G15" i="27"/>
  <c r="J15" i="27"/>
  <c r="V15" i="27" s="1"/>
  <c r="T4" i="27"/>
  <c r="T5" i="27"/>
  <c r="T6" i="27"/>
  <c r="T7" i="27"/>
  <c r="T8" i="27"/>
  <c r="T9" i="27"/>
  <c r="T10" i="27"/>
  <c r="T11" i="27"/>
  <c r="T12" i="27"/>
  <c r="T13" i="27"/>
  <c r="T14" i="27"/>
  <c r="T15" i="27"/>
  <c r="T16" i="27"/>
  <c r="T19" i="27"/>
  <c r="T20" i="27"/>
  <c r="T21" i="27"/>
  <c r="T22" i="27"/>
  <c r="T24" i="27"/>
  <c r="T25" i="27"/>
  <c r="T26" i="27"/>
  <c r="F54" i="27"/>
  <c r="D52" i="27"/>
  <c r="C52" i="27"/>
  <c r="C51" i="27"/>
  <c r="E40" i="27"/>
  <c r="D40" i="27"/>
  <c r="C40" i="27"/>
  <c r="E39" i="27"/>
  <c r="D39" i="27"/>
  <c r="C39" i="27"/>
  <c r="E38" i="27"/>
  <c r="D38" i="27"/>
  <c r="C38" i="27"/>
  <c r="E37" i="27"/>
  <c r="D37" i="27"/>
  <c r="C37" i="27"/>
  <c r="C33" i="27"/>
  <c r="F9" i="1" s="1"/>
  <c r="C32" i="27"/>
  <c r="G9" i="1" s="1"/>
  <c r="C31" i="27"/>
  <c r="E9" i="1" s="1"/>
  <c r="C30" i="27"/>
  <c r="J23" i="27"/>
  <c r="X23" i="27" s="1"/>
  <c r="J19" i="27"/>
  <c r="X19" i="27" s="1"/>
  <c r="J16" i="27"/>
  <c r="U16" i="27" s="1"/>
  <c r="J9" i="27"/>
  <c r="U9" i="27" s="1"/>
  <c r="J8" i="27"/>
  <c r="V8" i="27" s="1"/>
  <c r="J7" i="27"/>
  <c r="X7" i="27" s="1"/>
  <c r="J4" i="27"/>
  <c r="X4" i="27" s="1"/>
  <c r="T2" i="27"/>
  <c r="P43" i="4"/>
  <c r="AF43" i="6"/>
  <c r="AI43" i="6"/>
  <c r="AE43" i="6"/>
  <c r="AD43" i="6"/>
  <c r="AF4" i="6"/>
  <c r="X9" i="26"/>
  <c r="C54" i="27"/>
  <c r="V38" i="24"/>
  <c r="V37" i="24"/>
  <c r="V36" i="24"/>
  <c r="V32" i="24"/>
  <c r="V28" i="24"/>
  <c r="V20" i="24"/>
  <c r="V12" i="24"/>
  <c r="V11" i="24"/>
  <c r="V2" i="24"/>
  <c r="T18" i="24"/>
  <c r="T43" i="6"/>
  <c r="W43" i="6" s="1"/>
  <c r="P2" i="20"/>
  <c r="R29" i="24"/>
  <c r="R31" i="24"/>
  <c r="V31" i="24" s="1"/>
  <c r="R32" i="24"/>
  <c r="R33" i="24"/>
  <c r="V33" i="24" s="1"/>
  <c r="R24" i="24"/>
  <c r="V24" i="24" s="1"/>
  <c r="R2" i="24"/>
  <c r="AC47" i="26"/>
  <c r="AF37" i="6"/>
  <c r="C75" i="26"/>
  <c r="AH59" i="6"/>
  <c r="AF59" i="6"/>
  <c r="AE92" i="22"/>
  <c r="AE70" i="22"/>
  <c r="D112" i="22"/>
  <c r="W93" i="22"/>
  <c r="I132" i="22" s="1"/>
  <c r="H132" i="22"/>
  <c r="W78" i="22"/>
  <c r="W76" i="22"/>
  <c r="W75" i="22"/>
  <c r="W69" i="22"/>
  <c r="W66" i="22"/>
  <c r="W64" i="22"/>
  <c r="W60" i="22"/>
  <c r="R60" i="22" s="1"/>
  <c r="W57" i="22"/>
  <c r="W55" i="22"/>
  <c r="W54" i="22"/>
  <c r="W51" i="22"/>
  <c r="W48" i="22"/>
  <c r="W43" i="22"/>
  <c r="W42" i="22"/>
  <c r="W39" i="22"/>
  <c r="W37" i="22"/>
  <c r="W36" i="22"/>
  <c r="W33" i="22"/>
  <c r="W30" i="22"/>
  <c r="W28" i="22"/>
  <c r="W27" i="22"/>
  <c r="W21" i="22"/>
  <c r="W19" i="22"/>
  <c r="AF40" i="26"/>
  <c r="AA40" i="26"/>
  <c r="T77" i="6"/>
  <c r="T76" i="6"/>
  <c r="W76" i="6" s="1"/>
  <c r="T73" i="6"/>
  <c r="W73" i="6" s="1"/>
  <c r="T70" i="6"/>
  <c r="T67" i="6"/>
  <c r="W67" i="6" s="1"/>
  <c r="T53" i="6"/>
  <c r="W53" i="6" s="1"/>
  <c r="T49" i="6"/>
  <c r="T48" i="6"/>
  <c r="W48" i="6" s="1"/>
  <c r="T47" i="6"/>
  <c r="W47" i="6" s="1"/>
  <c r="T45" i="6"/>
  <c r="T40" i="6"/>
  <c r="W40" i="6" s="1"/>
  <c r="T38" i="6"/>
  <c r="W38" i="6" s="1"/>
  <c r="T27" i="6"/>
  <c r="W27" i="6" s="1"/>
  <c r="T25" i="6"/>
  <c r="W25" i="6" s="1"/>
  <c r="T21" i="6"/>
  <c r="W20" i="6"/>
  <c r="AE22" i="22"/>
  <c r="R66" i="6"/>
  <c r="X2" i="26"/>
  <c r="X3" i="26"/>
  <c r="X4" i="26"/>
  <c r="X5" i="26"/>
  <c r="X6" i="26"/>
  <c r="X7" i="26"/>
  <c r="X8" i="26"/>
  <c r="X10" i="26"/>
  <c r="X11" i="26"/>
  <c r="X12" i="26"/>
  <c r="X13" i="26"/>
  <c r="X14" i="26"/>
  <c r="X15" i="26"/>
  <c r="X16" i="26"/>
  <c r="X17" i="26"/>
  <c r="X18" i="26"/>
  <c r="X19" i="26"/>
  <c r="X20" i="26"/>
  <c r="X21" i="26"/>
  <c r="X22" i="26"/>
  <c r="X23" i="26"/>
  <c r="X24" i="26"/>
  <c r="X25" i="26"/>
  <c r="X26" i="26"/>
  <c r="X27" i="26"/>
  <c r="X28" i="26"/>
  <c r="X29" i="26"/>
  <c r="X30" i="26"/>
  <c r="X31" i="26"/>
  <c r="X32" i="26"/>
  <c r="X33" i="26"/>
  <c r="X35" i="26"/>
  <c r="X36" i="26"/>
  <c r="X37" i="26"/>
  <c r="X38" i="26"/>
  <c r="X39" i="26"/>
  <c r="X40" i="26"/>
  <c r="X42" i="26"/>
  <c r="X43" i="26"/>
  <c r="X44" i="26"/>
  <c r="X45" i="26"/>
  <c r="X46" i="26"/>
  <c r="X47" i="26"/>
  <c r="X48" i="26"/>
  <c r="AG32" i="24"/>
  <c r="AB32" i="24"/>
  <c r="AD35" i="24"/>
  <c r="AG16" i="24"/>
  <c r="AB16" i="24"/>
  <c r="AE79" i="22"/>
  <c r="J38" i="24"/>
  <c r="F69" i="24" s="1"/>
  <c r="R17" i="24"/>
  <c r="Q17" i="24" s="1"/>
  <c r="J18" i="24"/>
  <c r="W18" i="24" s="1"/>
  <c r="J20" i="24"/>
  <c r="Y20" i="24" s="1"/>
  <c r="R20" i="24"/>
  <c r="J6" i="20"/>
  <c r="T6" i="20" s="1"/>
  <c r="F59" i="20"/>
  <c r="D59" i="20"/>
  <c r="C59" i="20"/>
  <c r="Z87" i="22"/>
  <c r="Z56" i="22"/>
  <c r="G58" i="13"/>
  <c r="I58" i="13" s="1"/>
  <c r="G48" i="13"/>
  <c r="I48" i="13"/>
  <c r="W48" i="13" s="1"/>
  <c r="G38" i="13"/>
  <c r="I38" i="13"/>
  <c r="AX38" i="13" s="1"/>
  <c r="G28" i="13"/>
  <c r="I28" i="13" s="1"/>
  <c r="X28" i="13" s="1"/>
  <c r="S10" i="24"/>
  <c r="R3" i="24"/>
  <c r="V3" i="24" s="1"/>
  <c r="R36" i="24"/>
  <c r="K11" i="26"/>
  <c r="U11" i="26" s="1"/>
  <c r="AH90" i="22"/>
  <c r="AC90" i="22"/>
  <c r="X34" i="26"/>
  <c r="D57" i="26"/>
  <c r="H133" i="22"/>
  <c r="R37" i="24"/>
  <c r="AH46" i="22"/>
  <c r="AD46" i="22"/>
  <c r="AC46" i="22"/>
  <c r="AF19" i="26"/>
  <c r="AA19" i="26"/>
  <c r="AF5" i="26"/>
  <c r="AB5" i="26"/>
  <c r="AA5" i="26"/>
  <c r="AF7" i="26"/>
  <c r="AB7" i="26"/>
  <c r="AA7" i="26"/>
  <c r="R77" i="22"/>
  <c r="Z77" i="22" s="1"/>
  <c r="AG35" i="24"/>
  <c r="C77" i="26"/>
  <c r="K3" i="26"/>
  <c r="W3" i="26" s="1"/>
  <c r="K4" i="26"/>
  <c r="W4" i="26" s="1"/>
  <c r="K5" i="26"/>
  <c r="U5" i="26" s="1"/>
  <c r="K6" i="26"/>
  <c r="U6" i="26" s="1"/>
  <c r="K7" i="26"/>
  <c r="W7" i="26" s="1"/>
  <c r="K8" i="26"/>
  <c r="D85" i="26" s="1"/>
  <c r="K9" i="26"/>
  <c r="W9" i="26" s="1"/>
  <c r="K10" i="26"/>
  <c r="U10" i="26" s="1"/>
  <c r="K12" i="26"/>
  <c r="W12" i="26" s="1"/>
  <c r="K13" i="26"/>
  <c r="W13" i="26" s="1"/>
  <c r="K14" i="26"/>
  <c r="W14" i="26" s="1"/>
  <c r="K15" i="26"/>
  <c r="W15" i="26" s="1"/>
  <c r="K16" i="26"/>
  <c r="W16" i="26"/>
  <c r="K17" i="26"/>
  <c r="U17" i="26" s="1"/>
  <c r="K18" i="26"/>
  <c r="U18" i="26" s="1"/>
  <c r="K19" i="26"/>
  <c r="U19" i="26"/>
  <c r="K20" i="26"/>
  <c r="U20" i="26" s="1"/>
  <c r="K21" i="26"/>
  <c r="W21" i="26" s="1"/>
  <c r="K22" i="26"/>
  <c r="U22" i="26" s="1"/>
  <c r="K23" i="26"/>
  <c r="W23" i="26" s="1"/>
  <c r="K24" i="26"/>
  <c r="U24" i="26" s="1"/>
  <c r="K25" i="26"/>
  <c r="W25" i="26" s="1"/>
  <c r="K26" i="26"/>
  <c r="U26" i="26" s="1"/>
  <c r="K27" i="26"/>
  <c r="U27" i="26"/>
  <c r="K28" i="26"/>
  <c r="U28" i="26"/>
  <c r="K29" i="26"/>
  <c r="W29" i="26" s="1"/>
  <c r="K30" i="26"/>
  <c r="U30" i="26" s="1"/>
  <c r="K31" i="26"/>
  <c r="W31" i="26"/>
  <c r="K32" i="26"/>
  <c r="W32" i="26" s="1"/>
  <c r="K33" i="26"/>
  <c r="U33" i="26" s="1"/>
  <c r="K34" i="26"/>
  <c r="W34" i="26" s="1"/>
  <c r="K35" i="26"/>
  <c r="U35" i="26" s="1"/>
  <c r="K36" i="26"/>
  <c r="W36" i="26" s="1"/>
  <c r="K37" i="26"/>
  <c r="W37" i="26" s="1"/>
  <c r="K38" i="26"/>
  <c r="W38" i="26" s="1"/>
  <c r="K39" i="26"/>
  <c r="V39" i="26" s="1"/>
  <c r="K40" i="26"/>
  <c r="W40" i="26"/>
  <c r="K41" i="26"/>
  <c r="V41" i="26" s="1"/>
  <c r="K42" i="26"/>
  <c r="W42" i="26" s="1"/>
  <c r="K43" i="26"/>
  <c r="W43" i="26" s="1"/>
  <c r="K44" i="26"/>
  <c r="K45" i="26"/>
  <c r="W45" i="26" s="1"/>
  <c r="K46" i="26"/>
  <c r="W46" i="26" s="1"/>
  <c r="K47" i="26"/>
  <c r="U47" i="26" s="1"/>
  <c r="K48" i="26"/>
  <c r="U48" i="26" s="1"/>
  <c r="K49" i="26"/>
  <c r="W49" i="26" s="1"/>
  <c r="K2" i="26"/>
  <c r="W2" i="26" s="1"/>
  <c r="F83" i="26"/>
  <c r="F72" i="26"/>
  <c r="C70" i="26"/>
  <c r="F84" i="26"/>
  <c r="D84" i="26"/>
  <c r="C84" i="26"/>
  <c r="D78" i="26"/>
  <c r="C78" i="26"/>
  <c r="D62" i="26"/>
  <c r="E62" i="26"/>
  <c r="F62" i="26"/>
  <c r="C62" i="26"/>
  <c r="G61" i="26"/>
  <c r="F61" i="26"/>
  <c r="E61" i="26"/>
  <c r="D61" i="26"/>
  <c r="C61" i="26"/>
  <c r="S47" i="26"/>
  <c r="S44" i="26"/>
  <c r="S40" i="26"/>
  <c r="V40" i="26" s="1"/>
  <c r="S38" i="26"/>
  <c r="V38" i="26" s="1"/>
  <c r="S34" i="26"/>
  <c r="S33" i="26"/>
  <c r="S27" i="26"/>
  <c r="S26" i="26"/>
  <c r="S19" i="26"/>
  <c r="S18" i="26"/>
  <c r="S10" i="26"/>
  <c r="S9" i="26"/>
  <c r="E77" i="26"/>
  <c r="S7" i="26"/>
  <c r="V7" i="26" s="1"/>
  <c r="S5" i="26"/>
  <c r="V5" i="26" s="1"/>
  <c r="S4" i="26"/>
  <c r="S3" i="26"/>
  <c r="S2" i="26"/>
  <c r="F77" i="26"/>
  <c r="D55" i="26"/>
  <c r="C56" i="26"/>
  <c r="G15" i="1" s="1"/>
  <c r="C55" i="26"/>
  <c r="E15" i="1" s="1"/>
  <c r="C57" i="26"/>
  <c r="F15" i="1" s="1"/>
  <c r="C54" i="26"/>
  <c r="C15" i="1"/>
  <c r="H56" i="26"/>
  <c r="H55" i="26"/>
  <c r="R15" i="1"/>
  <c r="H54" i="26"/>
  <c r="C71" i="26"/>
  <c r="E64" i="26"/>
  <c r="E63" i="26"/>
  <c r="C64" i="26"/>
  <c r="C63" i="26"/>
  <c r="H63" i="26" s="1"/>
  <c r="C72" i="26"/>
  <c r="C83" i="26"/>
  <c r="D82" i="26"/>
  <c r="F78" i="26"/>
  <c r="E78" i="26"/>
  <c r="G76" i="26"/>
  <c r="D76" i="26"/>
  <c r="F75" i="26"/>
  <c r="D75" i="26"/>
  <c r="D70" i="26"/>
  <c r="G64" i="26"/>
  <c r="F64" i="26"/>
  <c r="D64" i="26"/>
  <c r="F63" i="26"/>
  <c r="D63" i="26"/>
  <c r="J50" i="26"/>
  <c r="I50" i="26"/>
  <c r="H50" i="26"/>
  <c r="G50" i="26"/>
  <c r="C81" i="26"/>
  <c r="F76" i="26"/>
  <c r="D77" i="26"/>
  <c r="E75" i="26"/>
  <c r="C82" i="26"/>
  <c r="D83" i="26"/>
  <c r="E82" i="26"/>
  <c r="E70" i="26"/>
  <c r="E76" i="26"/>
  <c r="D72" i="26"/>
  <c r="C76" i="26"/>
  <c r="D71" i="26"/>
  <c r="AI78" i="6"/>
  <c r="AE78" i="6"/>
  <c r="AD78" i="6"/>
  <c r="D119" i="22"/>
  <c r="C57" i="20"/>
  <c r="C93" i="13"/>
  <c r="R34" i="24"/>
  <c r="P34" i="24" s="1"/>
  <c r="R26" i="24"/>
  <c r="P26" i="24" s="1"/>
  <c r="Z59" i="22"/>
  <c r="Z74" i="22"/>
  <c r="J37" i="24"/>
  <c r="W37" i="24" s="1"/>
  <c r="J36" i="24"/>
  <c r="W36" i="24" s="1"/>
  <c r="R28" i="24"/>
  <c r="D51" i="24"/>
  <c r="I118" i="22"/>
  <c r="H118" i="22"/>
  <c r="I117" i="22"/>
  <c r="H117" i="22"/>
  <c r="I116" i="22"/>
  <c r="Z65" i="22"/>
  <c r="S65" i="22"/>
  <c r="AG67" i="22"/>
  <c r="AE67" i="22"/>
  <c r="C112" i="22"/>
  <c r="C111" i="22"/>
  <c r="X9" i="20"/>
  <c r="D39" i="20"/>
  <c r="AH50" i="22"/>
  <c r="AC50" i="22"/>
  <c r="AH52" i="22"/>
  <c r="AD52" i="22"/>
  <c r="AC52" i="22"/>
  <c r="J7" i="24"/>
  <c r="Y7" i="24" s="1"/>
  <c r="J3" i="24"/>
  <c r="W3" i="24" s="1"/>
  <c r="J4" i="24"/>
  <c r="W4" i="24" s="1"/>
  <c r="J5" i="24"/>
  <c r="Y5" i="24" s="1"/>
  <c r="J6" i="24"/>
  <c r="Y6" i="24" s="1"/>
  <c r="J8" i="24"/>
  <c r="Y8" i="24" s="1"/>
  <c r="J9" i="24"/>
  <c r="Y9" i="24" s="1"/>
  <c r="J10" i="24"/>
  <c r="W10" i="24" s="1"/>
  <c r="J11" i="24"/>
  <c r="X11" i="24" s="1"/>
  <c r="J12" i="24"/>
  <c r="Y12" i="24" s="1"/>
  <c r="J13" i="24"/>
  <c r="D70" i="24" s="1"/>
  <c r="J14" i="24"/>
  <c r="W14" i="24" s="1"/>
  <c r="J15" i="24"/>
  <c r="W15" i="24" s="1"/>
  <c r="J16" i="24"/>
  <c r="W16" i="24" s="1"/>
  <c r="J17" i="24"/>
  <c r="W17" i="24" s="1"/>
  <c r="J19" i="24"/>
  <c r="Y19" i="24" s="1"/>
  <c r="J21" i="24"/>
  <c r="Y21" i="24" s="1"/>
  <c r="J22" i="24"/>
  <c r="Y22" i="24" s="1"/>
  <c r="J23" i="24"/>
  <c r="W23" i="24" s="1"/>
  <c r="J24" i="24"/>
  <c r="W24" i="24" s="1"/>
  <c r="E71" i="24"/>
  <c r="J25" i="24"/>
  <c r="W25" i="24" s="1"/>
  <c r="J26" i="24"/>
  <c r="Y26" i="24" s="1"/>
  <c r="J27" i="24"/>
  <c r="Y27" i="24" s="1"/>
  <c r="J28" i="24"/>
  <c r="W28" i="24" s="1"/>
  <c r="J29" i="24"/>
  <c r="W29" i="24" s="1"/>
  <c r="J30" i="24"/>
  <c r="W30" i="24" s="1"/>
  <c r="J31" i="24"/>
  <c r="W31" i="24" s="1"/>
  <c r="J32" i="24"/>
  <c r="Y32" i="24" s="1"/>
  <c r="J33" i="24"/>
  <c r="Y33" i="24" s="1"/>
  <c r="J34" i="24"/>
  <c r="Y34" i="24" s="1"/>
  <c r="J35" i="24"/>
  <c r="W35" i="24" s="1"/>
  <c r="J2" i="24"/>
  <c r="W2" i="24" s="1"/>
  <c r="C44" i="24"/>
  <c r="G8" i="1" s="1"/>
  <c r="F72" i="24"/>
  <c r="E72" i="24"/>
  <c r="E70" i="24"/>
  <c r="G66" i="24"/>
  <c r="F66" i="24"/>
  <c r="E66" i="24"/>
  <c r="G64" i="24"/>
  <c r="F64" i="24"/>
  <c r="E64" i="24"/>
  <c r="D64" i="24"/>
  <c r="F63" i="24"/>
  <c r="E63" i="24"/>
  <c r="C63" i="24"/>
  <c r="E58" i="24"/>
  <c r="F52" i="24"/>
  <c r="E52" i="24"/>
  <c r="D52" i="24"/>
  <c r="C52" i="24"/>
  <c r="F51" i="24"/>
  <c r="E51" i="24"/>
  <c r="C51" i="24"/>
  <c r="F50" i="24"/>
  <c r="E50" i="24"/>
  <c r="D50" i="24"/>
  <c r="C50" i="24"/>
  <c r="F49" i="24"/>
  <c r="E49" i="24"/>
  <c r="D49" i="24"/>
  <c r="C49" i="24"/>
  <c r="C45" i="24"/>
  <c r="F8" i="1" s="1"/>
  <c r="F65" i="24"/>
  <c r="R27" i="24"/>
  <c r="V27" i="24" s="1"/>
  <c r="R21" i="24"/>
  <c r="V21" i="24" s="1"/>
  <c r="R15" i="24"/>
  <c r="V15" i="24" s="1"/>
  <c r="V19" i="24"/>
  <c r="R35" i="24"/>
  <c r="V35" i="24" s="1"/>
  <c r="R12" i="24"/>
  <c r="R16" i="24"/>
  <c r="V16" i="24" s="1"/>
  <c r="AC3" i="20"/>
  <c r="X3" i="20"/>
  <c r="D83" i="6"/>
  <c r="C45" i="20"/>
  <c r="D45" i="20"/>
  <c r="E45" i="20"/>
  <c r="F45" i="20"/>
  <c r="AH41" i="22"/>
  <c r="AC41" i="22"/>
  <c r="AH5" i="22"/>
  <c r="AH4" i="22"/>
  <c r="AC5" i="22"/>
  <c r="AC4" i="22"/>
  <c r="AC25" i="20"/>
  <c r="X25" i="20"/>
  <c r="AC10" i="20"/>
  <c r="R25" i="20"/>
  <c r="X10" i="20"/>
  <c r="AF50" i="6"/>
  <c r="AH32" i="22"/>
  <c r="AD32" i="22"/>
  <c r="AC32" i="22"/>
  <c r="G119" i="22"/>
  <c r="F119" i="22"/>
  <c r="E119" i="22"/>
  <c r="G118" i="22"/>
  <c r="F118" i="22"/>
  <c r="E118" i="22"/>
  <c r="H116" i="22"/>
  <c r="Y55" i="13"/>
  <c r="Y45" i="13"/>
  <c r="R18" i="20"/>
  <c r="X30" i="20"/>
  <c r="X18" i="20"/>
  <c r="X7" i="20"/>
  <c r="R7" i="20"/>
  <c r="AH91" i="22"/>
  <c r="AC91" i="22"/>
  <c r="AH72" i="22"/>
  <c r="AH71" i="22"/>
  <c r="AC72" i="22"/>
  <c r="AC71" i="22"/>
  <c r="AH73" i="22"/>
  <c r="AC73" i="22"/>
  <c r="AH82" i="22"/>
  <c r="AC82" i="22"/>
  <c r="AH7" i="22"/>
  <c r="AH8" i="22"/>
  <c r="AH9" i="22"/>
  <c r="AH10" i="22"/>
  <c r="AH11" i="22"/>
  <c r="AH12" i="22"/>
  <c r="AH13" i="22"/>
  <c r="AH14" i="22"/>
  <c r="AH6" i="22"/>
  <c r="AC7" i="22"/>
  <c r="AC8" i="22"/>
  <c r="AC9" i="22"/>
  <c r="AC10" i="22"/>
  <c r="AC11" i="22"/>
  <c r="AC12" i="22"/>
  <c r="AC13" i="22"/>
  <c r="AC14" i="22"/>
  <c r="AC6" i="22"/>
  <c r="AH53" i="22"/>
  <c r="AC53" i="22"/>
  <c r="AH67" i="22"/>
  <c r="AF67" i="22"/>
  <c r="AD67" i="22"/>
  <c r="AC67" i="22"/>
  <c r="AH44" i="22"/>
  <c r="AC44" i="22"/>
  <c r="Z94" i="22"/>
  <c r="Z91" i="22"/>
  <c r="Z89" i="22"/>
  <c r="Z85" i="22"/>
  <c r="Z82" i="22"/>
  <c r="Z80" i="22"/>
  <c r="Z73" i="22"/>
  <c r="Z72" i="22"/>
  <c r="Z71" i="22"/>
  <c r="Z68" i="22"/>
  <c r="Z67" i="22"/>
  <c r="Z53" i="22"/>
  <c r="Z47" i="22"/>
  <c r="Z44" i="22"/>
  <c r="Z38" i="22"/>
  <c r="Z31" i="22"/>
  <c r="Z26" i="22"/>
  <c r="AC26" i="22"/>
  <c r="AH85" i="22"/>
  <c r="AC85" i="22"/>
  <c r="AH68" i="22"/>
  <c r="AC68" i="22"/>
  <c r="AH62" i="22"/>
  <c r="AC62" i="22"/>
  <c r="AH25" i="22"/>
  <c r="AD25" i="22"/>
  <c r="AC25" i="22"/>
  <c r="AH24" i="22"/>
  <c r="AD24" i="22"/>
  <c r="AC24" i="22"/>
  <c r="AH94" i="22"/>
  <c r="AD94" i="22"/>
  <c r="AC94" i="22"/>
  <c r="AH38" i="22"/>
  <c r="AD38" i="22"/>
  <c r="AC38" i="22"/>
  <c r="AH31" i="22"/>
  <c r="AD31" i="22"/>
  <c r="AC47" i="22"/>
  <c r="AH80" i="22"/>
  <c r="AC80" i="22"/>
  <c r="AI7" i="6"/>
  <c r="AC11" i="20"/>
  <c r="AA11" i="20"/>
  <c r="Y11" i="20"/>
  <c r="X11" i="20"/>
  <c r="H37" i="20"/>
  <c r="H36" i="20"/>
  <c r="R22" i="20"/>
  <c r="R21" i="20"/>
  <c r="R20" i="20"/>
  <c r="R14" i="20"/>
  <c r="R16" i="20"/>
  <c r="R17" i="20"/>
  <c r="R23" i="20"/>
  <c r="R24" i="20"/>
  <c r="R27" i="20"/>
  <c r="R28" i="20"/>
  <c r="R31" i="20"/>
  <c r="R13" i="20"/>
  <c r="R11" i="20"/>
  <c r="R9" i="20"/>
  <c r="AH26" i="22"/>
  <c r="AD26" i="22"/>
  <c r="S94" i="22"/>
  <c r="S91" i="22"/>
  <c r="S89" i="22"/>
  <c r="S87" i="22"/>
  <c r="S86" i="22"/>
  <c r="S85" i="22"/>
  <c r="S82" i="22"/>
  <c r="S81" i="22"/>
  <c r="S80" i="22"/>
  <c r="S73" i="22"/>
  <c r="S72" i="22"/>
  <c r="S71" i="22"/>
  <c r="S68" i="22"/>
  <c r="S67" i="22"/>
  <c r="S62" i="22"/>
  <c r="S49" i="22"/>
  <c r="S47" i="22"/>
  <c r="AH47" i="22" s="1"/>
  <c r="S44" i="22"/>
  <c r="S38" i="22"/>
  <c r="S35" i="22"/>
  <c r="S31" i="22"/>
  <c r="AC31" i="22" s="1"/>
  <c r="S29" i="22"/>
  <c r="S26" i="22"/>
  <c r="S18" i="22"/>
  <c r="R18" i="22" s="1"/>
  <c r="AC29" i="20"/>
  <c r="X29" i="20"/>
  <c r="T96" i="22"/>
  <c r="Z96" i="22" s="1"/>
  <c r="I131" i="22"/>
  <c r="T93" i="22"/>
  <c r="T90" i="22"/>
  <c r="Z88" i="22"/>
  <c r="T84" i="22"/>
  <c r="H131" i="22" s="1"/>
  <c r="T79" i="22"/>
  <c r="T78" i="22"/>
  <c r="T76" i="22"/>
  <c r="T75" i="22"/>
  <c r="T70" i="22"/>
  <c r="Z70" i="22" s="1"/>
  <c r="T69" i="22"/>
  <c r="T66" i="22"/>
  <c r="T64" i="22"/>
  <c r="T63" i="22"/>
  <c r="T61" i="22"/>
  <c r="T60" i="22"/>
  <c r="T58" i="22"/>
  <c r="Z58" i="22" s="1"/>
  <c r="T57" i="22"/>
  <c r="T55" i="22"/>
  <c r="T54" i="22"/>
  <c r="T52" i="22"/>
  <c r="T51" i="22"/>
  <c r="T48" i="22"/>
  <c r="T46" i="22"/>
  <c r="T45" i="22"/>
  <c r="T43" i="22"/>
  <c r="T42" i="22"/>
  <c r="T41" i="22"/>
  <c r="Z41" i="22" s="1"/>
  <c r="T40" i="22"/>
  <c r="T39" i="22"/>
  <c r="T37" i="22"/>
  <c r="T36" i="22"/>
  <c r="T34" i="22"/>
  <c r="T33" i="22"/>
  <c r="T32" i="22"/>
  <c r="T30" i="22"/>
  <c r="T27" i="22"/>
  <c r="T25" i="22"/>
  <c r="Z25" i="22" s="1"/>
  <c r="T24" i="22"/>
  <c r="Z24" i="22" s="1"/>
  <c r="T23" i="22"/>
  <c r="E132" i="22"/>
  <c r="T22" i="22"/>
  <c r="T21" i="22"/>
  <c r="T19" i="22"/>
  <c r="T17" i="22"/>
  <c r="T16" i="22"/>
  <c r="AS13" i="20"/>
  <c r="D63" i="4"/>
  <c r="Q29" i="20"/>
  <c r="R29" i="20" s="1"/>
  <c r="Q15" i="20"/>
  <c r="R15" i="20" s="1"/>
  <c r="O28" i="20"/>
  <c r="O15" i="20"/>
  <c r="O14" i="20"/>
  <c r="E59" i="20"/>
  <c r="Z7" i="22"/>
  <c r="Z8" i="22"/>
  <c r="Z9" i="22"/>
  <c r="Z10" i="22"/>
  <c r="Z11" i="22"/>
  <c r="Z12" i="22"/>
  <c r="Z13" i="22"/>
  <c r="Z14" i="22"/>
  <c r="Z6" i="22"/>
  <c r="E137" i="22"/>
  <c r="C139" i="22"/>
  <c r="C137" i="22"/>
  <c r="E131" i="22"/>
  <c r="C132" i="22"/>
  <c r="C131" i="22"/>
  <c r="G133" i="22"/>
  <c r="D133" i="22"/>
  <c r="C133" i="22"/>
  <c r="C130" i="22"/>
  <c r="C124" i="22"/>
  <c r="D130" i="22"/>
  <c r="C127" i="22"/>
  <c r="E125" i="22"/>
  <c r="C125" i="22"/>
  <c r="G117" i="22"/>
  <c r="F117" i="22"/>
  <c r="E117" i="22"/>
  <c r="G116" i="22"/>
  <c r="F116" i="22"/>
  <c r="E116" i="22"/>
  <c r="D117" i="22"/>
  <c r="D116" i="22"/>
  <c r="C118" i="22"/>
  <c r="C117" i="22"/>
  <c r="C116" i="22"/>
  <c r="C110" i="22"/>
  <c r="C104" i="22"/>
  <c r="F13" i="1" s="1"/>
  <c r="C103" i="22"/>
  <c r="G13" i="1" s="1"/>
  <c r="C102" i="22"/>
  <c r="E13" i="1" s="1"/>
  <c r="C101" i="22"/>
  <c r="C13" i="1" s="1"/>
  <c r="D13" i="1" s="1"/>
  <c r="K3" i="22"/>
  <c r="T3" i="22" s="1"/>
  <c r="X3" i="22" s="1"/>
  <c r="K4" i="22"/>
  <c r="V4" i="22" s="1"/>
  <c r="K5" i="22"/>
  <c r="BB5" i="22" s="1"/>
  <c r="K7" i="22"/>
  <c r="K8" i="22"/>
  <c r="X8" i="22" s="1"/>
  <c r="K9" i="22"/>
  <c r="U9" i="22" s="1"/>
  <c r="K10" i="22"/>
  <c r="V10" i="22" s="1"/>
  <c r="K11" i="22"/>
  <c r="V11" i="22" s="1"/>
  <c r="K12" i="22"/>
  <c r="X12" i="22" s="1"/>
  <c r="K13" i="22"/>
  <c r="BB13" i="22" s="1"/>
  <c r="K14" i="22"/>
  <c r="X14" i="22" s="1"/>
  <c r="K15" i="22"/>
  <c r="X15" i="22" s="1"/>
  <c r="K16" i="22"/>
  <c r="BB16" i="22" s="1"/>
  <c r="K17" i="22"/>
  <c r="BB17" i="22" s="1"/>
  <c r="K18" i="22"/>
  <c r="K19" i="22"/>
  <c r="X19" i="22" s="1"/>
  <c r="K20" i="22"/>
  <c r="BB20" i="22" s="1"/>
  <c r="K21" i="22"/>
  <c r="BB21" i="22" s="1"/>
  <c r="K22" i="22"/>
  <c r="V22" i="22" s="1"/>
  <c r="K23" i="22"/>
  <c r="K24" i="22"/>
  <c r="BB24" i="22" s="1"/>
  <c r="K25" i="22"/>
  <c r="V25" i="22" s="1"/>
  <c r="K26" i="22"/>
  <c r="BB26" i="22" s="1"/>
  <c r="K27" i="22"/>
  <c r="U27" i="22" s="1"/>
  <c r="K28" i="22"/>
  <c r="X28" i="22" s="1"/>
  <c r="K29" i="22"/>
  <c r="X29" i="22" s="1"/>
  <c r="K30" i="22"/>
  <c r="U30" i="22" s="1"/>
  <c r="K31" i="22"/>
  <c r="U31" i="22" s="1"/>
  <c r="K32" i="22"/>
  <c r="U32" i="22" s="1"/>
  <c r="K33" i="22"/>
  <c r="X33" i="22" s="1"/>
  <c r="K34" i="22"/>
  <c r="V34" i="22" s="1"/>
  <c r="K35" i="22"/>
  <c r="U35" i="22" s="1"/>
  <c r="K36" i="22"/>
  <c r="X36" i="22" s="1"/>
  <c r="K37" i="22"/>
  <c r="X37" i="22" s="1"/>
  <c r="K38" i="22"/>
  <c r="K39" i="22"/>
  <c r="BB39" i="22" s="1"/>
  <c r="K40" i="22"/>
  <c r="BB40" i="22" s="1"/>
  <c r="K41" i="22"/>
  <c r="U41" i="22" s="1"/>
  <c r="K42" i="22"/>
  <c r="BB42" i="22" s="1"/>
  <c r="K43" i="22"/>
  <c r="BB43" i="22" s="1"/>
  <c r="K44" i="22"/>
  <c r="BB44" i="22" s="1"/>
  <c r="K45" i="22"/>
  <c r="BB45" i="22" s="1"/>
  <c r="K46" i="22"/>
  <c r="V46" i="22" s="1"/>
  <c r="K47" i="22"/>
  <c r="U47" i="22" s="1"/>
  <c r="K48" i="22"/>
  <c r="U48" i="22" s="1"/>
  <c r="K49" i="22"/>
  <c r="BB49" i="22" s="1"/>
  <c r="K50" i="22"/>
  <c r="V50" i="22" s="1"/>
  <c r="K51" i="22"/>
  <c r="U51" i="22" s="1"/>
  <c r="K52" i="22"/>
  <c r="BB52" i="22" s="1"/>
  <c r="K53" i="22"/>
  <c r="V53" i="22" s="1"/>
  <c r="K54" i="22"/>
  <c r="X54" i="22" s="1"/>
  <c r="K55" i="22"/>
  <c r="BB55" i="22" s="1"/>
  <c r="K56" i="22"/>
  <c r="U56" i="22" s="1"/>
  <c r="K57" i="22"/>
  <c r="U57" i="22" s="1"/>
  <c r="K58" i="22"/>
  <c r="V58" i="22" s="1"/>
  <c r="K59" i="22"/>
  <c r="V59" i="22" s="1"/>
  <c r="K60" i="22"/>
  <c r="X60" i="22" s="1"/>
  <c r="K61" i="22"/>
  <c r="V61" i="22" s="1"/>
  <c r="K62" i="22"/>
  <c r="U62" i="22" s="1"/>
  <c r="K63" i="22"/>
  <c r="V63" i="22" s="1"/>
  <c r="K64" i="22"/>
  <c r="K65" i="22"/>
  <c r="U65" i="22" s="1"/>
  <c r="K66" i="22"/>
  <c r="BB66" i="22" s="1"/>
  <c r="K67" i="22"/>
  <c r="X67" i="22" s="1"/>
  <c r="K68" i="22"/>
  <c r="X68" i="22" s="1"/>
  <c r="K69" i="22"/>
  <c r="X69" i="22" s="1"/>
  <c r="K70" i="22"/>
  <c r="V70" i="22" s="1"/>
  <c r="K71" i="22"/>
  <c r="U71" i="22" s="1"/>
  <c r="K72" i="22"/>
  <c r="X72" i="22" s="1"/>
  <c r="K73" i="22"/>
  <c r="BB73" i="22" s="1"/>
  <c r="K74" i="22"/>
  <c r="V74" i="22" s="1"/>
  <c r="K75" i="22"/>
  <c r="U75" i="22" s="1"/>
  <c r="H127" i="22"/>
  <c r="K76" i="22"/>
  <c r="BB76" i="22" s="1"/>
  <c r="K77" i="22"/>
  <c r="BB77" i="22" s="1"/>
  <c r="K78" i="22"/>
  <c r="U78" i="22" s="1"/>
  <c r="K79" i="22"/>
  <c r="V79" i="22" s="1"/>
  <c r="K80" i="22"/>
  <c r="X80" i="22" s="1"/>
  <c r="K81" i="22"/>
  <c r="U81" i="22" s="1"/>
  <c r="K82" i="22"/>
  <c r="X82" i="22" s="1"/>
  <c r="K83" i="22"/>
  <c r="U83" i="22" s="1"/>
  <c r="K84" i="22"/>
  <c r="X84" i="22" s="1"/>
  <c r="K85" i="22"/>
  <c r="BB85" i="22" s="1"/>
  <c r="K86" i="22"/>
  <c r="BB86" i="22" s="1"/>
  <c r="K87" i="22"/>
  <c r="X87" i="22" s="1"/>
  <c r="K88" i="22"/>
  <c r="X88" i="22" s="1"/>
  <c r="K89" i="22"/>
  <c r="BB89" i="22" s="1"/>
  <c r="K90" i="22"/>
  <c r="V90" i="22" s="1"/>
  <c r="K91" i="22"/>
  <c r="U91" i="22" s="1"/>
  <c r="K92" i="22"/>
  <c r="U92" i="22" s="1"/>
  <c r="K93" i="22"/>
  <c r="X93" i="22" s="1"/>
  <c r="K94" i="22"/>
  <c r="U94" i="22" s="1"/>
  <c r="K96" i="22"/>
  <c r="V96" i="22" s="1"/>
  <c r="I127" i="22"/>
  <c r="BB6" i="22"/>
  <c r="U6" i="22"/>
  <c r="V6" i="22"/>
  <c r="C138" i="22"/>
  <c r="K2" i="22"/>
  <c r="T2" i="22" s="1"/>
  <c r="X2" i="22" s="1"/>
  <c r="D139" i="22"/>
  <c r="G97" i="22"/>
  <c r="I97" i="22"/>
  <c r="J97" i="22"/>
  <c r="D132" i="22"/>
  <c r="X6" i="22"/>
  <c r="D127" i="22"/>
  <c r="C126" i="22"/>
  <c r="J2" i="6"/>
  <c r="C71" i="3"/>
  <c r="G14" i="1"/>
  <c r="C69" i="3"/>
  <c r="C14" i="1"/>
  <c r="H83" i="6"/>
  <c r="W36" i="6"/>
  <c r="W29" i="6"/>
  <c r="W24" i="6"/>
  <c r="W23" i="6"/>
  <c r="W19" i="6"/>
  <c r="W12" i="6"/>
  <c r="W4" i="6"/>
  <c r="W5" i="6"/>
  <c r="W7" i="6"/>
  <c r="W8" i="6"/>
  <c r="W9" i="6"/>
  <c r="W10" i="6"/>
  <c r="W11" i="6"/>
  <c r="W13" i="6"/>
  <c r="W14" i="6"/>
  <c r="W15" i="6"/>
  <c r="W17" i="6"/>
  <c r="W18" i="6"/>
  <c r="W22" i="6"/>
  <c r="W26" i="6"/>
  <c r="W28" i="6"/>
  <c r="W30" i="6"/>
  <c r="W31" i="6"/>
  <c r="W32" i="6"/>
  <c r="W33" i="6"/>
  <c r="W34" i="6"/>
  <c r="W35" i="6"/>
  <c r="W37" i="6"/>
  <c r="W39" i="6"/>
  <c r="W41" i="6"/>
  <c r="W42" i="6"/>
  <c r="W44" i="6"/>
  <c r="W46" i="6"/>
  <c r="W50" i="6"/>
  <c r="W52" i="6"/>
  <c r="W54" i="6"/>
  <c r="W55" i="6"/>
  <c r="W57" i="6"/>
  <c r="W58" i="6"/>
  <c r="W59" i="6"/>
  <c r="W61" i="6"/>
  <c r="W63" i="6"/>
  <c r="W64" i="6"/>
  <c r="W65" i="6"/>
  <c r="W68" i="6"/>
  <c r="W69" i="6"/>
  <c r="W71" i="6"/>
  <c r="W72" i="6"/>
  <c r="C85" i="6"/>
  <c r="F2" i="1" s="1"/>
  <c r="D37" i="20"/>
  <c r="F52" i="20"/>
  <c r="C52" i="20"/>
  <c r="J2" i="20"/>
  <c r="AS2" i="20" s="1"/>
  <c r="C39" i="20"/>
  <c r="C92" i="13"/>
  <c r="G91" i="13"/>
  <c r="F91" i="13"/>
  <c r="E91" i="13"/>
  <c r="D91" i="13"/>
  <c r="C91" i="13"/>
  <c r="C111" i="6"/>
  <c r="C110" i="6"/>
  <c r="H92" i="13"/>
  <c r="G92" i="13"/>
  <c r="F92" i="13"/>
  <c r="C78" i="13"/>
  <c r="C72" i="13"/>
  <c r="F3" i="1" s="1"/>
  <c r="H79" i="6"/>
  <c r="F79" i="6"/>
  <c r="D70" i="13"/>
  <c r="J3" i="20"/>
  <c r="U3" i="20" s="1"/>
  <c r="J4" i="20"/>
  <c r="AS4" i="20" s="1"/>
  <c r="J5" i="20"/>
  <c r="AS5" i="20" s="1"/>
  <c r="J7" i="20"/>
  <c r="AS7" i="20" s="1"/>
  <c r="J9" i="20"/>
  <c r="AS9" i="20" s="1"/>
  <c r="J10" i="20"/>
  <c r="AS10" i="20" s="1"/>
  <c r="J11" i="20"/>
  <c r="AS11" i="20" s="1"/>
  <c r="J12" i="20"/>
  <c r="U12" i="20" s="1"/>
  <c r="J14" i="20"/>
  <c r="T14" i="20" s="1"/>
  <c r="J16" i="20"/>
  <c r="S16" i="20" s="1"/>
  <c r="J17" i="20"/>
  <c r="S17" i="20" s="1"/>
  <c r="J18" i="20"/>
  <c r="AS18" i="20" s="1"/>
  <c r="J19" i="20"/>
  <c r="S19" i="20" s="1"/>
  <c r="J20" i="20"/>
  <c r="S20" i="20" s="1"/>
  <c r="J21" i="20"/>
  <c r="S21" i="20" s="1"/>
  <c r="J23" i="20"/>
  <c r="S23" i="20" s="1"/>
  <c r="J24" i="20"/>
  <c r="S24" i="20" s="1"/>
  <c r="J25" i="20"/>
  <c r="AS25" i="20" s="1"/>
  <c r="J26" i="20"/>
  <c r="U26" i="20" s="1"/>
  <c r="J28" i="20"/>
  <c r="S28" i="20" s="1"/>
  <c r="J29" i="20"/>
  <c r="T29" i="20" s="1"/>
  <c r="J30" i="20"/>
  <c r="T30" i="20" s="1"/>
  <c r="J31" i="20"/>
  <c r="T31" i="20" s="1"/>
  <c r="J32" i="20"/>
  <c r="T32" i="20" s="1"/>
  <c r="G82" i="4"/>
  <c r="H65" i="4"/>
  <c r="H64" i="4"/>
  <c r="H63" i="4"/>
  <c r="H71" i="3"/>
  <c r="H70" i="3"/>
  <c r="H69" i="3"/>
  <c r="G22" i="20"/>
  <c r="J22" i="20"/>
  <c r="S22" i="20" s="1"/>
  <c r="G15" i="20"/>
  <c r="G8" i="20"/>
  <c r="F66" i="20"/>
  <c r="E66" i="20"/>
  <c r="D66" i="20"/>
  <c r="F60" i="20"/>
  <c r="E60" i="20"/>
  <c r="D60" i="20"/>
  <c r="G58" i="20"/>
  <c r="F58" i="20"/>
  <c r="E58" i="20"/>
  <c r="D58" i="20"/>
  <c r="C58" i="20"/>
  <c r="G57" i="20"/>
  <c r="J7" i="1" s="1"/>
  <c r="F57" i="20"/>
  <c r="E57" i="20"/>
  <c r="D57" i="20"/>
  <c r="F46" i="20"/>
  <c r="E46" i="20"/>
  <c r="D46" i="20"/>
  <c r="C46" i="20"/>
  <c r="F44" i="20"/>
  <c r="E44" i="20"/>
  <c r="D44" i="20"/>
  <c r="C44" i="20"/>
  <c r="F43" i="20"/>
  <c r="E43" i="20"/>
  <c r="D43" i="20"/>
  <c r="C43" i="20"/>
  <c r="C38" i="20"/>
  <c r="G7" i="1" s="1"/>
  <c r="C37" i="20"/>
  <c r="E7" i="1" s="1"/>
  <c r="C36" i="20"/>
  <c r="C7" i="1" s="1"/>
  <c r="F33" i="20"/>
  <c r="F64" i="20"/>
  <c r="C60" i="20"/>
  <c r="J8" i="20"/>
  <c r="AS8" i="20" s="1"/>
  <c r="J15" i="20"/>
  <c r="T15" i="20" s="1"/>
  <c r="F65" i="20"/>
  <c r="F53" i="20"/>
  <c r="C64" i="20"/>
  <c r="F54" i="20"/>
  <c r="F66" i="13"/>
  <c r="H91" i="13"/>
  <c r="G79" i="13"/>
  <c r="D92" i="13"/>
  <c r="J3" i="6"/>
  <c r="J4" i="6"/>
  <c r="BA4" i="6" s="1"/>
  <c r="J5" i="6"/>
  <c r="X5" i="6" s="1"/>
  <c r="J6" i="6"/>
  <c r="J7" i="6"/>
  <c r="Y7" i="6" s="1"/>
  <c r="J8" i="6"/>
  <c r="X8" i="6" s="1"/>
  <c r="J11" i="6"/>
  <c r="Y11" i="6" s="1"/>
  <c r="J12" i="6"/>
  <c r="BA12" i="6" s="1"/>
  <c r="J13" i="6"/>
  <c r="X13" i="6" s="1"/>
  <c r="J14" i="6"/>
  <c r="X14" i="6" s="1"/>
  <c r="J15" i="6"/>
  <c r="X15" i="6" s="1"/>
  <c r="J16" i="6"/>
  <c r="BA16" i="6" s="1"/>
  <c r="J17" i="6"/>
  <c r="X17" i="6" s="1"/>
  <c r="J18" i="6"/>
  <c r="BA18" i="6" s="1"/>
  <c r="J19" i="6"/>
  <c r="X19" i="6" s="1"/>
  <c r="J20" i="6"/>
  <c r="X20" i="6" s="1"/>
  <c r="J21" i="6"/>
  <c r="BA21" i="6" s="1"/>
  <c r="J22" i="6"/>
  <c r="X22" i="6" s="1"/>
  <c r="J23" i="6"/>
  <c r="BA23" i="6" s="1"/>
  <c r="J24" i="6"/>
  <c r="BA24" i="6" s="1"/>
  <c r="J25" i="6"/>
  <c r="Z25" i="6" s="1"/>
  <c r="J26" i="6"/>
  <c r="X26" i="6" s="1"/>
  <c r="J27" i="6"/>
  <c r="E110" i="6" s="1"/>
  <c r="J28" i="6"/>
  <c r="X28" i="6" s="1"/>
  <c r="J29" i="6"/>
  <c r="BA29" i="6" s="1"/>
  <c r="J31" i="6"/>
  <c r="Z31" i="6" s="1"/>
  <c r="J32" i="6"/>
  <c r="BA32" i="6" s="1"/>
  <c r="J33" i="6"/>
  <c r="X33" i="6" s="1"/>
  <c r="J34" i="6"/>
  <c r="X34" i="6" s="1"/>
  <c r="C97" i="6" s="1"/>
  <c r="J35" i="6"/>
  <c r="BA35" i="6" s="1"/>
  <c r="J36" i="6"/>
  <c r="X36" i="6" s="1"/>
  <c r="J37" i="6"/>
  <c r="Z37" i="6" s="1"/>
  <c r="J38" i="6"/>
  <c r="BA38" i="6" s="1"/>
  <c r="J39" i="6"/>
  <c r="BA39" i="6" s="1"/>
  <c r="J40" i="6"/>
  <c r="X40" i="6" s="1"/>
  <c r="J41" i="6"/>
  <c r="X41" i="6" s="1"/>
  <c r="J42" i="6"/>
  <c r="X42" i="6" s="1"/>
  <c r="J43" i="6"/>
  <c r="BA43" i="6" s="1"/>
  <c r="J44" i="6"/>
  <c r="X44" i="6" s="1"/>
  <c r="J45" i="6"/>
  <c r="X45" i="6" s="1"/>
  <c r="J46" i="6"/>
  <c r="BA46" i="6" s="1"/>
  <c r="J47" i="6"/>
  <c r="X47" i="6" s="1"/>
  <c r="J48" i="6"/>
  <c r="J49" i="6"/>
  <c r="BA49" i="6" s="1"/>
  <c r="J50" i="6"/>
  <c r="X50" i="6" s="1"/>
  <c r="J51" i="6"/>
  <c r="X51" i="6" s="1"/>
  <c r="J52" i="6"/>
  <c r="X52" i="6" s="1"/>
  <c r="J53" i="6"/>
  <c r="X53" i="6" s="1"/>
  <c r="J54" i="6"/>
  <c r="BA54" i="6" s="1"/>
  <c r="J55" i="6"/>
  <c r="Z55" i="6" s="1"/>
  <c r="J56" i="6"/>
  <c r="Z56" i="6" s="1"/>
  <c r="J57" i="6"/>
  <c r="Y57" i="6" s="1"/>
  <c r="J58" i="6"/>
  <c r="Y58" i="6" s="1"/>
  <c r="J59" i="6"/>
  <c r="Y59" i="6" s="1"/>
  <c r="J60" i="6"/>
  <c r="Y60" i="6" s="1"/>
  <c r="J61" i="6"/>
  <c r="BA61" i="6" s="1"/>
  <c r="J62" i="6"/>
  <c r="BA62" i="6" s="1"/>
  <c r="J63" i="6"/>
  <c r="BA63" i="6" s="1"/>
  <c r="J64" i="6"/>
  <c r="BA64" i="6" s="1"/>
  <c r="J65" i="6"/>
  <c r="Y65" i="6" s="1"/>
  <c r="J66" i="6"/>
  <c r="Y66" i="6" s="1"/>
  <c r="J67" i="6"/>
  <c r="X67" i="6" s="1"/>
  <c r="J68" i="6"/>
  <c r="BA68" i="6" s="1"/>
  <c r="J69" i="6"/>
  <c r="BA69" i="6" s="1"/>
  <c r="J70" i="6"/>
  <c r="X70" i="6" s="1"/>
  <c r="J71" i="6"/>
  <c r="X71" i="6" s="1"/>
  <c r="J72" i="6"/>
  <c r="BA72" i="6" s="1"/>
  <c r="J73" i="6"/>
  <c r="X73" i="6" s="1"/>
  <c r="J74" i="6"/>
  <c r="Y74" i="6" s="1"/>
  <c r="J75" i="6"/>
  <c r="Y75" i="6" s="1"/>
  <c r="J76" i="6"/>
  <c r="BA76" i="6" s="1"/>
  <c r="J77" i="6"/>
  <c r="X77" i="6" s="1"/>
  <c r="J78" i="6"/>
  <c r="Y78" i="6" s="1"/>
  <c r="I30" i="6"/>
  <c r="I79" i="6" s="1"/>
  <c r="G10" i="6"/>
  <c r="J10" i="6" s="1"/>
  <c r="Y10" i="6" s="1"/>
  <c r="G9" i="6"/>
  <c r="C112" i="6"/>
  <c r="D72" i="13"/>
  <c r="H93" i="13"/>
  <c r="R62" i="6"/>
  <c r="W62" i="6" s="1"/>
  <c r="G93" i="13"/>
  <c r="G90" i="13"/>
  <c r="F93" i="13"/>
  <c r="F90" i="13"/>
  <c r="E93" i="13"/>
  <c r="D93" i="13"/>
  <c r="D90" i="13"/>
  <c r="C90" i="13"/>
  <c r="E90" i="6"/>
  <c r="I65" i="13"/>
  <c r="AX65" i="13" s="1"/>
  <c r="I2" i="13"/>
  <c r="AX2" i="13" s="1"/>
  <c r="I3" i="13"/>
  <c r="AX3" i="13" s="1"/>
  <c r="I4" i="13"/>
  <c r="W4" i="13" s="1"/>
  <c r="I5" i="13"/>
  <c r="Y5" i="13" s="1"/>
  <c r="I6" i="13"/>
  <c r="W6" i="13" s="1"/>
  <c r="I7" i="13"/>
  <c r="W7" i="13" s="1"/>
  <c r="I8" i="13"/>
  <c r="I9" i="13"/>
  <c r="AX9" i="13" s="1"/>
  <c r="I10" i="13"/>
  <c r="X10" i="13" s="1"/>
  <c r="I11" i="13"/>
  <c r="AX11" i="13" s="1"/>
  <c r="I12" i="13"/>
  <c r="Y12" i="13" s="1"/>
  <c r="I13" i="13"/>
  <c r="W13" i="13" s="1"/>
  <c r="I14" i="13"/>
  <c r="X14" i="13" s="1"/>
  <c r="I15" i="13"/>
  <c r="AX15" i="13" s="1"/>
  <c r="I16" i="13"/>
  <c r="AX16" i="13" s="1"/>
  <c r="I17" i="13"/>
  <c r="X17" i="13" s="1"/>
  <c r="I18" i="13"/>
  <c r="X18" i="13" s="1"/>
  <c r="I19" i="13"/>
  <c r="W19" i="13" s="1"/>
  <c r="I20" i="13"/>
  <c r="X20" i="13" s="1"/>
  <c r="I21" i="13"/>
  <c r="X21" i="13" s="1"/>
  <c r="I22" i="13"/>
  <c r="AX22" i="13" s="1"/>
  <c r="I23" i="13"/>
  <c r="AX23" i="13" s="1"/>
  <c r="I24" i="13"/>
  <c r="W24" i="13" s="1"/>
  <c r="I25" i="13"/>
  <c r="AX25" i="13" s="1"/>
  <c r="I29" i="13"/>
  <c r="W29" i="13" s="1"/>
  <c r="I30" i="13"/>
  <c r="X30" i="13" s="1"/>
  <c r="I31" i="13"/>
  <c r="AX31" i="13" s="1"/>
  <c r="I32" i="13"/>
  <c r="AX32" i="13" s="1"/>
  <c r="I33" i="13"/>
  <c r="AX33" i="13" s="1"/>
  <c r="I34" i="13"/>
  <c r="W34" i="13" s="1"/>
  <c r="I35" i="13"/>
  <c r="X35" i="13" s="1"/>
  <c r="I39" i="13"/>
  <c r="W39" i="13" s="1"/>
  <c r="I40" i="13"/>
  <c r="AX40" i="13" s="1"/>
  <c r="I41" i="13"/>
  <c r="X41" i="13" s="1"/>
  <c r="I42" i="13"/>
  <c r="AX42" i="13" s="1"/>
  <c r="I43" i="13"/>
  <c r="AX43" i="13" s="1"/>
  <c r="I44" i="13"/>
  <c r="AX44" i="13" s="1"/>
  <c r="I45" i="13"/>
  <c r="AX45" i="13" s="1"/>
  <c r="I49" i="13"/>
  <c r="X49" i="13" s="1"/>
  <c r="I50" i="13"/>
  <c r="W50" i="13" s="1"/>
  <c r="I51" i="13"/>
  <c r="W51" i="13" s="1"/>
  <c r="I52" i="13"/>
  <c r="I53" i="13"/>
  <c r="W53" i="13" s="1"/>
  <c r="I54" i="13"/>
  <c r="W54" i="13" s="1"/>
  <c r="I55" i="13"/>
  <c r="AX55" i="13" s="1"/>
  <c r="I59" i="13"/>
  <c r="AX59" i="13" s="1"/>
  <c r="I60" i="13"/>
  <c r="W60" i="13" s="1"/>
  <c r="I61" i="13"/>
  <c r="X61" i="13" s="1"/>
  <c r="I62" i="13"/>
  <c r="AX62" i="13" s="1"/>
  <c r="I63" i="13"/>
  <c r="AX63" i="13" s="1"/>
  <c r="F86" i="13"/>
  <c r="I64" i="13"/>
  <c r="X64" i="13" s="1"/>
  <c r="I57" i="13"/>
  <c r="AX57" i="13" s="1"/>
  <c r="I56" i="13"/>
  <c r="W56" i="13" s="1"/>
  <c r="I47" i="13"/>
  <c r="AX47" i="13" s="1"/>
  <c r="I46" i="13"/>
  <c r="AX46" i="13" s="1"/>
  <c r="I37" i="13"/>
  <c r="X37" i="13" s="1"/>
  <c r="I36" i="13"/>
  <c r="X36" i="13" s="1"/>
  <c r="I27" i="13"/>
  <c r="AX27" i="13" s="1"/>
  <c r="I26" i="13"/>
  <c r="W26" i="13" s="1"/>
  <c r="F79" i="13"/>
  <c r="G78" i="13"/>
  <c r="F78" i="13"/>
  <c r="G77" i="13"/>
  <c r="F77" i="13"/>
  <c r="G76" i="13"/>
  <c r="F76" i="13"/>
  <c r="E79" i="13"/>
  <c r="D79" i="13"/>
  <c r="C79" i="13"/>
  <c r="E78" i="13"/>
  <c r="D78" i="13"/>
  <c r="E77" i="13"/>
  <c r="D77" i="13"/>
  <c r="C77" i="13"/>
  <c r="E76" i="13"/>
  <c r="D76" i="13"/>
  <c r="C76" i="13"/>
  <c r="C71" i="13"/>
  <c r="G3" i="1" s="1"/>
  <c r="R16" i="6"/>
  <c r="W16" i="6" s="1"/>
  <c r="W74" i="6"/>
  <c r="W75" i="6"/>
  <c r="W78" i="6"/>
  <c r="W2" i="6"/>
  <c r="W3" i="6"/>
  <c r="F91" i="6"/>
  <c r="F90" i="6"/>
  <c r="D91" i="6"/>
  <c r="D90" i="6"/>
  <c r="C91" i="6"/>
  <c r="C90" i="6"/>
  <c r="C84" i="6"/>
  <c r="G2" i="1" s="1"/>
  <c r="C83" i="6"/>
  <c r="E2" i="1" s="1"/>
  <c r="E91" i="6"/>
  <c r="G80" i="4"/>
  <c r="F82" i="4"/>
  <c r="E82" i="4"/>
  <c r="D82" i="4"/>
  <c r="C82" i="4"/>
  <c r="F81" i="4"/>
  <c r="E81" i="4"/>
  <c r="D81" i="4"/>
  <c r="C81" i="4"/>
  <c r="E80" i="4"/>
  <c r="D80" i="4"/>
  <c r="C80" i="4"/>
  <c r="G81" i="4"/>
  <c r="F80" i="4"/>
  <c r="H88" i="3"/>
  <c r="H87" i="3"/>
  <c r="H86" i="3"/>
  <c r="J14" i="1"/>
  <c r="E76" i="4"/>
  <c r="D77" i="4"/>
  <c r="D76" i="4"/>
  <c r="C76" i="4"/>
  <c r="F71" i="4"/>
  <c r="E71" i="4"/>
  <c r="D71" i="4"/>
  <c r="C71" i="4"/>
  <c r="F70" i="4"/>
  <c r="E70" i="4"/>
  <c r="D70" i="4"/>
  <c r="C70" i="4"/>
  <c r="C69" i="4"/>
  <c r="F69" i="4"/>
  <c r="E69" i="4"/>
  <c r="C64" i="4"/>
  <c r="D69" i="4"/>
  <c r="D65" i="4"/>
  <c r="C65" i="4"/>
  <c r="D64" i="4"/>
  <c r="C63" i="4"/>
  <c r="I10" i="4"/>
  <c r="R10" i="4"/>
  <c r="I11" i="4"/>
  <c r="R11" i="4"/>
  <c r="I12" i="4"/>
  <c r="R12" i="4"/>
  <c r="I13" i="4"/>
  <c r="R13" i="4"/>
  <c r="I14" i="4"/>
  <c r="R14" i="4"/>
  <c r="I15" i="4"/>
  <c r="R15" i="4"/>
  <c r="I16" i="4"/>
  <c r="R16" i="4"/>
  <c r="I17" i="4"/>
  <c r="R17" i="4"/>
  <c r="I18" i="4"/>
  <c r="R18" i="4"/>
  <c r="I19" i="4"/>
  <c r="R19" i="4"/>
  <c r="I20" i="4"/>
  <c r="R20" i="4"/>
  <c r="I21" i="4"/>
  <c r="R21" i="4"/>
  <c r="I22" i="4"/>
  <c r="R22" i="4"/>
  <c r="I23" i="4"/>
  <c r="R23" i="4"/>
  <c r="I24" i="4"/>
  <c r="R24" i="4"/>
  <c r="I25" i="4"/>
  <c r="R25" i="4"/>
  <c r="I26" i="4"/>
  <c r="R26" i="4"/>
  <c r="I27" i="4"/>
  <c r="R27" i="4"/>
  <c r="I28" i="4"/>
  <c r="R28" i="4"/>
  <c r="I29" i="4"/>
  <c r="R29" i="4"/>
  <c r="I30" i="4"/>
  <c r="R30" i="4"/>
  <c r="I31" i="4"/>
  <c r="R31" i="4"/>
  <c r="I32" i="4"/>
  <c r="R32" i="4"/>
  <c r="I33" i="4"/>
  <c r="R33" i="4"/>
  <c r="I34" i="4"/>
  <c r="R34" i="4"/>
  <c r="I35" i="4"/>
  <c r="R35" i="4"/>
  <c r="I36" i="4"/>
  <c r="R36" i="4"/>
  <c r="I37" i="4"/>
  <c r="R37" i="4"/>
  <c r="I38" i="4"/>
  <c r="R38" i="4"/>
  <c r="I39" i="4"/>
  <c r="R39" i="4"/>
  <c r="I40" i="4"/>
  <c r="R40" i="4"/>
  <c r="I41" i="4"/>
  <c r="R41" i="4"/>
  <c r="I42" i="4"/>
  <c r="R42" i="4"/>
  <c r="I43" i="4"/>
  <c r="R43" i="4"/>
  <c r="I44" i="4"/>
  <c r="R44" i="4"/>
  <c r="I45" i="4"/>
  <c r="R45" i="4"/>
  <c r="I46" i="4"/>
  <c r="R46" i="4"/>
  <c r="I47" i="4"/>
  <c r="R47" i="4"/>
  <c r="I48" i="4"/>
  <c r="R48" i="4"/>
  <c r="I49" i="4"/>
  <c r="R49" i="4"/>
  <c r="I50" i="4"/>
  <c r="R50" i="4"/>
  <c r="I51" i="4"/>
  <c r="R51" i="4"/>
  <c r="I52" i="4"/>
  <c r="R52" i="4"/>
  <c r="C77" i="4"/>
  <c r="I53" i="4"/>
  <c r="R53" i="4"/>
  <c r="I54" i="4"/>
  <c r="R54" i="4"/>
  <c r="I55" i="4"/>
  <c r="R55" i="4"/>
  <c r="I56" i="4"/>
  <c r="R56" i="4"/>
  <c r="I57" i="4"/>
  <c r="R57" i="4"/>
  <c r="I58" i="4"/>
  <c r="R58" i="4"/>
  <c r="I59" i="4"/>
  <c r="R59" i="4"/>
  <c r="I60" i="4"/>
  <c r="R60" i="4"/>
  <c r="I3" i="4"/>
  <c r="R3" i="4"/>
  <c r="I4" i="4"/>
  <c r="R4" i="4"/>
  <c r="I5" i="4"/>
  <c r="R5" i="4"/>
  <c r="I6" i="4"/>
  <c r="R6" i="4"/>
  <c r="I7" i="4"/>
  <c r="R7" i="4"/>
  <c r="I8" i="4"/>
  <c r="R8" i="4"/>
  <c r="G76" i="4"/>
  <c r="I9" i="4"/>
  <c r="R9" i="4"/>
  <c r="I2" i="4"/>
  <c r="R2" i="4"/>
  <c r="E77" i="4"/>
  <c r="F77" i="4"/>
  <c r="G77" i="4"/>
  <c r="E65" i="4"/>
  <c r="D71" i="3"/>
  <c r="D70" i="3"/>
  <c r="D69" i="3"/>
  <c r="H14" i="1"/>
  <c r="C70" i="3"/>
  <c r="I3" i="3"/>
  <c r="O3" i="3"/>
  <c r="I4" i="3"/>
  <c r="O4" i="3"/>
  <c r="I5" i="3"/>
  <c r="O5" i="3"/>
  <c r="I6" i="3"/>
  <c r="O6" i="3"/>
  <c r="I7" i="3"/>
  <c r="O7" i="3"/>
  <c r="I8" i="3"/>
  <c r="O8" i="3"/>
  <c r="I9" i="3"/>
  <c r="O9" i="3"/>
  <c r="H82" i="3"/>
  <c r="I10" i="3"/>
  <c r="O10" i="3"/>
  <c r="I11" i="3"/>
  <c r="O11" i="3"/>
  <c r="I12" i="3"/>
  <c r="O12" i="3"/>
  <c r="I13" i="3"/>
  <c r="O13" i="3"/>
  <c r="I14" i="3"/>
  <c r="O14" i="3"/>
  <c r="I15" i="3"/>
  <c r="O15" i="3"/>
  <c r="I16" i="3"/>
  <c r="O16" i="3"/>
  <c r="I17" i="3"/>
  <c r="O17" i="3"/>
  <c r="I18" i="3"/>
  <c r="O18" i="3"/>
  <c r="I19" i="3"/>
  <c r="O19" i="3"/>
  <c r="I20" i="3"/>
  <c r="O20" i="3"/>
  <c r="I21" i="3"/>
  <c r="O21" i="3"/>
  <c r="I22" i="3"/>
  <c r="O22" i="3"/>
  <c r="I23" i="3"/>
  <c r="O23" i="3"/>
  <c r="I24" i="3"/>
  <c r="O24" i="3"/>
  <c r="I25" i="3"/>
  <c r="O25" i="3"/>
  <c r="I26" i="3"/>
  <c r="O26" i="3"/>
  <c r="I27" i="3"/>
  <c r="O27" i="3"/>
  <c r="I28" i="3"/>
  <c r="O28" i="3"/>
  <c r="I29" i="3"/>
  <c r="I30" i="3"/>
  <c r="O30" i="3"/>
  <c r="I31" i="3"/>
  <c r="O31" i="3"/>
  <c r="I32" i="3"/>
  <c r="O32" i="3"/>
  <c r="I33" i="3"/>
  <c r="O33" i="3"/>
  <c r="I34" i="3"/>
  <c r="O34" i="3"/>
  <c r="I35" i="3"/>
  <c r="O35" i="3"/>
  <c r="I36" i="3"/>
  <c r="O36" i="3"/>
  <c r="I37" i="3"/>
  <c r="O37" i="3"/>
  <c r="I38" i="3"/>
  <c r="O38" i="3"/>
  <c r="I39" i="3"/>
  <c r="O39" i="3"/>
  <c r="I40" i="3"/>
  <c r="O40" i="3"/>
  <c r="I41" i="3"/>
  <c r="O41" i="3"/>
  <c r="I42" i="3"/>
  <c r="O42" i="3"/>
  <c r="I43" i="3"/>
  <c r="O43" i="3"/>
  <c r="I44" i="3"/>
  <c r="O44" i="3"/>
  <c r="I45" i="3"/>
  <c r="O45" i="3"/>
  <c r="I46" i="3"/>
  <c r="O46" i="3"/>
  <c r="I47" i="3"/>
  <c r="O47" i="3"/>
  <c r="I48" i="3"/>
  <c r="O48" i="3"/>
  <c r="I49" i="3"/>
  <c r="O49" i="3"/>
  <c r="I50" i="3"/>
  <c r="O50" i="3"/>
  <c r="I51" i="3"/>
  <c r="O51" i="3"/>
  <c r="I52" i="3"/>
  <c r="O52" i="3"/>
  <c r="I53" i="3"/>
  <c r="O53" i="3"/>
  <c r="I54" i="3"/>
  <c r="O54" i="3"/>
  <c r="I55" i="3"/>
  <c r="O55" i="3"/>
  <c r="I56" i="3"/>
  <c r="O56" i="3"/>
  <c r="I57" i="3"/>
  <c r="O57" i="3"/>
  <c r="I58" i="3"/>
  <c r="O58" i="3"/>
  <c r="I59" i="3"/>
  <c r="O59" i="3"/>
  <c r="I60" i="3"/>
  <c r="O60" i="3"/>
  <c r="I61" i="3"/>
  <c r="O61" i="3"/>
  <c r="E83" i="3"/>
  <c r="I62" i="3"/>
  <c r="O62" i="3"/>
  <c r="I63" i="3"/>
  <c r="O63" i="3"/>
  <c r="I64" i="3"/>
  <c r="O64" i="3"/>
  <c r="I65" i="3"/>
  <c r="O65" i="3"/>
  <c r="I66" i="3"/>
  <c r="O66" i="3"/>
  <c r="I2" i="3"/>
  <c r="O2" i="3"/>
  <c r="C60" i="3"/>
  <c r="C58" i="3"/>
  <c r="C57" i="3"/>
  <c r="C56" i="3"/>
  <c r="C55" i="3"/>
  <c r="C53" i="3"/>
  <c r="C52" i="3"/>
  <c r="C51" i="3"/>
  <c r="C50" i="3"/>
  <c r="C25" i="3"/>
  <c r="C37" i="3"/>
  <c r="D83" i="3"/>
  <c r="F88" i="3"/>
  <c r="E88" i="3"/>
  <c r="D88" i="3"/>
  <c r="C88" i="3"/>
  <c r="G88" i="3"/>
  <c r="G83" i="3"/>
  <c r="G77" i="3"/>
  <c r="F77" i="3"/>
  <c r="C77" i="3"/>
  <c r="E77" i="3"/>
  <c r="D77" i="3"/>
  <c r="C83" i="3"/>
  <c r="E82" i="3"/>
  <c r="F87" i="3"/>
  <c r="G87" i="3"/>
  <c r="E87" i="3"/>
  <c r="D87" i="3"/>
  <c r="C87" i="3"/>
  <c r="G82" i="3"/>
  <c r="D82" i="3"/>
  <c r="C82" i="3"/>
  <c r="F76" i="3"/>
  <c r="G76" i="3"/>
  <c r="C76" i="3"/>
  <c r="E76" i="3"/>
  <c r="D76" i="3"/>
  <c r="H97" i="22"/>
  <c r="R23" i="24"/>
  <c r="V23" i="24" s="1"/>
  <c r="F97" i="13"/>
  <c r="F85" i="13"/>
  <c r="I130" i="22"/>
  <c r="I133" i="22"/>
  <c r="I119" i="22"/>
  <c r="C119" i="22"/>
  <c r="H130" i="22"/>
  <c r="C97" i="13"/>
  <c r="F98" i="13"/>
  <c r="C85" i="13"/>
  <c r="C98" i="13"/>
  <c r="H119" i="22"/>
  <c r="I139" i="22"/>
  <c r="I137" i="22"/>
  <c r="I125" i="22"/>
  <c r="F76" i="4"/>
  <c r="D72" i="24"/>
  <c r="E133" i="22"/>
  <c r="C86" i="13"/>
  <c r="F133" i="22"/>
  <c r="E84" i="26"/>
  <c r="D104" i="22"/>
  <c r="J133" i="22"/>
  <c r="H78" i="26"/>
  <c r="G78" i="26"/>
  <c r="E126" i="22"/>
  <c r="E138" i="22"/>
  <c r="C66" i="24"/>
  <c r="Y40" i="28"/>
  <c r="Y32" i="28"/>
  <c r="Y27" i="28"/>
  <c r="C66" i="20"/>
  <c r="F84" i="31"/>
  <c r="D54" i="27"/>
  <c r="D60" i="27"/>
  <c r="F82" i="3"/>
  <c r="C66" i="4"/>
  <c r="G66" i="20"/>
  <c r="X49" i="26"/>
  <c r="V15" i="1" a="1"/>
  <c r="V15" i="1" s="1"/>
  <c r="D66" i="4"/>
  <c r="G69" i="4"/>
  <c r="E72" i="4"/>
  <c r="G70" i="4"/>
  <c r="F72" i="4"/>
  <c r="G132" i="22"/>
  <c r="F97" i="30"/>
  <c r="C89" i="30"/>
  <c r="K2" i="31"/>
  <c r="AX2" i="31" s="1"/>
  <c r="D72" i="28"/>
  <c r="C72" i="4"/>
  <c r="G71" i="4"/>
  <c r="E63" i="4"/>
  <c r="D75" i="4"/>
  <c r="G75" i="4"/>
  <c r="C75" i="4"/>
  <c r="E75" i="4"/>
  <c r="F75" i="4"/>
  <c r="I61" i="4"/>
  <c r="E66" i="4"/>
  <c r="D72" i="4"/>
  <c r="F82" i="26"/>
  <c r="C74" i="29"/>
  <c r="D85" i="6"/>
  <c r="G106" i="6"/>
  <c r="F96" i="30"/>
  <c r="G96" i="30"/>
  <c r="F79" i="29"/>
  <c r="F73" i="29"/>
  <c r="O29" i="3"/>
  <c r="F83" i="3"/>
  <c r="E74" i="28"/>
  <c r="G131" i="22"/>
  <c r="G137" i="22"/>
  <c r="F70" i="24"/>
  <c r="C79" i="29"/>
  <c r="C81" i="29"/>
  <c r="C73" i="29"/>
  <c r="D73" i="29"/>
  <c r="D79" i="29"/>
  <c r="G97" i="13"/>
  <c r="E64" i="20"/>
  <c r="E97" i="13"/>
  <c r="G82" i="26"/>
  <c r="H82" i="26"/>
  <c r="H76" i="26"/>
  <c r="F14" i="1"/>
  <c r="E14" i="1"/>
  <c r="H137" i="22"/>
  <c r="F90" i="30"/>
  <c r="G90" i="30"/>
  <c r="C70" i="24"/>
  <c r="D110" i="6"/>
  <c r="C90" i="30"/>
  <c r="C60" i="27"/>
  <c r="F71" i="24"/>
  <c r="E58" i="27"/>
  <c r="F52" i="27"/>
  <c r="E52" i="27"/>
  <c r="F131" i="22"/>
  <c r="F137" i="22"/>
  <c r="C48" i="27"/>
  <c r="C58" i="27"/>
  <c r="G64" i="20"/>
  <c r="D64" i="20"/>
  <c r="F139" i="22"/>
  <c r="D138" i="22"/>
  <c r="E60" i="27"/>
  <c r="E89" i="31"/>
  <c r="D33" i="27"/>
  <c r="E54" i="27"/>
  <c r="E65" i="24"/>
  <c r="E112" i="6"/>
  <c r="G89" i="31"/>
  <c r="C89" i="31"/>
  <c r="D89" i="31"/>
  <c r="F91" i="31"/>
  <c r="G84" i="30"/>
  <c r="F84" i="30"/>
  <c r="C96" i="30"/>
  <c r="C80" i="29"/>
  <c r="D91" i="31"/>
  <c r="C91" i="31"/>
  <c r="E91" i="31"/>
  <c r="G91" i="31"/>
  <c r="R10" i="24"/>
  <c r="V10" i="24" s="1"/>
  <c r="C71" i="24"/>
  <c r="U36" i="26"/>
  <c r="D54" i="26"/>
  <c r="H15" i="1" s="1"/>
  <c r="E65" i="20"/>
  <c r="Y11" i="13"/>
  <c r="D86" i="13"/>
  <c r="AX26" i="31"/>
  <c r="Z19" i="31"/>
  <c r="C90" i="31"/>
  <c r="E90" i="31"/>
  <c r="D90" i="31"/>
  <c r="H97" i="13"/>
  <c r="D98" i="13"/>
  <c r="G98" i="13"/>
  <c r="H99" i="13"/>
  <c r="E127" i="22"/>
  <c r="E139" i="22"/>
  <c r="W56" i="6"/>
  <c r="G99" i="13"/>
  <c r="G101" i="13" s="1"/>
  <c r="E99" i="13"/>
  <c r="E101" i="13" s="1"/>
  <c r="H98" i="13"/>
  <c r="D97" i="13"/>
  <c r="F99" i="13"/>
  <c r="F101" i="13" s="1"/>
  <c r="E98" i="13"/>
  <c r="D99" i="13"/>
  <c r="D101" i="13" s="1"/>
  <c r="C99" i="13"/>
  <c r="C101" i="13" s="1"/>
  <c r="C65" i="24"/>
  <c r="D111" i="6"/>
  <c r="D112" i="6"/>
  <c r="E100" i="6"/>
  <c r="G127" i="22"/>
  <c r="G138" i="22"/>
  <c r="F132" i="22"/>
  <c r="F138" i="22"/>
  <c r="E59" i="24"/>
  <c r="E60" i="24"/>
  <c r="D65" i="20"/>
  <c r="G65" i="20"/>
  <c r="C65" i="20"/>
  <c r="V6" i="26"/>
  <c r="W6" i="26"/>
  <c r="U13" i="26"/>
  <c r="V36" i="26"/>
  <c r="U40" i="26"/>
  <c r="W26" i="26"/>
  <c r="U3" i="26"/>
  <c r="U31" i="26"/>
  <c r="E72" i="26"/>
  <c r="V42" i="26"/>
  <c r="V31" i="26"/>
  <c r="U29" i="26"/>
  <c r="W47" i="26"/>
  <c r="W5" i="26"/>
  <c r="V44" i="26"/>
  <c r="U4" i="26"/>
  <c r="V18" i="26"/>
  <c r="V4" i="26"/>
  <c r="V47" i="26"/>
  <c r="W24" i="26"/>
  <c r="W35" i="26"/>
  <c r="W18" i="26"/>
  <c r="E71" i="26"/>
  <c r="U39" i="26"/>
  <c r="V3" i="26"/>
  <c r="E83" i="26"/>
  <c r="V16" i="26"/>
  <c r="E70" i="3"/>
  <c r="I67" i="3"/>
  <c r="C49" i="3"/>
  <c r="D81" i="3"/>
  <c r="D137" i="22"/>
  <c r="C72" i="24"/>
  <c r="E111" i="6"/>
  <c r="V37" i="26"/>
  <c r="F70" i="26"/>
  <c r="V26" i="26"/>
  <c r="H84" i="26"/>
  <c r="V13" i="26"/>
  <c r="V27" i="26"/>
  <c r="U44" i="26"/>
  <c r="U15" i="26"/>
  <c r="W44" i="26"/>
  <c r="F71" i="26"/>
  <c r="V35" i="26"/>
  <c r="U49" i="26"/>
  <c r="U23" i="26"/>
  <c r="F85" i="26"/>
  <c r="V20" i="26"/>
  <c r="V15" i="26"/>
  <c r="G84" i="26"/>
  <c r="W39" i="26"/>
  <c r="H75" i="26"/>
  <c r="J15" i="1" s="1"/>
  <c r="F65" i="26"/>
  <c r="V28" i="26"/>
  <c r="V46" i="26"/>
  <c r="U34" i="26"/>
  <c r="V21" i="26"/>
  <c r="V29" i="26"/>
  <c r="U12" i="26"/>
  <c r="U46" i="26"/>
  <c r="H64" i="26"/>
  <c r="W48" i="26"/>
  <c r="W30" i="26"/>
  <c r="H62" i="26"/>
  <c r="H77" i="26"/>
  <c r="W28" i="26"/>
  <c r="V14" i="26"/>
  <c r="U14" i="26"/>
  <c r="U45" i="26"/>
  <c r="D56" i="26"/>
  <c r="G77" i="26"/>
  <c r="U38" i="26"/>
  <c r="U7" i="26"/>
  <c r="V30" i="26"/>
  <c r="W20" i="26"/>
  <c r="V34" i="26"/>
  <c r="G83" i="26"/>
  <c r="V19" i="26"/>
  <c r="U37" i="26"/>
  <c r="V12" i="26"/>
  <c r="G75" i="26"/>
  <c r="W27" i="26"/>
  <c r="W19" i="26"/>
  <c r="H83" i="26"/>
  <c r="U16" i="26"/>
  <c r="V45" i="26"/>
  <c r="C58" i="26"/>
  <c r="B15" i="1" s="1"/>
  <c r="D15" i="1" s="1"/>
  <c r="C72" i="3"/>
  <c r="H76" i="3"/>
  <c r="D72" i="3"/>
  <c r="H77" i="3"/>
  <c r="C53" i="27"/>
  <c r="C59" i="27"/>
  <c r="G85" i="30"/>
  <c r="F89" i="31"/>
  <c r="F60" i="24"/>
  <c r="H125" i="22"/>
  <c r="D54" i="20"/>
  <c r="D100" i="6"/>
  <c r="G72" i="4"/>
  <c r="D60" i="28"/>
  <c r="F127" i="22"/>
  <c r="F85" i="30"/>
  <c r="E79" i="31"/>
  <c r="F90" i="31"/>
  <c r="G90" i="31"/>
  <c r="C83" i="30"/>
  <c r="E69" i="3"/>
  <c r="K14" i="1"/>
  <c r="H81" i="3"/>
  <c r="D99" i="6"/>
  <c r="G70" i="26"/>
  <c r="H83" i="3"/>
  <c r="E71" i="3"/>
  <c r="F67" i="29"/>
  <c r="F59" i="24"/>
  <c r="F58" i="24"/>
  <c r="C67" i="29"/>
  <c r="C69" i="29"/>
  <c r="G86" i="13"/>
  <c r="G85" i="13"/>
  <c r="G52" i="20"/>
  <c r="E52" i="20"/>
  <c r="E55" i="26"/>
  <c r="L15" i="1" s="1"/>
  <c r="E99" i="6"/>
  <c r="H70" i="26"/>
  <c r="F78" i="31"/>
  <c r="E78" i="31"/>
  <c r="D78" i="31"/>
  <c r="I14" i="1"/>
  <c r="E72" i="3"/>
  <c r="L14" i="1"/>
  <c r="M14" i="1"/>
  <c r="D14" i="1"/>
  <c r="E37" i="20"/>
  <c r="L7" i="1" s="1"/>
  <c r="D52" i="20"/>
  <c r="C58" i="24"/>
  <c r="F125" i="22"/>
  <c r="C46" i="27"/>
  <c r="G125" i="22"/>
  <c r="J125" i="22"/>
  <c r="E77" i="31"/>
  <c r="D126" i="22"/>
  <c r="C59" i="24"/>
  <c r="C77" i="31"/>
  <c r="C54" i="20"/>
  <c r="E62" i="31"/>
  <c r="L4" i="1" s="1"/>
  <c r="G77" i="31"/>
  <c r="D77" i="31"/>
  <c r="F79" i="31"/>
  <c r="F77" i="31"/>
  <c r="C84" i="30"/>
  <c r="C68" i="29"/>
  <c r="C47" i="27"/>
  <c r="E64" i="31"/>
  <c r="M4" i="1" s="1"/>
  <c r="D79" i="31"/>
  <c r="C79" i="31"/>
  <c r="G79" i="31"/>
  <c r="D53" i="20"/>
  <c r="F81" i="3"/>
  <c r="C81" i="3"/>
  <c r="G87" i="13"/>
  <c r="C78" i="31"/>
  <c r="E87" i="13"/>
  <c r="H87" i="13"/>
  <c r="F87" i="13"/>
  <c r="D131" i="22"/>
  <c r="F126" i="22"/>
  <c r="E72" i="13"/>
  <c r="M3" i="1" s="1"/>
  <c r="C87" i="13"/>
  <c r="D85" i="13"/>
  <c r="D87" i="13"/>
  <c r="G75" i="3"/>
  <c r="G78" i="3"/>
  <c r="D125" i="22"/>
  <c r="G126" i="22"/>
  <c r="C53" i="20"/>
  <c r="C86" i="3"/>
  <c r="D86" i="3"/>
  <c r="E86" i="3"/>
  <c r="G81" i="3"/>
  <c r="H72" i="26"/>
  <c r="G72" i="26"/>
  <c r="D75" i="3"/>
  <c r="D78" i="3"/>
  <c r="C75" i="3"/>
  <c r="C78" i="3"/>
  <c r="F86" i="3"/>
  <c r="E75" i="3"/>
  <c r="G86" i="3"/>
  <c r="E81" i="3"/>
  <c r="F75" i="3"/>
  <c r="F78" i="3"/>
  <c r="C60" i="24"/>
  <c r="G71" i="26"/>
  <c r="E57" i="26"/>
  <c r="M15" i="1"/>
  <c r="E56" i="26"/>
  <c r="H71" i="26"/>
  <c r="E63" i="31"/>
  <c r="G78" i="31"/>
  <c r="E78" i="3"/>
  <c r="H75" i="3"/>
  <c r="H78" i="3"/>
  <c r="S47" i="13"/>
  <c r="S8" i="13"/>
  <c r="S13" i="13"/>
  <c r="S43" i="13"/>
  <c r="S50" i="13"/>
  <c r="S44" i="13"/>
  <c r="S24" i="13"/>
  <c r="S59" i="13"/>
  <c r="S34" i="13"/>
  <c r="S9" i="13"/>
  <c r="S30" i="13"/>
  <c r="S36" i="13"/>
  <c r="S18" i="13"/>
  <c r="D71" i="13"/>
  <c r="E92" i="13"/>
  <c r="E86" i="13"/>
  <c r="E85" i="13"/>
  <c r="H85" i="13"/>
  <c r="E70" i="13"/>
  <c r="L3" i="1" s="1"/>
  <c r="H86" i="13"/>
  <c r="E71" i="13"/>
  <c r="Q32" i="20"/>
  <c r="R32" i="20" s="1"/>
  <c r="E53" i="20"/>
  <c r="E38" i="20"/>
  <c r="G53" i="20"/>
  <c r="G60" i="20"/>
  <c r="E54" i="20"/>
  <c r="E39" i="20"/>
  <c r="M7" i="1" s="1"/>
  <c r="G54" i="20"/>
  <c r="D45" i="24"/>
  <c r="D98" i="6"/>
  <c r="V29" i="35"/>
  <c r="AX49" i="31"/>
  <c r="AX45" i="31"/>
  <c r="Y49" i="31"/>
  <c r="AX8" i="31"/>
  <c r="Y43" i="31"/>
  <c r="H139" i="22"/>
  <c r="J127" i="22"/>
  <c r="E112" i="22"/>
  <c r="E104" i="22"/>
  <c r="M13" i="1" s="1"/>
  <c r="C104" i="34"/>
  <c r="AX56" i="31" l="1"/>
  <c r="Z49" i="31"/>
  <c r="Y9" i="31"/>
  <c r="AA21" i="31"/>
  <c r="AX21" i="31"/>
  <c r="Z15" i="31"/>
  <c r="Y46" i="31"/>
  <c r="Z31" i="31"/>
  <c r="AA39" i="31"/>
  <c r="AX47" i="31"/>
  <c r="AA19" i="31"/>
  <c r="Y33" i="31"/>
  <c r="AX15" i="31"/>
  <c r="X52" i="13"/>
  <c r="W35" i="13"/>
  <c r="AX51" i="13"/>
  <c r="Y42" i="13"/>
  <c r="W45" i="13"/>
  <c r="F117" i="34"/>
  <c r="G23" i="1"/>
  <c r="J131" i="22"/>
  <c r="E81" i="29"/>
  <c r="T9" i="20"/>
  <c r="T17" i="20"/>
  <c r="U14" i="20"/>
  <c r="D102" i="22"/>
  <c r="D110" i="22"/>
  <c r="H52" i="32"/>
  <c r="C52" i="32"/>
  <c r="S8" i="32"/>
  <c r="E52" i="32"/>
  <c r="U14" i="32"/>
  <c r="S22" i="32"/>
  <c r="F52" i="32"/>
  <c r="V53" i="33"/>
  <c r="AH53" i="33"/>
  <c r="AC53" i="33"/>
  <c r="T14" i="32"/>
  <c r="S2" i="32"/>
  <c r="I12" i="1"/>
  <c r="T21" i="32"/>
  <c r="V20" i="32"/>
  <c r="E23" i="1"/>
  <c r="V25" i="32"/>
  <c r="S14" i="32"/>
  <c r="U8" i="32"/>
  <c r="U24" i="32"/>
  <c r="G46" i="32" s="1"/>
  <c r="E60" i="32"/>
  <c r="E58" i="32"/>
  <c r="U23" i="32"/>
  <c r="U20" i="32"/>
  <c r="U4" i="32"/>
  <c r="V3" i="32"/>
  <c r="V8" i="32"/>
  <c r="V24" i="32"/>
  <c r="G60" i="32"/>
  <c r="G58" i="32"/>
  <c r="T4" i="32"/>
  <c r="U7" i="32"/>
  <c r="V5" i="32"/>
  <c r="V23" i="32"/>
  <c r="U3" i="32"/>
  <c r="U25" i="32"/>
  <c r="S24" i="32"/>
  <c r="V2" i="32"/>
  <c r="H60" i="32"/>
  <c r="H58" i="32"/>
  <c r="T2" i="32"/>
  <c r="S4" i="32"/>
  <c r="F60" i="32"/>
  <c r="F58" i="32"/>
  <c r="T9" i="32"/>
  <c r="T22" i="32"/>
  <c r="U21" i="32"/>
  <c r="T18" i="32"/>
  <c r="X46" i="13"/>
  <c r="X51" i="13"/>
  <c r="W64" i="13"/>
  <c r="X56" i="13"/>
  <c r="X45" i="13"/>
  <c r="AX64" i="13"/>
  <c r="AX50" i="13"/>
  <c r="AX54" i="13"/>
  <c r="AX29" i="13"/>
  <c r="W47" i="13"/>
  <c r="X50" i="13"/>
  <c r="Y2" i="6"/>
  <c r="BA2" i="6"/>
  <c r="X3" i="6"/>
  <c r="BA3" i="6"/>
  <c r="AX12" i="13"/>
  <c r="W11" i="13"/>
  <c r="F96" i="13"/>
  <c r="W44" i="13"/>
  <c r="AX19" i="13"/>
  <c r="AX34" i="13"/>
  <c r="W30" i="13"/>
  <c r="X4" i="13"/>
  <c r="X12" i="13"/>
  <c r="W52" i="13"/>
  <c r="X38" i="13"/>
  <c r="W12" i="13"/>
  <c r="Y36" i="24"/>
  <c r="AX42" i="33"/>
  <c r="Z38" i="31"/>
  <c r="Z4" i="31"/>
  <c r="Z56" i="31"/>
  <c r="AA4" i="31"/>
  <c r="AA16" i="31"/>
  <c r="AA5" i="31"/>
  <c r="Z11" i="31"/>
  <c r="AA46" i="31"/>
  <c r="AX25" i="31"/>
  <c r="Y15" i="31"/>
  <c r="AX24" i="31"/>
  <c r="Z36" i="31"/>
  <c r="AA48" i="31"/>
  <c r="AA31" i="31"/>
  <c r="Y27" i="31"/>
  <c r="AX4" i="31"/>
  <c r="Z8" i="31"/>
  <c r="AX18" i="31"/>
  <c r="Y13" i="31"/>
  <c r="AA18" i="31"/>
  <c r="AA24" i="31"/>
  <c r="AA11" i="31"/>
  <c r="D31" i="27"/>
  <c r="E89" i="33"/>
  <c r="E91" i="33" s="1"/>
  <c r="W14" i="33"/>
  <c r="W32" i="33"/>
  <c r="D60" i="33"/>
  <c r="W46" i="13"/>
  <c r="AX48" i="13"/>
  <c r="Y2" i="13"/>
  <c r="W41" i="13"/>
  <c r="W59" i="13"/>
  <c r="X34" i="13"/>
  <c r="X59" i="13"/>
  <c r="AX52" i="13"/>
  <c r="W57" i="13"/>
  <c r="H71" i="13"/>
  <c r="W38" i="13"/>
  <c r="X48" i="13"/>
  <c r="AX4" i="13"/>
  <c r="W27" i="13"/>
  <c r="W2" i="13"/>
  <c r="G87" i="33"/>
  <c r="E87" i="33"/>
  <c r="F88" i="33"/>
  <c r="AX48" i="33"/>
  <c r="W16" i="33"/>
  <c r="W19" i="33"/>
  <c r="X29" i="33"/>
  <c r="Y48" i="33"/>
  <c r="F112" i="6"/>
  <c r="S23" i="32"/>
  <c r="C58" i="32"/>
  <c r="T7" i="32"/>
  <c r="U11" i="32"/>
  <c r="U9" i="32"/>
  <c r="S7" i="32"/>
  <c r="U19" i="32"/>
  <c r="D40" i="32"/>
  <c r="T24" i="32"/>
  <c r="H39" i="32"/>
  <c r="U17" i="32"/>
  <c r="C60" i="32"/>
  <c r="D60" i="32"/>
  <c r="U6" i="32"/>
  <c r="U22" i="32"/>
  <c r="V10" i="32"/>
  <c r="H37" i="32"/>
  <c r="U10" i="32"/>
  <c r="G70" i="24"/>
  <c r="E73" i="29"/>
  <c r="F60" i="27"/>
  <c r="D58" i="27"/>
  <c r="X12" i="24"/>
  <c r="X5" i="33"/>
  <c r="G89" i="33"/>
  <c r="W23" i="33"/>
  <c r="X7" i="33"/>
  <c r="AX32" i="33"/>
  <c r="X36" i="33"/>
  <c r="W5" i="33"/>
  <c r="Y21" i="33"/>
  <c r="AX53" i="33"/>
  <c r="AX5" i="33"/>
  <c r="W7" i="33"/>
  <c r="Y9" i="33"/>
  <c r="AX9" i="33"/>
  <c r="X2" i="33"/>
  <c r="W44" i="33"/>
  <c r="X25" i="33"/>
  <c r="X26" i="33"/>
  <c r="AX11" i="33"/>
  <c r="X11" i="33"/>
  <c r="AX19" i="33"/>
  <c r="W52" i="33"/>
  <c r="W12" i="33"/>
  <c r="AX7" i="33"/>
  <c r="W26" i="33"/>
  <c r="Y45" i="33"/>
  <c r="W45" i="33"/>
  <c r="X9" i="33"/>
  <c r="AX4" i="33"/>
  <c r="X21" i="33"/>
  <c r="W30" i="33"/>
  <c r="X35" i="33"/>
  <c r="X4" i="33"/>
  <c r="X49" i="33"/>
  <c r="X32" i="33"/>
  <c r="W37" i="33"/>
  <c r="X16" i="33"/>
  <c r="AX18" i="33"/>
  <c r="D52" i="29"/>
  <c r="W58" i="13"/>
  <c r="X58" i="13"/>
  <c r="Y58" i="13"/>
  <c r="AX58" i="13"/>
  <c r="AX41" i="13"/>
  <c r="Y22" i="13"/>
  <c r="X53" i="13"/>
  <c r="X25" i="13"/>
  <c r="AX6" i="13"/>
  <c r="W55" i="13"/>
  <c r="W43" i="13"/>
  <c r="Y52" i="13"/>
  <c r="H90" i="13"/>
  <c r="J3" i="1" s="1"/>
  <c r="W23" i="13"/>
  <c r="X27" i="13"/>
  <c r="X55" i="13"/>
  <c r="X42" i="13"/>
  <c r="Y6" i="13"/>
  <c r="R88" i="13"/>
  <c r="W25" i="13"/>
  <c r="X19" i="13"/>
  <c r="Y39" i="13"/>
  <c r="AX56" i="13"/>
  <c r="W20" i="13"/>
  <c r="X39" i="13"/>
  <c r="X6" i="13"/>
  <c r="AX7" i="13"/>
  <c r="AX37" i="13"/>
  <c r="W21" i="13"/>
  <c r="AX53" i="13"/>
  <c r="W42" i="13"/>
  <c r="AX20" i="13"/>
  <c r="X54" i="13"/>
  <c r="X23" i="13"/>
  <c r="X47" i="13"/>
  <c r="W37" i="13"/>
  <c r="W49" i="13"/>
  <c r="X44" i="13"/>
  <c r="X7" i="13"/>
  <c r="AX39" i="13"/>
  <c r="Y27" i="13"/>
  <c r="X24" i="13"/>
  <c r="W22" i="13"/>
  <c r="X43" i="13"/>
  <c r="G44" i="35"/>
  <c r="T31" i="35"/>
  <c r="C63" i="35"/>
  <c r="T22" i="35"/>
  <c r="U25" i="35"/>
  <c r="D45" i="28"/>
  <c r="D46" i="28"/>
  <c r="U2" i="1"/>
  <c r="U19" i="20"/>
  <c r="X20" i="24"/>
  <c r="W20" i="24"/>
  <c r="U27" i="35"/>
  <c r="V23" i="35"/>
  <c r="U29" i="35"/>
  <c r="T28" i="35"/>
  <c r="U23" i="35"/>
  <c r="T21" i="35"/>
  <c r="V11" i="35"/>
  <c r="U10" i="35"/>
  <c r="U2" i="32"/>
  <c r="S20" i="32"/>
  <c r="U5" i="32"/>
  <c r="T19" i="32"/>
  <c r="T17" i="32"/>
  <c r="T16" i="32"/>
  <c r="V6" i="32"/>
  <c r="C40" i="32"/>
  <c r="R48" i="32"/>
  <c r="S10" i="32"/>
  <c r="S11" i="32"/>
  <c r="S17" i="32"/>
  <c r="U16" i="32"/>
  <c r="S3" i="32"/>
  <c r="V11" i="32"/>
  <c r="X23" i="24"/>
  <c r="Y15" i="24"/>
  <c r="W22" i="24"/>
  <c r="Y30" i="24"/>
  <c r="V25" i="33"/>
  <c r="W11" i="33"/>
  <c r="AX52" i="33"/>
  <c r="Y28" i="33"/>
  <c r="AX29" i="33"/>
  <c r="Y6" i="33"/>
  <c r="Y33" i="33"/>
  <c r="X6" i="33"/>
  <c r="W40" i="33"/>
  <c r="X19" i="33"/>
  <c r="V16" i="33"/>
  <c r="W33" i="33"/>
  <c r="AX30" i="33"/>
  <c r="Y16" i="33"/>
  <c r="W42" i="33"/>
  <c r="W36" i="33"/>
  <c r="W28" i="33"/>
  <c r="Y53" i="33"/>
  <c r="Y36" i="33"/>
  <c r="W18" i="33"/>
  <c r="X3" i="33"/>
  <c r="W49" i="33"/>
  <c r="X33" i="33"/>
  <c r="X47" i="33"/>
  <c r="AC16" i="33"/>
  <c r="W21" i="33"/>
  <c r="Y22" i="33"/>
  <c r="X30" i="33"/>
  <c r="Y29" i="33"/>
  <c r="X39" i="33"/>
  <c r="AX31" i="33"/>
  <c r="AX22" i="33"/>
  <c r="AG5" i="24"/>
  <c r="D44" i="24"/>
  <c r="AS22" i="20"/>
  <c r="F58" i="27"/>
  <c r="E70" i="33"/>
  <c r="M43" i="32"/>
  <c r="C62" i="1"/>
  <c r="M44" i="32"/>
  <c r="M42" i="32"/>
  <c r="B62" i="1"/>
  <c r="R42" i="32"/>
  <c r="R43" i="32"/>
  <c r="R44" i="32"/>
  <c r="R45" i="32"/>
  <c r="R46" i="32"/>
  <c r="R47" i="32"/>
  <c r="D58" i="32"/>
  <c r="V12" i="32"/>
  <c r="B83" i="1"/>
  <c r="X83" i="1" s="1"/>
  <c r="Y83" i="1" s="1"/>
  <c r="U13" i="32"/>
  <c r="J26" i="32"/>
  <c r="S15" i="32"/>
  <c r="C12" i="1"/>
  <c r="H36" i="32"/>
  <c r="S16" i="32"/>
  <c r="C33" i="32"/>
  <c r="B12" i="1" s="1"/>
  <c r="T13" i="32"/>
  <c r="T15" i="32"/>
  <c r="U18" i="32"/>
  <c r="V15" i="32"/>
  <c r="U12" i="32"/>
  <c r="U15" i="32"/>
  <c r="AS16" i="20"/>
  <c r="AS14" i="20"/>
  <c r="S14" i="20"/>
  <c r="T16" i="20"/>
  <c r="S31" i="20"/>
  <c r="F80" i="13"/>
  <c r="X22" i="13"/>
  <c r="W63" i="13"/>
  <c r="W31" i="13"/>
  <c r="AX60" i="13"/>
  <c r="X11" i="13"/>
  <c r="H76" i="13"/>
  <c r="AX14" i="13"/>
  <c r="X13" i="13"/>
  <c r="W14" i="13"/>
  <c r="G80" i="13"/>
  <c r="AX13" i="13"/>
  <c r="AX26" i="13"/>
  <c r="X3" i="13"/>
  <c r="X15" i="13"/>
  <c r="W17" i="13"/>
  <c r="W33" i="13"/>
  <c r="W9" i="13"/>
  <c r="W5" i="13"/>
  <c r="X63" i="13"/>
  <c r="X33" i="13"/>
  <c r="AX17" i="13"/>
  <c r="Z74" i="1"/>
  <c r="W15" i="13"/>
  <c r="AX36" i="13"/>
  <c r="Y63" i="13"/>
  <c r="X5" i="13"/>
  <c r="H77" i="13"/>
  <c r="X9" i="13"/>
  <c r="W3" i="13"/>
  <c r="D80" i="13"/>
  <c r="AX30" i="13"/>
  <c r="AX5" i="13"/>
  <c r="AX21" i="13"/>
  <c r="H79" i="13"/>
  <c r="X26" i="13"/>
  <c r="D96" i="13"/>
  <c r="C39" i="35"/>
  <c r="B17" i="1" s="1"/>
  <c r="G43" i="35"/>
  <c r="U3" i="35"/>
  <c r="T8" i="35"/>
  <c r="C46" i="35"/>
  <c r="U24" i="35"/>
  <c r="V3" i="35"/>
  <c r="U9" i="35"/>
  <c r="V5" i="35"/>
  <c r="T24" i="35"/>
  <c r="T17" i="35"/>
  <c r="V27" i="35"/>
  <c r="U31" i="35"/>
  <c r="T2" i="35"/>
  <c r="D64" i="35"/>
  <c r="V7" i="35"/>
  <c r="E58" i="35"/>
  <c r="T12" i="35"/>
  <c r="U22" i="35"/>
  <c r="C51" i="35" s="1"/>
  <c r="U12" i="35"/>
  <c r="U6" i="35"/>
  <c r="U28" i="35"/>
  <c r="D51" i="35" s="1"/>
  <c r="T30" i="35"/>
  <c r="U8" i="35"/>
  <c r="V16" i="35"/>
  <c r="U20" i="35"/>
  <c r="T13" i="35"/>
  <c r="G42" i="35"/>
  <c r="D36" i="35"/>
  <c r="C64" i="35"/>
  <c r="D46" i="35"/>
  <c r="C58" i="35"/>
  <c r="T6" i="35"/>
  <c r="U18" i="35"/>
  <c r="U21" i="35"/>
  <c r="U13" i="35"/>
  <c r="T18" i="35"/>
  <c r="G45" i="35"/>
  <c r="U11" i="35"/>
  <c r="U14" i="35"/>
  <c r="D63" i="35"/>
  <c r="V14" i="35"/>
  <c r="U16" i="35"/>
  <c r="U15" i="35"/>
  <c r="G63" i="35"/>
  <c r="G64" i="35"/>
  <c r="U30" i="35"/>
  <c r="F52" i="35" s="1"/>
  <c r="D58" i="35"/>
  <c r="F64" i="35"/>
  <c r="T20" i="35"/>
  <c r="G57" i="35"/>
  <c r="M52" i="35"/>
  <c r="M50" i="35"/>
  <c r="M51" i="35"/>
  <c r="T26" i="35"/>
  <c r="U19" i="35"/>
  <c r="V25" i="35"/>
  <c r="T15" i="35"/>
  <c r="U5" i="35"/>
  <c r="D37" i="35"/>
  <c r="T10" i="35"/>
  <c r="V4" i="35"/>
  <c r="T9" i="35"/>
  <c r="F46" i="35"/>
  <c r="K32" i="35"/>
  <c r="Q33" i="35"/>
  <c r="U7" i="35"/>
  <c r="G58" i="35"/>
  <c r="U17" i="35"/>
  <c r="E64" i="35"/>
  <c r="U4" i="35"/>
  <c r="T19" i="35"/>
  <c r="T25" i="35"/>
  <c r="D89" i="34"/>
  <c r="H117" i="34"/>
  <c r="D70" i="33"/>
  <c r="R72" i="33"/>
  <c r="F70" i="33"/>
  <c r="R69" i="33"/>
  <c r="Y72" i="34"/>
  <c r="AX48" i="31"/>
  <c r="Y5" i="31"/>
  <c r="AX28" i="31"/>
  <c r="Z53" i="31"/>
  <c r="Y18" i="31"/>
  <c r="AX51" i="31"/>
  <c r="AX14" i="31"/>
  <c r="AX7" i="31"/>
  <c r="Z16" i="31"/>
  <c r="R73" i="31"/>
  <c r="Y50" i="31"/>
  <c r="C76" i="31" s="1"/>
  <c r="Y16" i="31"/>
  <c r="AX38" i="31"/>
  <c r="AX52" i="31"/>
  <c r="Y17" i="31"/>
  <c r="Z43" i="31"/>
  <c r="Z26" i="31"/>
  <c r="AA45" i="31"/>
  <c r="Y28" i="31"/>
  <c r="AX36" i="31"/>
  <c r="AA13" i="31"/>
  <c r="Z24" i="31"/>
  <c r="Z7" i="31"/>
  <c r="Z25" i="31"/>
  <c r="AX27" i="31"/>
  <c r="AX43" i="31"/>
  <c r="D58" i="26"/>
  <c r="W10" i="26"/>
  <c r="U9" i="26"/>
  <c r="V22" i="26"/>
  <c r="V43" i="26"/>
  <c r="H58" i="26"/>
  <c r="U21" i="26"/>
  <c r="H61" i="26"/>
  <c r="H65" i="26" s="1"/>
  <c r="B86" i="1"/>
  <c r="E85" i="26"/>
  <c r="V32" i="26"/>
  <c r="E65" i="26"/>
  <c r="E69" i="26"/>
  <c r="R66" i="26"/>
  <c r="C85" i="26"/>
  <c r="V10" i="26"/>
  <c r="V9" i="26"/>
  <c r="G65" i="26"/>
  <c r="C65" i="26"/>
  <c r="U32" i="26"/>
  <c r="R68" i="26"/>
  <c r="W22" i="26"/>
  <c r="E81" i="26"/>
  <c r="U42" i="26"/>
  <c r="C65" i="1"/>
  <c r="V48" i="26"/>
  <c r="M67" i="26"/>
  <c r="U43" i="26"/>
  <c r="C69" i="26" s="1"/>
  <c r="V23" i="26"/>
  <c r="V49" i="26"/>
  <c r="I15" i="1"/>
  <c r="D81" i="26"/>
  <c r="U2" i="26"/>
  <c r="W17" i="26"/>
  <c r="M65" i="26"/>
  <c r="C86" i="1"/>
  <c r="G85" i="26"/>
  <c r="W33" i="26"/>
  <c r="R67" i="26"/>
  <c r="G81" i="26"/>
  <c r="D65" i="26"/>
  <c r="R69" i="26"/>
  <c r="L86" i="1"/>
  <c r="Z86" i="1" s="1"/>
  <c r="H81" i="26"/>
  <c r="U25" i="26"/>
  <c r="G69" i="26" s="1"/>
  <c r="K50" i="26"/>
  <c r="E58" i="26" s="1"/>
  <c r="R65" i="26"/>
  <c r="W8" i="26"/>
  <c r="V2" i="26"/>
  <c r="V33" i="26"/>
  <c r="U41" i="26"/>
  <c r="R71" i="26"/>
  <c r="D68" i="1"/>
  <c r="L54" i="1" s="1"/>
  <c r="V8" i="26"/>
  <c r="V11" i="26"/>
  <c r="U8" i="26"/>
  <c r="D69" i="26" s="1"/>
  <c r="F81" i="26"/>
  <c r="W11" i="26"/>
  <c r="W41" i="26"/>
  <c r="V17" i="26"/>
  <c r="E80" i="13"/>
  <c r="R87" i="13"/>
  <c r="W16" i="13"/>
  <c r="X2" i="13"/>
  <c r="E96" i="13"/>
  <c r="H78" i="13"/>
  <c r="X32" i="13"/>
  <c r="W36" i="13"/>
  <c r="M85" i="13"/>
  <c r="Y32" i="13"/>
  <c r="R85" i="13"/>
  <c r="X31" i="13"/>
  <c r="W32" i="13"/>
  <c r="X60" i="13"/>
  <c r="C3" i="1"/>
  <c r="R86" i="13"/>
  <c r="X62" i="13"/>
  <c r="M87" i="13"/>
  <c r="C80" i="13"/>
  <c r="X16" i="13"/>
  <c r="W8" i="13"/>
  <c r="Y62" i="13"/>
  <c r="Y37" i="13"/>
  <c r="W61" i="13"/>
  <c r="D69" i="13"/>
  <c r="W28" i="13"/>
  <c r="E53" i="1"/>
  <c r="AX28" i="13"/>
  <c r="X65" i="13"/>
  <c r="X40" i="13"/>
  <c r="AX49" i="13"/>
  <c r="E90" i="13"/>
  <c r="X57" i="13"/>
  <c r="C73" i="13"/>
  <c r="B3" i="1" s="1"/>
  <c r="W62" i="13"/>
  <c r="G96" i="13"/>
  <c r="H96" i="13"/>
  <c r="W65" i="13"/>
  <c r="W40" i="13"/>
  <c r="C96" i="13"/>
  <c r="AX61" i="13"/>
  <c r="X29" i="13"/>
  <c r="M86" i="13"/>
  <c r="AX8" i="13"/>
  <c r="W18" i="13"/>
  <c r="W10" i="13"/>
  <c r="I66" i="13"/>
  <c r="AX18" i="13"/>
  <c r="AX35" i="13"/>
  <c r="AX10" i="13"/>
  <c r="S66" i="13"/>
  <c r="E89" i="1"/>
  <c r="B98" i="1" s="1"/>
  <c r="AX24" i="13"/>
  <c r="Z53" i="34"/>
  <c r="Y53" i="34"/>
  <c r="X31" i="34"/>
  <c r="Z31" i="34"/>
  <c r="W65" i="34"/>
  <c r="AI39" i="34"/>
  <c r="W58" i="34"/>
  <c r="W83" i="34"/>
  <c r="AI9" i="34"/>
  <c r="AD5" i="34"/>
  <c r="AD59" i="34"/>
  <c r="W75" i="34"/>
  <c r="W27" i="34"/>
  <c r="AD21" i="34"/>
  <c r="AI28" i="34"/>
  <c r="AY83" i="34"/>
  <c r="W42" i="34"/>
  <c r="AI81" i="34"/>
  <c r="AD45" i="34"/>
  <c r="AI79" i="34"/>
  <c r="W39" i="34"/>
  <c r="Y58" i="34"/>
  <c r="Z58" i="34"/>
  <c r="Z85" i="1"/>
  <c r="W2" i="1"/>
  <c r="N30" i="1"/>
  <c r="N44" i="1"/>
  <c r="X74" i="1"/>
  <c r="Y74" i="1" s="1"/>
  <c r="Z83" i="1"/>
  <c r="Y85" i="1"/>
  <c r="Q89" i="1"/>
  <c r="B107" i="1" s="1"/>
  <c r="AS32" i="20"/>
  <c r="T8" i="20"/>
  <c r="AS31" i="20"/>
  <c r="F63" i="20"/>
  <c r="T19" i="20"/>
  <c r="U4" i="20"/>
  <c r="T28" i="20"/>
  <c r="T22" i="20"/>
  <c r="T23" i="20"/>
  <c r="D40" i="20"/>
  <c r="I7" i="1" s="1"/>
  <c r="G79" i="29"/>
  <c r="Y17" i="24"/>
  <c r="W34" i="24"/>
  <c r="W5" i="24"/>
  <c r="Y28" i="24"/>
  <c r="W8" i="24"/>
  <c r="AD58" i="34"/>
  <c r="X49" i="34"/>
  <c r="X9" i="34"/>
  <c r="AI21" i="34"/>
  <c r="E79" i="29"/>
  <c r="Y31" i="24"/>
  <c r="AG6" i="24"/>
  <c r="Y23" i="24"/>
  <c r="X31" i="24"/>
  <c r="Y37" i="24"/>
  <c r="X25" i="24"/>
  <c r="W19" i="24"/>
  <c r="X4" i="24"/>
  <c r="Y4" i="24"/>
  <c r="X16" i="24"/>
  <c r="W27" i="24"/>
  <c r="X22" i="24"/>
  <c r="X9" i="24"/>
  <c r="W7" i="24"/>
  <c r="V34" i="24"/>
  <c r="Y11" i="24"/>
  <c r="X28" i="24"/>
  <c r="V26" i="24"/>
  <c r="X3" i="24"/>
  <c r="W38" i="24"/>
  <c r="F57" i="24" s="1"/>
  <c r="X30" i="24"/>
  <c r="W9" i="24"/>
  <c r="X7" i="24"/>
  <c r="X5" i="24"/>
  <c r="Y14" i="24"/>
  <c r="X34" i="24"/>
  <c r="Y2" i="24"/>
  <c r="W32" i="24"/>
  <c r="U18" i="20"/>
  <c r="T18" i="20"/>
  <c r="S9" i="20"/>
  <c r="U25" i="20"/>
  <c r="T21" i="20"/>
  <c r="S18" i="20"/>
  <c r="S7" i="20"/>
  <c r="T25" i="20"/>
  <c r="AS21" i="20"/>
  <c r="T7" i="20"/>
  <c r="S15" i="20"/>
  <c r="Z72" i="34"/>
  <c r="W28" i="34"/>
  <c r="X67" i="34"/>
  <c r="X78" i="34"/>
  <c r="Y68" i="34"/>
  <c r="Z47" i="34"/>
  <c r="Z78" i="34"/>
  <c r="Y63" i="34"/>
  <c r="AY17" i="34"/>
  <c r="AY72" i="34"/>
  <c r="X32" i="34"/>
  <c r="Y48" i="34"/>
  <c r="Y70" i="34"/>
  <c r="X66" i="34"/>
  <c r="Z70" i="34"/>
  <c r="AY57" i="34"/>
  <c r="AY19" i="34"/>
  <c r="X42" i="34"/>
  <c r="Z17" i="34"/>
  <c r="Y9" i="34"/>
  <c r="X70" i="34"/>
  <c r="Z26" i="34"/>
  <c r="AY74" i="34"/>
  <c r="F114" i="34"/>
  <c r="Y7" i="34"/>
  <c r="Y56" i="34"/>
  <c r="Y26" i="34"/>
  <c r="U5" i="30"/>
  <c r="X18" i="24"/>
  <c r="X29" i="24"/>
  <c r="X2" i="24"/>
  <c r="X33" i="24"/>
  <c r="Y18" i="24"/>
  <c r="V6" i="24"/>
  <c r="X15" i="24"/>
  <c r="X13" i="24"/>
  <c r="C69" i="24"/>
  <c r="W12" i="24"/>
  <c r="X17" i="24"/>
  <c r="G69" i="24"/>
  <c r="D65" i="24"/>
  <c r="Y10" i="24"/>
  <c r="G72" i="24"/>
  <c r="Y25" i="24"/>
  <c r="W33" i="24"/>
  <c r="X36" i="24"/>
  <c r="X14" i="24"/>
  <c r="D63" i="24"/>
  <c r="W26" i="24"/>
  <c r="G63" i="24"/>
  <c r="J8" i="1" s="1"/>
  <c r="D42" i="24"/>
  <c r="H8" i="1" s="1"/>
  <c r="X24" i="24"/>
  <c r="D71" i="24"/>
  <c r="X35" i="24"/>
  <c r="X37" i="24"/>
  <c r="X8" i="24"/>
  <c r="Y35" i="24"/>
  <c r="Y3" i="24"/>
  <c r="X27" i="24"/>
  <c r="W11" i="24"/>
  <c r="W13" i="24"/>
  <c r="Y38" i="24"/>
  <c r="J39" i="24"/>
  <c r="X21" i="24"/>
  <c r="X10" i="24"/>
  <c r="W21" i="24"/>
  <c r="X32" i="24"/>
  <c r="X26" i="24"/>
  <c r="G71" i="24"/>
  <c r="X6" i="24"/>
  <c r="AG29" i="24"/>
  <c r="AB29" i="24"/>
  <c r="Y24" i="24"/>
  <c r="E69" i="24"/>
  <c r="X19" i="24"/>
  <c r="G65" i="24"/>
  <c r="Y29" i="24"/>
  <c r="V29" i="24"/>
  <c r="Y13" i="24"/>
  <c r="Y16" i="24"/>
  <c r="W6" i="24"/>
  <c r="D69" i="24"/>
  <c r="X38" i="24"/>
  <c r="S10" i="20"/>
  <c r="S29" i="20"/>
  <c r="F51" i="20" s="1"/>
  <c r="AS29" i="20"/>
  <c r="AS15" i="20"/>
  <c r="T2" i="20"/>
  <c r="C57" i="1"/>
  <c r="T10" i="20"/>
  <c r="T11" i="20"/>
  <c r="D47" i="20"/>
  <c r="AS12" i="20"/>
  <c r="T13" i="20"/>
  <c r="T4" i="20"/>
  <c r="U10" i="20"/>
  <c r="X9" i="22"/>
  <c r="U70" i="22"/>
  <c r="V52" i="22"/>
  <c r="X11" i="22"/>
  <c r="BB28" i="22"/>
  <c r="BB46" i="22"/>
  <c r="BB61" i="22"/>
  <c r="V38" i="22"/>
  <c r="BB9" i="22"/>
  <c r="U25" i="22"/>
  <c r="U61" i="22"/>
  <c r="BB4" i="22"/>
  <c r="V57" i="22"/>
  <c r="U68" i="22"/>
  <c r="BB90" i="22"/>
  <c r="V21" i="22"/>
  <c r="X83" i="22"/>
  <c r="V87" i="22"/>
  <c r="X48" i="22"/>
  <c r="X90" i="22"/>
  <c r="U59" i="22"/>
  <c r="U80" i="22"/>
  <c r="V83" i="22"/>
  <c r="BB12" i="22"/>
  <c r="U50" i="22"/>
  <c r="H138" i="22"/>
  <c r="E120" i="22"/>
  <c r="U24" i="22"/>
  <c r="X81" i="22"/>
  <c r="BB72" i="22"/>
  <c r="X40" i="22"/>
  <c r="X61" i="22"/>
  <c r="V17" i="22"/>
  <c r="U72" i="22"/>
  <c r="U40" i="22"/>
  <c r="X63" i="22"/>
  <c r="U11" i="22"/>
  <c r="BB53" i="22"/>
  <c r="V40" i="22"/>
  <c r="BB51" i="22"/>
  <c r="BB29" i="22"/>
  <c r="N34" i="1"/>
  <c r="S6" i="20"/>
  <c r="G44" i="20"/>
  <c r="E47" i="20"/>
  <c r="S27" i="20"/>
  <c r="S3" i="20"/>
  <c r="S4" i="20"/>
  <c r="C40" i="20"/>
  <c r="B7" i="1" s="1"/>
  <c r="D7" i="1" s="1"/>
  <c r="G45" i="20"/>
  <c r="R55" i="20"/>
  <c r="S8" i="20"/>
  <c r="Q33" i="20"/>
  <c r="U8" i="20"/>
  <c r="AS6" i="20"/>
  <c r="AS28" i="20"/>
  <c r="T24" i="20"/>
  <c r="U2" i="20"/>
  <c r="U6" i="20"/>
  <c r="T27" i="20"/>
  <c r="T12" i="20"/>
  <c r="S11" i="20"/>
  <c r="G46" i="20"/>
  <c r="M51" i="20"/>
  <c r="R53" i="20"/>
  <c r="U32" i="20"/>
  <c r="R54" i="20"/>
  <c r="G63" i="20"/>
  <c r="U7" i="20"/>
  <c r="S2" i="20"/>
  <c r="G43" i="20"/>
  <c r="S25" i="20"/>
  <c r="AS3" i="20"/>
  <c r="V24" i="22"/>
  <c r="V77" i="22"/>
  <c r="U12" i="22"/>
  <c r="AH77" i="22"/>
  <c r="BB70" i="22"/>
  <c r="V86" i="22"/>
  <c r="V51" i="22"/>
  <c r="J132" i="22"/>
  <c r="X38" i="22"/>
  <c r="X59" i="22"/>
  <c r="X46" i="22"/>
  <c r="V29" i="22"/>
  <c r="V37" i="22"/>
  <c r="V64" i="22"/>
  <c r="X24" i="22"/>
  <c r="X62" i="22"/>
  <c r="U96" i="22"/>
  <c r="I124" i="22" s="1"/>
  <c r="BB68" i="22"/>
  <c r="X77" i="22"/>
  <c r="V68" i="22"/>
  <c r="BB65" i="22"/>
  <c r="V16" i="22"/>
  <c r="I138" i="22"/>
  <c r="U52" i="22"/>
  <c r="BB83" i="22"/>
  <c r="BB59" i="22"/>
  <c r="BB63" i="22"/>
  <c r="U5" i="22"/>
  <c r="V89" i="22"/>
  <c r="U28" i="22"/>
  <c r="V30" i="22"/>
  <c r="BB14" i="22"/>
  <c r="BB48" i="22"/>
  <c r="U26" i="22"/>
  <c r="U2" i="22"/>
  <c r="BB38" i="22"/>
  <c r="BB11" i="22"/>
  <c r="X53" i="22"/>
  <c r="U63" i="22"/>
  <c r="V60" i="22"/>
  <c r="U37" i="22"/>
  <c r="X23" i="22"/>
  <c r="V42" i="22"/>
  <c r="V76" i="22"/>
  <c r="V44" i="22"/>
  <c r="J130" i="22"/>
  <c r="J13" i="1" s="1"/>
  <c r="BB75" i="22"/>
  <c r="U16" i="22"/>
  <c r="V43" i="22"/>
  <c r="V15" i="22"/>
  <c r="X16" i="22"/>
  <c r="V26" i="22"/>
  <c r="AD47" i="22"/>
  <c r="BB78" i="22"/>
  <c r="V80" i="22"/>
  <c r="X78" i="22"/>
  <c r="BB80" i="22"/>
  <c r="U73" i="22"/>
  <c r="V35" i="22"/>
  <c r="V62" i="22"/>
  <c r="V65" i="22"/>
  <c r="X65" i="22"/>
  <c r="BB15" i="22"/>
  <c r="V9" i="22"/>
  <c r="X30" i="22"/>
  <c r="V12" i="22"/>
  <c r="U33" i="22"/>
  <c r="X74" i="22"/>
  <c r="X66" i="22"/>
  <c r="X86" i="22"/>
  <c r="U86" i="22"/>
  <c r="T4" i="22"/>
  <c r="X4" i="22" s="1"/>
  <c r="U4" i="22"/>
  <c r="BB19" i="22"/>
  <c r="BB33" i="22"/>
  <c r="I140" i="22"/>
  <c r="U84" i="22"/>
  <c r="U64" i="22"/>
  <c r="V27" i="22"/>
  <c r="V75" i="22"/>
  <c r="O116" i="22"/>
  <c r="T125" i="22"/>
  <c r="V73" i="22"/>
  <c r="X20" i="22"/>
  <c r="BB41" i="22"/>
  <c r="U82" i="22"/>
  <c r="X71" i="22"/>
  <c r="BB84" i="22"/>
  <c r="U20" i="22"/>
  <c r="X32" i="22"/>
  <c r="V85" i="22"/>
  <c r="V78" i="22"/>
  <c r="BB30" i="22"/>
  <c r="BB74" i="22"/>
  <c r="V28" i="22"/>
  <c r="BB91" i="22"/>
  <c r="X17" i="22"/>
  <c r="U74" i="22"/>
  <c r="X73" i="22"/>
  <c r="BB57" i="22"/>
  <c r="X26" i="22"/>
  <c r="V72" i="22"/>
  <c r="V33" i="22"/>
  <c r="V48" i="22"/>
  <c r="D111" i="22"/>
  <c r="F130" i="22"/>
  <c r="U18" i="22"/>
  <c r="Z18" i="22"/>
  <c r="V41" i="22"/>
  <c r="U77" i="22"/>
  <c r="U89" i="22"/>
  <c r="V54" i="22"/>
  <c r="V19" i="22"/>
  <c r="F136" i="22"/>
  <c r="C140" i="22"/>
  <c r="X96" i="22"/>
  <c r="X91" i="22"/>
  <c r="D140" i="22"/>
  <c r="E130" i="22"/>
  <c r="BB27" i="22"/>
  <c r="U95" i="22"/>
  <c r="BB54" i="22"/>
  <c r="U17" i="22"/>
  <c r="X57" i="22"/>
  <c r="BB96" i="22"/>
  <c r="X92" i="22"/>
  <c r="BB87" i="22"/>
  <c r="U45" i="22"/>
  <c r="BB25" i="22"/>
  <c r="V20" i="22"/>
  <c r="I136" i="22"/>
  <c r="U90" i="22"/>
  <c r="U87" i="22"/>
  <c r="V56" i="22"/>
  <c r="X43" i="22"/>
  <c r="BB34" i="22"/>
  <c r="V5" i="22"/>
  <c r="X34" i="22"/>
  <c r="X52" i="22"/>
  <c r="V49" i="22"/>
  <c r="U3" i="22"/>
  <c r="U8" i="22"/>
  <c r="AC77" i="22"/>
  <c r="BB62" i="22"/>
  <c r="BB36" i="22"/>
  <c r="V69" i="22"/>
  <c r="X22" i="22"/>
  <c r="T5" i="22"/>
  <c r="X5" i="22" s="1"/>
  <c r="U44" i="22"/>
  <c r="BB8" i="22"/>
  <c r="U36" i="22"/>
  <c r="X47" i="22"/>
  <c r="U43" i="22"/>
  <c r="U69" i="22"/>
  <c r="X56" i="22"/>
  <c r="BB56" i="22"/>
  <c r="BB69" i="22"/>
  <c r="U22" i="22"/>
  <c r="U49" i="22"/>
  <c r="X89" i="22"/>
  <c r="U19" i="22"/>
  <c r="X45" i="22"/>
  <c r="V67" i="22"/>
  <c r="V81" i="22"/>
  <c r="V91" i="22"/>
  <c r="V36" i="22"/>
  <c r="X44" i="22"/>
  <c r="U53" i="22"/>
  <c r="V8" i="22"/>
  <c r="U46" i="22"/>
  <c r="X27" i="22"/>
  <c r="BB22" i="22"/>
  <c r="X49" i="22"/>
  <c r="V32" i="22"/>
  <c r="BB92" i="22"/>
  <c r="X64" i="22"/>
  <c r="U54" i="22"/>
  <c r="BB67" i="22"/>
  <c r="V45" i="22"/>
  <c r="BB32" i="22"/>
  <c r="V23" i="22"/>
  <c r="V66" i="22"/>
  <c r="U85" i="22"/>
  <c r="F140" i="22"/>
  <c r="U79" i="22"/>
  <c r="E140" i="22"/>
  <c r="V82" i="22"/>
  <c r="X79" i="22"/>
  <c r="G140" i="22"/>
  <c r="X13" i="22"/>
  <c r="X39" i="22"/>
  <c r="C120" i="22"/>
  <c r="F120" i="22"/>
  <c r="X41" i="22"/>
  <c r="X50" i="22"/>
  <c r="V31" i="22"/>
  <c r="D136" i="22"/>
  <c r="BB2" i="22"/>
  <c r="X51" i="22"/>
  <c r="X35" i="22"/>
  <c r="D109" i="22"/>
  <c r="D113" i="22" s="1"/>
  <c r="U14" i="22"/>
  <c r="BB23" i="22"/>
  <c r="BB88" i="22"/>
  <c r="H136" i="22"/>
  <c r="U38" i="22"/>
  <c r="G130" i="22"/>
  <c r="BB35" i="22"/>
  <c r="BB79" i="22"/>
  <c r="X70" i="22"/>
  <c r="X31" i="22"/>
  <c r="U88" i="22"/>
  <c r="E136" i="22"/>
  <c r="V18" i="22"/>
  <c r="X95" i="22"/>
  <c r="BB10" i="22"/>
  <c r="BB94" i="22"/>
  <c r="U66" i="22"/>
  <c r="BB47" i="22"/>
  <c r="V84" i="22"/>
  <c r="BB81" i="22"/>
  <c r="V93" i="22"/>
  <c r="I126" i="22" s="1"/>
  <c r="X55" i="22"/>
  <c r="V92" i="22"/>
  <c r="V7" i="22"/>
  <c r="BB7" i="22"/>
  <c r="U67" i="22"/>
  <c r="U29" i="22"/>
  <c r="X21" i="22"/>
  <c r="V13" i="22"/>
  <c r="C136" i="22"/>
  <c r="U58" i="22"/>
  <c r="D101" i="22"/>
  <c r="K97" i="22"/>
  <c r="BB18" i="22"/>
  <c r="U42" i="22"/>
  <c r="H140" i="22"/>
  <c r="V55" i="22"/>
  <c r="BB82" i="22"/>
  <c r="V94" i="22"/>
  <c r="U10" i="22"/>
  <c r="U55" i="22"/>
  <c r="U39" i="22"/>
  <c r="J116" i="22"/>
  <c r="X25" i="22"/>
  <c r="G136" i="22"/>
  <c r="BB50" i="22"/>
  <c r="BB3" i="22"/>
  <c r="BB71" i="22"/>
  <c r="V88" i="22"/>
  <c r="U93" i="22"/>
  <c r="V71" i="22"/>
  <c r="U60" i="22"/>
  <c r="X58" i="22"/>
  <c r="U34" i="22"/>
  <c r="V95" i="22"/>
  <c r="V39" i="22"/>
  <c r="K98" i="22"/>
  <c r="U21" i="22"/>
  <c r="BB37" i="22"/>
  <c r="BB64" i="22"/>
  <c r="X76" i="22"/>
  <c r="U13" i="22"/>
  <c r="D103" i="22"/>
  <c r="X7" i="22"/>
  <c r="BB58" i="22"/>
  <c r="X94" i="22"/>
  <c r="X85" i="22"/>
  <c r="U76" i="22"/>
  <c r="X42" i="22"/>
  <c r="X18" i="22"/>
  <c r="U15" i="22"/>
  <c r="X10" i="22"/>
  <c r="U7" i="22"/>
  <c r="V3" i="22"/>
  <c r="AC60" i="22"/>
  <c r="AH60" i="22" s="1"/>
  <c r="BB31" i="22"/>
  <c r="V2" i="22"/>
  <c r="BB93" i="22"/>
  <c r="X75" i="22"/>
  <c r="U23" i="22"/>
  <c r="V47" i="22"/>
  <c r="BB60" i="22"/>
  <c r="V14" i="22"/>
  <c r="AX17" i="31"/>
  <c r="G69" i="31"/>
  <c r="AA47" i="31"/>
  <c r="G70" i="31"/>
  <c r="Z12" i="31"/>
  <c r="Z6" i="31"/>
  <c r="E88" i="31"/>
  <c r="D72" i="31"/>
  <c r="Z5" i="31"/>
  <c r="AX39" i="31"/>
  <c r="AX6" i="31"/>
  <c r="Z23" i="31"/>
  <c r="AX37" i="31"/>
  <c r="AA6" i="31"/>
  <c r="AA57" i="31"/>
  <c r="AX3" i="31"/>
  <c r="Y37" i="31"/>
  <c r="AA42" i="31"/>
  <c r="Z57" i="31"/>
  <c r="Z51" i="31"/>
  <c r="Z39" i="31"/>
  <c r="Z34" i="31"/>
  <c r="Z28" i="31"/>
  <c r="Z22" i="31"/>
  <c r="S56" i="31"/>
  <c r="Z33" i="31"/>
  <c r="AX54" i="31"/>
  <c r="C88" i="31"/>
  <c r="AA34" i="31"/>
  <c r="Y51" i="31"/>
  <c r="Y57" i="31"/>
  <c r="Z21" i="31"/>
  <c r="Z14" i="31"/>
  <c r="AX12" i="31"/>
  <c r="AA7" i="31"/>
  <c r="AA10" i="31"/>
  <c r="Y36" i="31"/>
  <c r="Z47" i="31"/>
  <c r="Z20" i="31"/>
  <c r="Z9" i="31"/>
  <c r="E72" i="31"/>
  <c r="G71" i="31"/>
  <c r="AX40" i="31"/>
  <c r="Y10" i="31"/>
  <c r="AX33" i="31"/>
  <c r="Y22" i="31"/>
  <c r="Z54" i="31"/>
  <c r="Z37" i="31"/>
  <c r="Z10" i="31"/>
  <c r="R74" i="31"/>
  <c r="V58" i="31"/>
  <c r="AA54" i="31"/>
  <c r="Z40" i="31"/>
  <c r="AA12" i="31"/>
  <c r="AA50" i="31"/>
  <c r="Z3" i="31"/>
  <c r="AX34" i="31"/>
  <c r="AA22" i="31"/>
  <c r="Y40" i="31"/>
  <c r="Y41" i="31"/>
  <c r="Y14" i="31"/>
  <c r="AA9" i="31"/>
  <c r="Z17" i="31"/>
  <c r="Z46" i="31"/>
  <c r="Z30" i="31"/>
  <c r="Z13" i="31"/>
  <c r="F72" i="31"/>
  <c r="M73" i="31"/>
  <c r="B75" i="1"/>
  <c r="N31" i="1"/>
  <c r="Z29" i="31"/>
  <c r="C72" i="31"/>
  <c r="W89" i="1"/>
  <c r="B96" i="1" s="1"/>
  <c r="F88" i="31"/>
  <c r="AA2" i="31"/>
  <c r="Y35" i="31"/>
  <c r="Y30" i="31"/>
  <c r="Z41" i="31"/>
  <c r="Z32" i="31"/>
  <c r="AA3" i="31"/>
  <c r="AA35" i="31"/>
  <c r="AX42" i="31"/>
  <c r="AX11" i="31"/>
  <c r="AX30" i="31"/>
  <c r="Z50" i="31"/>
  <c r="Z48" i="31"/>
  <c r="Z44" i="31"/>
  <c r="C75" i="1"/>
  <c r="Z75" i="1" s="1"/>
  <c r="AX23" i="31"/>
  <c r="M74" i="31"/>
  <c r="Z52" i="31"/>
  <c r="AA23" i="31"/>
  <c r="Z35" i="31"/>
  <c r="Z27" i="31"/>
  <c r="C65" i="31"/>
  <c r="AA41" i="31"/>
  <c r="Y20" i="31"/>
  <c r="Z2" i="31"/>
  <c r="M75" i="31"/>
  <c r="Y55" i="31"/>
  <c r="AA44" i="31"/>
  <c r="AX44" i="31"/>
  <c r="AA55" i="31"/>
  <c r="G88" i="31"/>
  <c r="D88" i="31"/>
  <c r="AA32" i="31"/>
  <c r="Y38" i="31"/>
  <c r="R76" i="31"/>
  <c r="G68" i="31"/>
  <c r="AA52" i="31"/>
  <c r="AX29" i="31"/>
  <c r="AD50" i="31"/>
  <c r="AX20" i="31"/>
  <c r="K58" i="31"/>
  <c r="R75" i="31"/>
  <c r="AX53" i="31"/>
  <c r="AD42" i="31"/>
  <c r="Z42" i="31"/>
  <c r="Y29" i="31"/>
  <c r="Z55" i="31"/>
  <c r="Y2" i="31"/>
  <c r="AX32" i="31"/>
  <c r="Y53" i="31"/>
  <c r="M57" i="24"/>
  <c r="F53" i="24"/>
  <c r="U6" i="30"/>
  <c r="T23" i="30"/>
  <c r="V56" i="30"/>
  <c r="D70" i="30"/>
  <c r="T54" i="30"/>
  <c r="T19" i="30"/>
  <c r="D67" i="30"/>
  <c r="H11" i="1" s="1"/>
  <c r="H94" i="30"/>
  <c r="U34" i="30"/>
  <c r="E83" i="30" s="1"/>
  <c r="V6" i="30"/>
  <c r="D88" i="30"/>
  <c r="F47" i="20"/>
  <c r="J33" i="20"/>
  <c r="AS23" i="20"/>
  <c r="S12" i="20"/>
  <c r="AS17" i="20"/>
  <c r="S30" i="20"/>
  <c r="R52" i="20"/>
  <c r="AS19" i="20"/>
  <c r="R51" i="20"/>
  <c r="AS30" i="20"/>
  <c r="M52" i="20"/>
  <c r="S32" i="20"/>
  <c r="U5" i="20"/>
  <c r="D63" i="20"/>
  <c r="C47" i="20"/>
  <c r="C63" i="20"/>
  <c r="S26" i="20"/>
  <c r="T26" i="20"/>
  <c r="M55" i="20"/>
  <c r="M53" i="20"/>
  <c r="S5" i="20"/>
  <c r="M54" i="20"/>
  <c r="T5" i="20"/>
  <c r="T3" i="20"/>
  <c r="E63" i="20"/>
  <c r="AS26" i="20"/>
  <c r="U30" i="20"/>
  <c r="T20" i="20"/>
  <c r="F7" i="1"/>
  <c r="F23" i="1" s="1"/>
  <c r="B57" i="1"/>
  <c r="C78" i="1"/>
  <c r="Z78" i="1" s="1"/>
  <c r="AS20" i="20"/>
  <c r="F94" i="30"/>
  <c r="V63" i="30"/>
  <c r="V30" i="30"/>
  <c r="V34" i="30"/>
  <c r="U58" i="30"/>
  <c r="U13" i="30"/>
  <c r="F98" i="30"/>
  <c r="T12" i="30"/>
  <c r="T53" i="30"/>
  <c r="T2" i="30"/>
  <c r="T47" i="30"/>
  <c r="U16" i="30"/>
  <c r="D89" i="30"/>
  <c r="U30" i="30"/>
  <c r="D69" i="30"/>
  <c r="T43" i="30"/>
  <c r="V59" i="30"/>
  <c r="U54" i="30"/>
  <c r="U45" i="30"/>
  <c r="E95" i="30"/>
  <c r="T26" i="30"/>
  <c r="U27" i="30"/>
  <c r="V32" i="30"/>
  <c r="V54" i="30"/>
  <c r="S13" i="30"/>
  <c r="H88" i="30"/>
  <c r="J11" i="1" s="1"/>
  <c r="U59" i="30"/>
  <c r="U14" i="30"/>
  <c r="V58" i="30"/>
  <c r="U39" i="30"/>
  <c r="U63" i="30"/>
  <c r="J69" i="30"/>
  <c r="T13" i="30"/>
  <c r="T28" i="30"/>
  <c r="T45" i="30"/>
  <c r="L80" i="30"/>
  <c r="F61" i="1" s="1"/>
  <c r="J72" i="30"/>
  <c r="B38" i="1" s="1"/>
  <c r="B46" i="1" s="1"/>
  <c r="Q29" i="1" s="1"/>
  <c r="V48" i="30"/>
  <c r="G94" i="30"/>
  <c r="U31" i="30"/>
  <c r="S30" i="30"/>
  <c r="U61" i="30"/>
  <c r="U51" i="30"/>
  <c r="U44" i="30"/>
  <c r="T18" i="30"/>
  <c r="T31" i="30"/>
  <c r="U32" i="30"/>
  <c r="T58" i="30"/>
  <c r="G82" i="30" s="1"/>
  <c r="T24" i="30"/>
  <c r="V9" i="30"/>
  <c r="V31" i="30"/>
  <c r="U19" i="30"/>
  <c r="V61" i="30"/>
  <c r="E91" i="30"/>
  <c r="U2" i="30"/>
  <c r="U11" i="30"/>
  <c r="U57" i="30"/>
  <c r="U47" i="30"/>
  <c r="T11" i="30"/>
  <c r="V10" i="30"/>
  <c r="T60" i="30"/>
  <c r="U41" i="30"/>
  <c r="T15" i="30"/>
  <c r="T29" i="30"/>
  <c r="U9" i="30"/>
  <c r="E90" i="30"/>
  <c r="U43" i="30"/>
  <c r="U55" i="30"/>
  <c r="T20" i="30"/>
  <c r="U56" i="30"/>
  <c r="T5" i="30"/>
  <c r="D78" i="30"/>
  <c r="Z76" i="6"/>
  <c r="BA55" i="6"/>
  <c r="V12" i="29"/>
  <c r="V3" i="29"/>
  <c r="F78" i="30"/>
  <c r="N40" i="1"/>
  <c r="O115" i="22"/>
  <c r="J118" i="22"/>
  <c r="T115" i="22"/>
  <c r="O114" i="22"/>
  <c r="I120" i="22"/>
  <c r="J119" i="22"/>
  <c r="B63" i="1"/>
  <c r="T120" i="22"/>
  <c r="H120" i="22"/>
  <c r="C113" i="22"/>
  <c r="H113" i="22" s="1"/>
  <c r="C105" i="22"/>
  <c r="H105" i="22" s="1"/>
  <c r="Z84" i="1"/>
  <c r="T118" i="22"/>
  <c r="T114" i="22"/>
  <c r="T124" i="22"/>
  <c r="D120" i="22"/>
  <c r="F89" i="1"/>
  <c r="B99" i="1" s="1"/>
  <c r="T116" i="22"/>
  <c r="T121" i="22"/>
  <c r="T117" i="22"/>
  <c r="T122" i="22"/>
  <c r="J117" i="22"/>
  <c r="T119" i="22"/>
  <c r="T123" i="22"/>
  <c r="G120" i="22"/>
  <c r="B84" i="1"/>
  <c r="P89" i="1"/>
  <c r="B101" i="1" s="1"/>
  <c r="N35" i="1"/>
  <c r="R59" i="24"/>
  <c r="C53" i="24"/>
  <c r="M59" i="24"/>
  <c r="M60" i="24"/>
  <c r="C79" i="1"/>
  <c r="X79" i="1" s="1"/>
  <c r="Y79" i="1" s="1"/>
  <c r="R57" i="24"/>
  <c r="G50" i="24"/>
  <c r="C46" i="24"/>
  <c r="B8" i="1" s="1"/>
  <c r="D8" i="1" s="1"/>
  <c r="D53" i="24"/>
  <c r="G51" i="24"/>
  <c r="G89" i="1"/>
  <c r="B100" i="1" s="1"/>
  <c r="M58" i="24"/>
  <c r="R58" i="24"/>
  <c r="G49" i="24"/>
  <c r="E53" i="24"/>
  <c r="R63" i="24"/>
  <c r="G52" i="24"/>
  <c r="R61" i="24"/>
  <c r="R60" i="24"/>
  <c r="R62" i="24"/>
  <c r="D32" i="27"/>
  <c r="U50" i="30"/>
  <c r="U36" i="30"/>
  <c r="T17" i="30"/>
  <c r="U37" i="30"/>
  <c r="V7" i="30"/>
  <c r="C94" i="30"/>
  <c r="U38" i="30"/>
  <c r="U23" i="30"/>
  <c r="V3" i="30"/>
  <c r="V62" i="30"/>
  <c r="V51" i="30"/>
  <c r="T16" i="30"/>
  <c r="U18" i="30"/>
  <c r="U10" i="30"/>
  <c r="K72" i="30"/>
  <c r="C38" i="1" s="1"/>
  <c r="C46" i="1" s="1"/>
  <c r="Q30" i="1" s="1"/>
  <c r="T37" i="30"/>
  <c r="T57" i="30"/>
  <c r="U24" i="30"/>
  <c r="T46" i="30"/>
  <c r="H77" i="30"/>
  <c r="E78" i="30"/>
  <c r="R72" i="30"/>
  <c r="J38" i="1" s="1"/>
  <c r="J46" i="1" s="1"/>
  <c r="Q37" i="1" s="1"/>
  <c r="V44" i="30"/>
  <c r="U60" i="30"/>
  <c r="U40" i="30"/>
  <c r="T50" i="30"/>
  <c r="L78" i="30"/>
  <c r="U53" i="30"/>
  <c r="U49" i="30"/>
  <c r="V16" i="30"/>
  <c r="T27" i="30"/>
  <c r="T40" i="30"/>
  <c r="S2" i="30"/>
  <c r="S44" i="30"/>
  <c r="U12" i="30"/>
  <c r="V55" i="30"/>
  <c r="H91" i="30"/>
  <c r="J64" i="30"/>
  <c r="U17" i="30"/>
  <c r="U28" i="30"/>
  <c r="V27" i="30"/>
  <c r="E97" i="30"/>
  <c r="T38" i="30"/>
  <c r="T14" i="30"/>
  <c r="V33" i="30"/>
  <c r="V49" i="30"/>
  <c r="H75" i="30"/>
  <c r="U26" i="30"/>
  <c r="U62" i="30"/>
  <c r="U20" i="30"/>
  <c r="U25" i="30"/>
  <c r="S38" i="30"/>
  <c r="C78" i="30"/>
  <c r="H74" i="30"/>
  <c r="H76" i="30"/>
  <c r="M80" i="30"/>
  <c r="M79" i="30"/>
  <c r="C61" i="1"/>
  <c r="R83" i="30"/>
  <c r="C85" i="30"/>
  <c r="R81" i="30"/>
  <c r="R84" i="30"/>
  <c r="R82" i="30"/>
  <c r="M78" i="30"/>
  <c r="X82" i="1"/>
  <c r="Y82" i="1" s="1"/>
  <c r="U29" i="30"/>
  <c r="U35" i="30"/>
  <c r="U8" i="30"/>
  <c r="P72" i="30"/>
  <c r="H38" i="1" s="1"/>
  <c r="H46" i="1" s="1"/>
  <c r="Q35" i="1" s="1"/>
  <c r="T41" i="30"/>
  <c r="U7" i="30"/>
  <c r="T52" i="30"/>
  <c r="E98" i="30"/>
  <c r="V4" i="30"/>
  <c r="D95" i="30"/>
  <c r="R79" i="30"/>
  <c r="C71" i="30"/>
  <c r="U46" i="30"/>
  <c r="D90" i="30"/>
  <c r="Q78" i="30"/>
  <c r="P69" i="30"/>
  <c r="U69" i="30"/>
  <c r="Q72" i="30"/>
  <c r="I38" i="1" s="1"/>
  <c r="I46" i="1" s="1"/>
  <c r="Q36" i="1" s="1"/>
  <c r="H68" i="30"/>
  <c r="Q11" i="1" s="1"/>
  <c r="R11" i="1" s="1"/>
  <c r="M69" i="30"/>
  <c r="R69" i="30"/>
  <c r="L79" i="30"/>
  <c r="D96" i="30"/>
  <c r="Q83" i="30"/>
  <c r="U22" i="30"/>
  <c r="V35" i="30"/>
  <c r="G78" i="30"/>
  <c r="U21" i="30"/>
  <c r="V11" i="1" a="1"/>
  <c r="V11" i="1" s="1"/>
  <c r="V23" i="1" s="1"/>
  <c r="Q69" i="30"/>
  <c r="U52" i="30"/>
  <c r="O69" i="30"/>
  <c r="Q81" i="30"/>
  <c r="S34" i="30"/>
  <c r="T72" i="30"/>
  <c r="L38" i="1" s="1"/>
  <c r="L46" i="1" s="1"/>
  <c r="Q39" i="1" s="1"/>
  <c r="S11" i="1"/>
  <c r="U11" i="1" s="1"/>
  <c r="H67" i="30"/>
  <c r="T21" i="30"/>
  <c r="V39" i="30"/>
  <c r="R78" i="30"/>
  <c r="Q82" i="30"/>
  <c r="S69" i="30"/>
  <c r="U15" i="30"/>
  <c r="U3" i="30"/>
  <c r="U33" i="30"/>
  <c r="V42" i="30"/>
  <c r="L72" i="30"/>
  <c r="D38" i="1" s="1"/>
  <c r="T36" i="30"/>
  <c r="C98" i="30"/>
  <c r="V22" i="30"/>
  <c r="U4" i="30"/>
  <c r="R80" i="30"/>
  <c r="D97" i="30"/>
  <c r="U48" i="30"/>
  <c r="H97" i="30"/>
  <c r="T8" i="30"/>
  <c r="K69" i="30"/>
  <c r="H69" i="30"/>
  <c r="T69" i="30"/>
  <c r="Q80" i="30"/>
  <c r="D68" i="30"/>
  <c r="V25" i="30"/>
  <c r="N72" i="30"/>
  <c r="F38" i="1" s="1"/>
  <c r="F46" i="1" s="1"/>
  <c r="Q33" i="1" s="1"/>
  <c r="S7" i="30"/>
  <c r="Q84" i="30"/>
  <c r="L69" i="30"/>
  <c r="E96" i="30"/>
  <c r="D98" i="30"/>
  <c r="D94" i="30"/>
  <c r="U42" i="30"/>
  <c r="C97" i="30"/>
  <c r="M72" i="30"/>
  <c r="E38" i="1" s="1"/>
  <c r="E46" i="1" s="1"/>
  <c r="Q32" i="1" s="1"/>
  <c r="U72" i="30"/>
  <c r="M38" i="1" s="1"/>
  <c r="M46" i="1" s="1"/>
  <c r="Q40" i="1" s="1"/>
  <c r="N69" i="30"/>
  <c r="E94" i="30"/>
  <c r="S72" i="30"/>
  <c r="K38" i="1" s="1"/>
  <c r="K46" i="1" s="1"/>
  <c r="Q38" i="1" s="1"/>
  <c r="Q79" i="30"/>
  <c r="X15" i="29"/>
  <c r="W29" i="29"/>
  <c r="W23" i="29"/>
  <c r="F80" i="29"/>
  <c r="X27" i="29"/>
  <c r="V31" i="29"/>
  <c r="W5" i="29"/>
  <c r="W31" i="29"/>
  <c r="W4" i="29"/>
  <c r="D67" i="29" s="1"/>
  <c r="U46" i="29"/>
  <c r="W46" i="29"/>
  <c r="U8" i="29"/>
  <c r="W8" i="29"/>
  <c r="U47" i="29"/>
  <c r="W47" i="29"/>
  <c r="W14" i="29"/>
  <c r="V20" i="29"/>
  <c r="U7" i="29"/>
  <c r="W7" i="29"/>
  <c r="V43" i="29"/>
  <c r="X43" i="29"/>
  <c r="V14" i="29"/>
  <c r="U6" i="29"/>
  <c r="W6" i="29"/>
  <c r="U32" i="29"/>
  <c r="W32" i="29"/>
  <c r="U11" i="29"/>
  <c r="W11" i="29"/>
  <c r="U20" i="29"/>
  <c r="W20" i="29"/>
  <c r="U43" i="29"/>
  <c r="W43" i="29"/>
  <c r="F68" i="29" s="1"/>
  <c r="U5" i="29"/>
  <c r="X37" i="29"/>
  <c r="U21" i="29"/>
  <c r="W21" i="29"/>
  <c r="V6" i="29"/>
  <c r="W15" i="29"/>
  <c r="V22" i="29"/>
  <c r="X6" i="29"/>
  <c r="V29" i="29"/>
  <c r="V34" i="29"/>
  <c r="W30" i="29"/>
  <c r="X30" i="29"/>
  <c r="W34" i="29"/>
  <c r="X40" i="29"/>
  <c r="X9" i="29"/>
  <c r="W35" i="29"/>
  <c r="V40" i="29"/>
  <c r="X23" i="29"/>
  <c r="X17" i="29"/>
  <c r="X36" i="29"/>
  <c r="W10" i="29"/>
  <c r="D53" i="29"/>
  <c r="U4" i="29"/>
  <c r="M61" i="29"/>
  <c r="W42" i="29"/>
  <c r="W41" i="29"/>
  <c r="X42" i="29"/>
  <c r="C62" i="29"/>
  <c r="G61" i="29"/>
  <c r="U31" i="29"/>
  <c r="W33" i="29"/>
  <c r="W45" i="29"/>
  <c r="D62" i="29"/>
  <c r="W27" i="29"/>
  <c r="F62" i="29"/>
  <c r="G60" i="29"/>
  <c r="W37" i="29"/>
  <c r="X44" i="29"/>
  <c r="V33" i="29"/>
  <c r="V45" i="29"/>
  <c r="U35" i="29"/>
  <c r="W19" i="29"/>
  <c r="D82" i="29"/>
  <c r="V4" i="29"/>
  <c r="W36" i="29"/>
  <c r="W12" i="29"/>
  <c r="X8" i="29"/>
  <c r="W9" i="29"/>
  <c r="V46" i="29"/>
  <c r="G78" i="29"/>
  <c r="U42" i="29"/>
  <c r="V24" i="29"/>
  <c r="T62" i="29"/>
  <c r="D80" i="29"/>
  <c r="V8" i="29"/>
  <c r="V21" i="29"/>
  <c r="X28" i="29"/>
  <c r="E80" i="29"/>
  <c r="W26" i="29"/>
  <c r="M63" i="29"/>
  <c r="T61" i="29"/>
  <c r="W3" i="29"/>
  <c r="G58" i="29"/>
  <c r="X29" i="29"/>
  <c r="X46" i="29"/>
  <c r="G80" i="29"/>
  <c r="W22" i="29"/>
  <c r="G59" i="29"/>
  <c r="W13" i="29"/>
  <c r="W24" i="29"/>
  <c r="T65" i="29"/>
  <c r="W39" i="29"/>
  <c r="G74" i="29"/>
  <c r="T67" i="29"/>
  <c r="W28" i="29"/>
  <c r="X5" i="29"/>
  <c r="X19" i="29"/>
  <c r="V39" i="29"/>
  <c r="E78" i="29"/>
  <c r="U24" i="29"/>
  <c r="U19" i="29"/>
  <c r="E62" i="29"/>
  <c r="B60" i="1"/>
  <c r="X81" i="1"/>
  <c r="Y81" i="1" s="1"/>
  <c r="M62" i="29"/>
  <c r="C60" i="1"/>
  <c r="N37" i="1"/>
  <c r="W17" i="29"/>
  <c r="T64" i="29"/>
  <c r="C82" i="29"/>
  <c r="T66" i="29"/>
  <c r="J48" i="29"/>
  <c r="F74" i="29"/>
  <c r="V18" i="29"/>
  <c r="W16" i="29"/>
  <c r="X10" i="29"/>
  <c r="C78" i="29"/>
  <c r="V2" i="29"/>
  <c r="X2" i="29"/>
  <c r="V13" i="29"/>
  <c r="C55" i="29"/>
  <c r="D78" i="29"/>
  <c r="D74" i="29"/>
  <c r="X7" i="29"/>
  <c r="W2" i="29"/>
  <c r="E82" i="29"/>
  <c r="V16" i="29"/>
  <c r="V47" i="29"/>
  <c r="D81" i="29"/>
  <c r="W38" i="29"/>
  <c r="V38" i="29"/>
  <c r="T63" i="29"/>
  <c r="X18" i="29"/>
  <c r="W25" i="29"/>
  <c r="E74" i="29"/>
  <c r="V11" i="29"/>
  <c r="W44" i="29"/>
  <c r="X47" i="29"/>
  <c r="X25" i="29"/>
  <c r="V35" i="29"/>
  <c r="X26" i="29"/>
  <c r="V41" i="29"/>
  <c r="X32" i="29"/>
  <c r="X14" i="27"/>
  <c r="U22" i="27"/>
  <c r="X8" i="27"/>
  <c r="V5" i="27"/>
  <c r="D48" i="27" s="1"/>
  <c r="U10" i="27"/>
  <c r="U13" i="27"/>
  <c r="X9" i="27"/>
  <c r="V22" i="27"/>
  <c r="W2" i="27"/>
  <c r="V12" i="27"/>
  <c r="W12" i="27"/>
  <c r="E53" i="27"/>
  <c r="X12" i="27"/>
  <c r="U18" i="27"/>
  <c r="C57" i="27"/>
  <c r="X16" i="27"/>
  <c r="W7" i="27"/>
  <c r="V16" i="27"/>
  <c r="X21" i="27"/>
  <c r="W5" i="27"/>
  <c r="X10" i="27"/>
  <c r="U7" i="27"/>
  <c r="X5" i="27"/>
  <c r="E41" i="27"/>
  <c r="V23" i="27"/>
  <c r="U20" i="27"/>
  <c r="V4" i="27"/>
  <c r="W16" i="27"/>
  <c r="W10" i="27"/>
  <c r="F59" i="27"/>
  <c r="D51" i="27"/>
  <c r="W8" i="27"/>
  <c r="C34" i="27"/>
  <c r="B9" i="1" s="1"/>
  <c r="F37" i="27"/>
  <c r="T23" i="27"/>
  <c r="E59" i="27"/>
  <c r="X25" i="27"/>
  <c r="W3" i="27"/>
  <c r="E57" i="27"/>
  <c r="X13" i="27"/>
  <c r="U6" i="27"/>
  <c r="W4" i="27"/>
  <c r="V18" i="27"/>
  <c r="M41" i="27"/>
  <c r="F57" i="27"/>
  <c r="X20" i="27"/>
  <c r="J27" i="27"/>
  <c r="V2" i="27"/>
  <c r="W22" i="27"/>
  <c r="W13" i="27"/>
  <c r="W24" i="27"/>
  <c r="X2" i="27"/>
  <c r="X6" i="27"/>
  <c r="X18" i="27"/>
  <c r="S40" i="27"/>
  <c r="F53" i="27"/>
  <c r="S42" i="27"/>
  <c r="W6" i="27"/>
  <c r="X11" i="27"/>
  <c r="W15" i="27"/>
  <c r="S44" i="27"/>
  <c r="X15" i="27"/>
  <c r="D41" i="27"/>
  <c r="V11" i="27"/>
  <c r="U17" i="27"/>
  <c r="F38" i="27"/>
  <c r="F40" i="27"/>
  <c r="W19" i="27"/>
  <c r="W21" i="27"/>
  <c r="W11" i="27"/>
  <c r="V26" i="27"/>
  <c r="V21" i="27"/>
  <c r="M42" i="27"/>
  <c r="S41" i="27"/>
  <c r="S46" i="27"/>
  <c r="V7" i="27"/>
  <c r="W26" i="27"/>
  <c r="U26" i="27"/>
  <c r="V3" i="27"/>
  <c r="U15" i="27"/>
  <c r="V25" i="27"/>
  <c r="C9" i="1"/>
  <c r="F39" i="27"/>
  <c r="W14" i="27"/>
  <c r="B80" i="1"/>
  <c r="X80" i="1" s="1"/>
  <c r="Y80" i="1" s="1"/>
  <c r="BA58" i="6"/>
  <c r="Y18" i="6"/>
  <c r="X58" i="6"/>
  <c r="C67" i="28"/>
  <c r="AA38" i="28"/>
  <c r="AB2" i="28"/>
  <c r="AA7" i="28"/>
  <c r="Z25" i="28"/>
  <c r="AA19" i="28"/>
  <c r="Z19" i="28"/>
  <c r="AA16" i="28"/>
  <c r="AB16" i="28"/>
  <c r="Z10" i="28"/>
  <c r="Z38" i="28"/>
  <c r="W5" i="34"/>
  <c r="Y62" i="34"/>
  <c r="Y50" i="34"/>
  <c r="Y38" i="34"/>
  <c r="X50" i="34"/>
  <c r="X19" i="34"/>
  <c r="AY9" i="34"/>
  <c r="X44" i="34"/>
  <c r="Y39" i="34"/>
  <c r="X6" i="34"/>
  <c r="Z50" i="34"/>
  <c r="W79" i="34"/>
  <c r="Z44" i="34"/>
  <c r="Z12" i="34"/>
  <c r="AY51" i="34"/>
  <c r="AY80" i="34"/>
  <c r="Y29" i="34"/>
  <c r="Z68" i="34"/>
  <c r="AY69" i="34"/>
  <c r="Y80" i="34"/>
  <c r="AY22" i="34"/>
  <c r="W43" i="33"/>
  <c r="W47" i="33"/>
  <c r="G66" i="33"/>
  <c r="G80" i="33"/>
  <c r="J5" i="1" s="1"/>
  <c r="Y20" i="33"/>
  <c r="Y43" i="33"/>
  <c r="X46" i="33"/>
  <c r="R70" i="33"/>
  <c r="X51" i="33"/>
  <c r="AX20" i="33"/>
  <c r="Z76" i="1"/>
  <c r="X54" i="33"/>
  <c r="C70" i="33"/>
  <c r="D59" i="33"/>
  <c r="H5" i="1" s="1"/>
  <c r="AX2" i="33"/>
  <c r="Y2" i="33"/>
  <c r="X44" i="33"/>
  <c r="Y25" i="33"/>
  <c r="I56" i="33"/>
  <c r="W35" i="33"/>
  <c r="X48" i="33"/>
  <c r="X43" i="33"/>
  <c r="G69" i="33"/>
  <c r="X34" i="33"/>
  <c r="E80" i="33"/>
  <c r="AX39" i="33"/>
  <c r="AX26" i="33"/>
  <c r="X20" i="33"/>
  <c r="X31" i="33"/>
  <c r="X24" i="33"/>
  <c r="Y51" i="33"/>
  <c r="AX23" i="33"/>
  <c r="W53" i="33"/>
  <c r="AX46" i="33"/>
  <c r="X18" i="33"/>
  <c r="X12" i="33"/>
  <c r="D86" i="33"/>
  <c r="Y44" i="33"/>
  <c r="Y39" i="33"/>
  <c r="Y3" i="33"/>
  <c r="R71" i="33"/>
  <c r="Y52" i="33"/>
  <c r="W10" i="33"/>
  <c r="V6" i="33"/>
  <c r="Y46" i="33"/>
  <c r="AX49" i="33"/>
  <c r="Y54" i="33"/>
  <c r="X22" i="33"/>
  <c r="X17" i="33"/>
  <c r="X50" i="33"/>
  <c r="W54" i="33"/>
  <c r="AX47" i="33"/>
  <c r="Y4" i="33"/>
  <c r="AX50" i="33"/>
  <c r="X76" i="1"/>
  <c r="Y76" i="1" s="1"/>
  <c r="AX25" i="33"/>
  <c r="G67" i="33"/>
  <c r="Y33" i="34"/>
  <c r="Z57" i="34"/>
  <c r="AI59" i="34"/>
  <c r="X71" i="34"/>
  <c r="X22" i="34"/>
  <c r="AY68" i="34"/>
  <c r="Y79" i="34"/>
  <c r="X63" i="34"/>
  <c r="X5" i="34"/>
  <c r="F98" i="34"/>
  <c r="Y11" i="34"/>
  <c r="AI5" i="34"/>
  <c r="AD28" i="34"/>
  <c r="Z23" i="34"/>
  <c r="X28" i="34"/>
  <c r="X37" i="34"/>
  <c r="AY11" i="34"/>
  <c r="X7" i="34"/>
  <c r="AY20" i="34"/>
  <c r="Y65" i="34"/>
  <c r="X33" i="34"/>
  <c r="AY38" i="34"/>
  <c r="Y8" i="34"/>
  <c r="Z65" i="34"/>
  <c r="X65" i="34"/>
  <c r="Y36" i="34"/>
  <c r="C108" i="34"/>
  <c r="E115" i="34"/>
  <c r="X38" i="34"/>
  <c r="Y5" i="34"/>
  <c r="AY24" i="34"/>
  <c r="Z5" i="34"/>
  <c r="C98" i="34"/>
  <c r="G98" i="34"/>
  <c r="H97" i="34"/>
  <c r="Y69" i="34"/>
  <c r="Z39" i="34"/>
  <c r="Z46" i="34"/>
  <c r="Z74" i="34"/>
  <c r="X36" i="34"/>
  <c r="D98" i="34"/>
  <c r="Y57" i="34"/>
  <c r="Y46" i="34"/>
  <c r="Y28" i="34"/>
  <c r="Y16" i="34"/>
  <c r="AY36" i="34"/>
  <c r="D108" i="34"/>
  <c r="AI45" i="34"/>
  <c r="Y76" i="34"/>
  <c r="Z77" i="1"/>
  <c r="AD81" i="34"/>
  <c r="X26" i="34"/>
  <c r="R99" i="34"/>
  <c r="X83" i="34"/>
  <c r="AD9" i="34"/>
  <c r="W45" i="34"/>
  <c r="F110" i="34"/>
  <c r="Z77" i="34"/>
  <c r="D114" i="34"/>
  <c r="AY66" i="34"/>
  <c r="X77" i="34"/>
  <c r="AD8" i="34"/>
  <c r="X62" i="34"/>
  <c r="Y12" i="34"/>
  <c r="H115" i="34"/>
  <c r="Z15" i="34"/>
  <c r="Y15" i="34"/>
  <c r="X79" i="34"/>
  <c r="AY41" i="34"/>
  <c r="Z67" i="34"/>
  <c r="AY62" i="34"/>
  <c r="Y19" i="34"/>
  <c r="Z11" i="34"/>
  <c r="Z81" i="34"/>
  <c r="Y40" i="34"/>
  <c r="Z41" i="34"/>
  <c r="Y75" i="34"/>
  <c r="Y52" i="34"/>
  <c r="Y47" i="34"/>
  <c r="Y41" i="34"/>
  <c r="Y35" i="34"/>
  <c r="AY8" i="34"/>
  <c r="Z51" i="34"/>
  <c r="W9" i="34"/>
  <c r="W81" i="34"/>
  <c r="X39" i="34"/>
  <c r="X4" i="34"/>
  <c r="C105" i="34" s="1"/>
  <c r="X81" i="34"/>
  <c r="Y77" i="34"/>
  <c r="Y49" i="34"/>
  <c r="X8" i="34"/>
  <c r="Z49" i="34"/>
  <c r="Y66" i="34"/>
  <c r="Y44" i="34"/>
  <c r="AY28" i="34"/>
  <c r="Z80" i="34"/>
  <c r="X53" i="34"/>
  <c r="Y20" i="34"/>
  <c r="Y14" i="34"/>
  <c r="C91" i="34"/>
  <c r="B6" i="1" s="1"/>
  <c r="Y4" i="34"/>
  <c r="Z48" i="34"/>
  <c r="Z14" i="34"/>
  <c r="AI8" i="34"/>
  <c r="Y67" i="34"/>
  <c r="X16" i="34"/>
  <c r="Z43" i="34"/>
  <c r="Z4" i="34"/>
  <c r="N33" i="1"/>
  <c r="R97" i="34"/>
  <c r="Y31" i="34"/>
  <c r="X23" i="34"/>
  <c r="X15" i="34"/>
  <c r="Y51" i="34"/>
  <c r="D104" i="34" s="1"/>
  <c r="X20" i="34"/>
  <c r="AD79" i="34"/>
  <c r="Y37" i="34"/>
  <c r="X29" i="34"/>
  <c r="X48" i="34"/>
  <c r="Z24" i="34"/>
  <c r="AY40" i="34"/>
  <c r="X40" i="34"/>
  <c r="Z32" i="34"/>
  <c r="X73" i="34"/>
  <c r="Y71" i="34"/>
  <c r="Y60" i="34"/>
  <c r="Y43" i="34"/>
  <c r="Y32" i="34"/>
  <c r="H96" i="34"/>
  <c r="AY16" i="34"/>
  <c r="Z40" i="34"/>
  <c r="AY48" i="34"/>
  <c r="AY75" i="34"/>
  <c r="AY4" i="34"/>
  <c r="Z54" i="34"/>
  <c r="AY25" i="34"/>
  <c r="Y82" i="34"/>
  <c r="AY14" i="34"/>
  <c r="X27" i="34"/>
  <c r="AY43" i="34"/>
  <c r="X60" i="34"/>
  <c r="W8" i="34"/>
  <c r="Y25" i="34"/>
  <c r="R98" i="34"/>
  <c r="X54" i="34"/>
  <c r="X25" i="34"/>
  <c r="C115" i="34"/>
  <c r="Y74" i="34"/>
  <c r="Y24" i="34"/>
  <c r="Z71" i="34"/>
  <c r="H94" i="34"/>
  <c r="Z79" i="34"/>
  <c r="Y23" i="34"/>
  <c r="AY54" i="34"/>
  <c r="AY73" i="34"/>
  <c r="X46" i="34"/>
  <c r="W53" i="34"/>
  <c r="Z56" i="34"/>
  <c r="X47" i="34"/>
  <c r="E117" i="34"/>
  <c r="E98" i="34"/>
  <c r="AY31" i="34"/>
  <c r="AY56" i="34"/>
  <c r="Y78" i="34"/>
  <c r="Y73" i="34"/>
  <c r="AY12" i="34"/>
  <c r="Y17" i="34"/>
  <c r="AY29" i="34"/>
  <c r="Z37" i="34"/>
  <c r="AD75" i="34"/>
  <c r="AY55" i="34"/>
  <c r="X55" i="34"/>
  <c r="Z30" i="34"/>
  <c r="E116" i="34"/>
  <c r="E56" i="1"/>
  <c r="M98" i="34"/>
  <c r="Z13" i="34"/>
  <c r="AY13" i="34"/>
  <c r="Y34" i="34"/>
  <c r="X34" i="34"/>
  <c r="AY42" i="34"/>
  <c r="Z42" i="34"/>
  <c r="X76" i="34"/>
  <c r="Z76" i="34"/>
  <c r="Y42" i="34"/>
  <c r="Y30" i="34"/>
  <c r="Y55" i="34"/>
  <c r="Z34" i="34"/>
  <c r="AY59" i="34"/>
  <c r="Y59" i="34"/>
  <c r="Z10" i="34"/>
  <c r="AY10" i="34"/>
  <c r="X10" i="34"/>
  <c r="X35" i="34"/>
  <c r="AY35" i="34"/>
  <c r="Z35" i="34"/>
  <c r="W69" i="34"/>
  <c r="AD69" i="34"/>
  <c r="AI69" i="34"/>
  <c r="X69" i="34"/>
  <c r="H95" i="34"/>
  <c r="M99" i="34"/>
  <c r="AY61" i="34"/>
  <c r="M97" i="34"/>
  <c r="AI58" i="34"/>
  <c r="X58" i="34"/>
  <c r="Y13" i="34"/>
  <c r="H114" i="34"/>
  <c r="Y6" i="34"/>
  <c r="I84" i="34"/>
  <c r="Z6" i="34"/>
  <c r="X64" i="34"/>
  <c r="AY64" i="34"/>
  <c r="Z64" i="34"/>
  <c r="Y64" i="34"/>
  <c r="X59" i="34"/>
  <c r="X77" i="1"/>
  <c r="Y77" i="1" s="1"/>
  <c r="AD42" i="34"/>
  <c r="AI42" i="34"/>
  <c r="Z55" i="34"/>
  <c r="AY21" i="34"/>
  <c r="Y21" i="34"/>
  <c r="X52" i="34"/>
  <c r="Z52" i="34"/>
  <c r="W21" i="34"/>
  <c r="X21" i="34"/>
  <c r="F116" i="34"/>
  <c r="X61" i="34"/>
  <c r="C114" i="34"/>
  <c r="X30" i="34"/>
  <c r="Z27" i="34"/>
  <c r="X75" i="34"/>
  <c r="Z59" i="34"/>
  <c r="Y61" i="34"/>
  <c r="AY34" i="34"/>
  <c r="X82" i="34"/>
  <c r="Z82" i="34"/>
  <c r="Z7" i="34"/>
  <c r="AY7" i="34"/>
  <c r="E114" i="34"/>
  <c r="D88" i="34"/>
  <c r="Y27" i="34"/>
  <c r="E110" i="34"/>
  <c r="Y22" i="34"/>
  <c r="H110" i="34"/>
  <c r="Y10" i="34"/>
  <c r="Z18" i="34"/>
  <c r="AY18" i="34"/>
  <c r="Y18" i="34"/>
  <c r="Z45" i="34"/>
  <c r="Y45" i="34"/>
  <c r="AY45" i="34"/>
  <c r="X45" i="34"/>
  <c r="AI75" i="34"/>
  <c r="AD61" i="34"/>
  <c r="W61" i="34"/>
  <c r="S84" i="34"/>
  <c r="E108" i="34"/>
  <c r="Z60" i="34"/>
  <c r="D116" i="34"/>
  <c r="AY63" i="34"/>
  <c r="Y81" i="34"/>
  <c r="AD39" i="34"/>
  <c r="H116" i="34"/>
  <c r="D87" i="34"/>
  <c r="H108" i="34"/>
  <c r="J6" i="1" s="1"/>
  <c r="Y83" i="34"/>
  <c r="Z33" i="34"/>
  <c r="N32" i="1"/>
  <c r="G88" i="33"/>
  <c r="M71" i="33"/>
  <c r="X55" i="33"/>
  <c r="G86" i="33"/>
  <c r="AX15" i="33"/>
  <c r="X42" i="33"/>
  <c r="X8" i="33"/>
  <c r="X41" i="33"/>
  <c r="E82" i="33"/>
  <c r="X37" i="33"/>
  <c r="W27" i="33"/>
  <c r="W38" i="33"/>
  <c r="W8" i="33"/>
  <c r="V49" i="33"/>
  <c r="X13" i="33"/>
  <c r="G68" i="33"/>
  <c r="X53" i="33"/>
  <c r="F75" i="33" s="1"/>
  <c r="AX17" i="33"/>
  <c r="G82" i="33"/>
  <c r="X23" i="33"/>
  <c r="Y27" i="33"/>
  <c r="E88" i="33"/>
  <c r="C86" i="33"/>
  <c r="X15" i="33"/>
  <c r="AX35" i="33"/>
  <c r="M70" i="33"/>
  <c r="F86" i="33"/>
  <c r="AX10" i="33"/>
  <c r="W31" i="33"/>
  <c r="AX12" i="33"/>
  <c r="Y8" i="33"/>
  <c r="V43" i="33"/>
  <c r="W13" i="33"/>
  <c r="W17" i="33"/>
  <c r="W3" i="33"/>
  <c r="Y24" i="33"/>
  <c r="AX40" i="33"/>
  <c r="W50" i="33"/>
  <c r="C63" i="33"/>
  <c r="AX38" i="33"/>
  <c r="S56" i="33"/>
  <c r="V9" i="33"/>
  <c r="W15" i="33"/>
  <c r="E86" i="33"/>
  <c r="D61" i="33"/>
  <c r="Y13" i="33"/>
  <c r="X40" i="33"/>
  <c r="X45" i="33"/>
  <c r="AX37" i="33"/>
  <c r="X14" i="33"/>
  <c r="V34" i="33"/>
  <c r="AX55" i="33"/>
  <c r="AX3" i="33"/>
  <c r="X38" i="33"/>
  <c r="AX6" i="33"/>
  <c r="Y55" i="33"/>
  <c r="Y14" i="33"/>
  <c r="X52" i="33"/>
  <c r="W41" i="33"/>
  <c r="V29" i="33"/>
  <c r="X28" i="33"/>
  <c r="X10" i="33"/>
  <c r="M69" i="33"/>
  <c r="X27" i="33"/>
  <c r="AX34" i="33"/>
  <c r="AX51" i="33"/>
  <c r="Y41" i="33"/>
  <c r="W34" i="33"/>
  <c r="AX24" i="33"/>
  <c r="AA30" i="28"/>
  <c r="AA31" i="28"/>
  <c r="AA13" i="28"/>
  <c r="C72" i="28"/>
  <c r="Z5" i="28"/>
  <c r="AA10" i="28"/>
  <c r="AB13" i="28"/>
  <c r="AB7" i="28"/>
  <c r="AB31" i="28"/>
  <c r="AB6" i="28"/>
  <c r="AA24" i="28"/>
  <c r="AB25" i="28"/>
  <c r="AA29" i="28"/>
  <c r="Z4" i="28"/>
  <c r="BA65" i="6"/>
  <c r="BA41" i="6"/>
  <c r="Y6" i="6"/>
  <c r="Y68" i="6"/>
  <c r="J30" i="6"/>
  <c r="Y30" i="6" s="1"/>
  <c r="X74" i="6"/>
  <c r="BA74" i="6"/>
  <c r="Z73" i="6"/>
  <c r="Z58" i="6"/>
  <c r="BA25" i="6"/>
  <c r="BA5" i="6"/>
  <c r="Y50" i="6"/>
  <c r="X18" i="6"/>
  <c r="F110" i="6"/>
  <c r="BA47" i="6"/>
  <c r="X27" i="6"/>
  <c r="Y8" i="6"/>
  <c r="Y31" i="6"/>
  <c r="F98" i="6" s="1"/>
  <c r="G79" i="6"/>
  <c r="Y64" i="6"/>
  <c r="BA44" i="6"/>
  <c r="Y47" i="6"/>
  <c r="BA51" i="6"/>
  <c r="Z51" i="6"/>
  <c r="Y46" i="6"/>
  <c r="Y42" i="6"/>
  <c r="X31" i="6"/>
  <c r="Y27" i="6"/>
  <c r="E98" i="6" s="1"/>
  <c r="BA78" i="6"/>
  <c r="BA42" i="6"/>
  <c r="Y22" i="6"/>
  <c r="X46" i="6"/>
  <c r="BA73" i="6"/>
  <c r="Y12" i="6"/>
  <c r="Y48" i="6"/>
  <c r="Y51" i="6"/>
  <c r="Y25" i="6"/>
  <c r="X72" i="6"/>
  <c r="X2" i="6"/>
  <c r="X12" i="6"/>
  <c r="Y36" i="6"/>
  <c r="BA31" i="6"/>
  <c r="Y13" i="6"/>
  <c r="Y35" i="6"/>
  <c r="C86" i="6"/>
  <c r="H86" i="6" s="1"/>
  <c r="Y54" i="6"/>
  <c r="Y44" i="6"/>
  <c r="X35" i="6"/>
  <c r="Z35" i="6"/>
  <c r="BA27" i="6"/>
  <c r="Z27" i="6"/>
  <c r="Y37" i="6"/>
  <c r="D93" i="6"/>
  <c r="J9" i="6"/>
  <c r="Y9" i="6" s="1"/>
  <c r="Y32" i="6"/>
  <c r="Z67" i="6"/>
  <c r="Y39" i="6"/>
  <c r="X64" i="6"/>
  <c r="G90" i="6"/>
  <c r="BA13" i="6"/>
  <c r="R103" i="6"/>
  <c r="BA52" i="6"/>
  <c r="Z45" i="6"/>
  <c r="X38" i="6"/>
  <c r="Y67" i="6"/>
  <c r="X43" i="6"/>
  <c r="Y69" i="6"/>
  <c r="BA45" i="6"/>
  <c r="Y76" i="6"/>
  <c r="BA34" i="6"/>
  <c r="Y70" i="6"/>
  <c r="X56" i="6"/>
  <c r="X54" i="6"/>
  <c r="Z49" i="6"/>
  <c r="Z38" i="6"/>
  <c r="Z43" i="6"/>
  <c r="X65" i="6"/>
  <c r="Z78" i="6"/>
  <c r="X21" i="6"/>
  <c r="Z21" i="6"/>
  <c r="X78" i="6"/>
  <c r="X69" i="6"/>
  <c r="BA36" i="6"/>
  <c r="G92" i="6"/>
  <c r="M100" i="6"/>
  <c r="E109" i="6"/>
  <c r="Y43" i="6"/>
  <c r="Y52" i="6"/>
  <c r="BA71" i="6"/>
  <c r="R99" i="6"/>
  <c r="Z66" i="6"/>
  <c r="X7" i="6"/>
  <c r="Z36" i="6"/>
  <c r="BA7" i="6"/>
  <c r="Y71" i="6"/>
  <c r="BA22" i="6"/>
  <c r="X4" i="6"/>
  <c r="Y72" i="6"/>
  <c r="Z77" i="6"/>
  <c r="Y28" i="6"/>
  <c r="F93" i="6"/>
  <c r="X10" i="6"/>
  <c r="E93" i="6"/>
  <c r="Y40" i="6"/>
  <c r="Y15" i="6"/>
  <c r="Y34" i="6"/>
  <c r="C113" i="6"/>
  <c r="R107" i="6"/>
  <c r="X55" i="6"/>
  <c r="BA19" i="6"/>
  <c r="Y4" i="6"/>
  <c r="BA77" i="6"/>
  <c r="X49" i="6"/>
  <c r="BA57" i="6"/>
  <c r="X57" i="6"/>
  <c r="X68" i="6"/>
  <c r="M101" i="6"/>
  <c r="Z4" i="6"/>
  <c r="BA75" i="6"/>
  <c r="X63" i="6"/>
  <c r="BA15" i="6"/>
  <c r="Y24" i="6"/>
  <c r="X39" i="6"/>
  <c r="BA53" i="6"/>
  <c r="BA66" i="6"/>
  <c r="Y55" i="6"/>
  <c r="Y49" i="6"/>
  <c r="C109" i="6"/>
  <c r="Y21" i="6"/>
  <c r="Y45" i="6"/>
  <c r="Y77" i="6"/>
  <c r="R106" i="6"/>
  <c r="C93" i="6"/>
  <c r="F52" i="1"/>
  <c r="R109" i="6"/>
  <c r="Y41" i="6"/>
  <c r="Z24" i="6"/>
  <c r="X24" i="6"/>
  <c r="X75" i="6"/>
  <c r="X61" i="6"/>
  <c r="Y61" i="6"/>
  <c r="X66" i="6"/>
  <c r="N29" i="1"/>
  <c r="Y14" i="6"/>
  <c r="BA14" i="6"/>
  <c r="X11" i="6"/>
  <c r="BA60" i="6"/>
  <c r="Y26" i="6"/>
  <c r="Y19" i="6"/>
  <c r="E113" i="6"/>
  <c r="Y20" i="6"/>
  <c r="R102" i="6"/>
  <c r="X16" i="6"/>
  <c r="BA8" i="6"/>
  <c r="Y38" i="6"/>
  <c r="X32" i="6"/>
  <c r="X23" i="6"/>
  <c r="Y73" i="6"/>
  <c r="Y56" i="6"/>
  <c r="G91" i="6"/>
  <c r="Y62" i="6"/>
  <c r="Z50" i="6"/>
  <c r="Y3" i="6"/>
  <c r="Z40" i="6"/>
  <c r="D82" i="6"/>
  <c r="X6" i="6"/>
  <c r="M99" i="6"/>
  <c r="R101" i="6"/>
  <c r="E103" i="6"/>
  <c r="Y33" i="6"/>
  <c r="D84" i="6"/>
  <c r="Y16" i="6"/>
  <c r="R105" i="6"/>
  <c r="Z19" i="6"/>
  <c r="Y63" i="6"/>
  <c r="X60" i="6"/>
  <c r="BA28" i="6"/>
  <c r="X59" i="6"/>
  <c r="G89" i="6"/>
  <c r="BA6" i="6"/>
  <c r="Z20" i="6"/>
  <c r="BA40" i="6"/>
  <c r="Y23" i="6"/>
  <c r="BA10" i="6"/>
  <c r="N60" i="6"/>
  <c r="BA48" i="6"/>
  <c r="BA33" i="6"/>
  <c r="X29" i="6"/>
  <c r="BA26" i="6"/>
  <c r="Z23" i="6"/>
  <c r="BA20" i="6"/>
  <c r="BA17" i="6"/>
  <c r="BA11" i="6"/>
  <c r="Z6" i="6"/>
  <c r="W66" i="6"/>
  <c r="W21" i="6"/>
  <c r="W77" i="6"/>
  <c r="N73" i="1"/>
  <c r="N89" i="1" s="1"/>
  <c r="B102" i="1" s="1"/>
  <c r="R98" i="6"/>
  <c r="Y29" i="6"/>
  <c r="X62" i="6"/>
  <c r="BA56" i="6"/>
  <c r="G103" i="6"/>
  <c r="J2" i="1" s="1"/>
  <c r="R104" i="6"/>
  <c r="X25" i="6"/>
  <c r="Y5" i="6"/>
  <c r="Z47" i="6"/>
  <c r="BA59" i="6"/>
  <c r="BA70" i="6"/>
  <c r="X48" i="6"/>
  <c r="Z48" i="6"/>
  <c r="Z59" i="6"/>
  <c r="C73" i="1"/>
  <c r="R108" i="6"/>
  <c r="R100" i="6"/>
  <c r="R110" i="6"/>
  <c r="Y53" i="6"/>
  <c r="F111" i="6"/>
  <c r="D103" i="6"/>
  <c r="M98" i="6"/>
  <c r="BA67" i="6"/>
  <c r="Z70" i="6"/>
  <c r="BA50" i="6"/>
  <c r="X37" i="6"/>
  <c r="Y17" i="6"/>
  <c r="BA37" i="6"/>
  <c r="Z53" i="6"/>
  <c r="X76" i="6"/>
  <c r="E52" i="28"/>
  <c r="Z30" i="28"/>
  <c r="C62" i="28" s="1"/>
  <c r="AA27" i="28"/>
  <c r="AB3" i="28"/>
  <c r="AA35" i="28"/>
  <c r="E51" i="28"/>
  <c r="E54" i="28"/>
  <c r="O42" i="28"/>
  <c r="AA2" i="28"/>
  <c r="AB21" i="28"/>
  <c r="C48" i="28"/>
  <c r="H48" i="28" s="1"/>
  <c r="C87" i="1"/>
  <c r="X87" i="1" s="1"/>
  <c r="Y87" i="1" s="1"/>
  <c r="AA37" i="28"/>
  <c r="AA26" i="28"/>
  <c r="AB5" i="28"/>
  <c r="AB14" i="28"/>
  <c r="AA18" i="28"/>
  <c r="AA22" i="28"/>
  <c r="AA28" i="28"/>
  <c r="AA11" i="28"/>
  <c r="C16" i="1"/>
  <c r="D16" i="1" s="1"/>
  <c r="Z11" i="28"/>
  <c r="AA32" i="28"/>
  <c r="Z14" i="28"/>
  <c r="E53" i="28"/>
  <c r="J63" i="28"/>
  <c r="X5" i="1"/>
  <c r="AA20" i="28"/>
  <c r="Z29" i="28"/>
  <c r="X42" i="28"/>
  <c r="Y37" i="28"/>
  <c r="Z37" i="28"/>
  <c r="AE37" i="28"/>
  <c r="AJ37" i="28"/>
  <c r="J62" i="28"/>
  <c r="B66" i="1"/>
  <c r="D73" i="28"/>
  <c r="AB36" i="28"/>
  <c r="AA36" i="28"/>
  <c r="D71" i="28"/>
  <c r="Z9" i="28"/>
  <c r="Z35" i="28"/>
  <c r="AB20" i="28"/>
  <c r="C55" i="28"/>
  <c r="D55" i="28"/>
  <c r="AA21" i="28"/>
  <c r="X15" i="1"/>
  <c r="O62" i="28"/>
  <c r="AB9" i="28"/>
  <c r="AA8" i="28"/>
  <c r="Z8" i="28"/>
  <c r="Z15" i="28"/>
  <c r="AB27" i="28"/>
  <c r="AB15" i="28"/>
  <c r="W42" i="28"/>
  <c r="G46" i="1"/>
  <c r="Q34" i="1" s="1"/>
  <c r="Z3" i="28"/>
  <c r="AB32" i="28"/>
  <c r="D61" i="28"/>
  <c r="Y20" i="28"/>
  <c r="N43" i="1"/>
  <c r="U89" i="1"/>
  <c r="B103" i="1" s="1"/>
  <c r="Z39" i="28"/>
  <c r="AJ39" i="28"/>
  <c r="D44" i="28"/>
  <c r="C65" i="28"/>
  <c r="Y39" i="28"/>
  <c r="E65" i="28"/>
  <c r="J16" i="1" s="1"/>
  <c r="AE39" i="28"/>
  <c r="C73" i="28"/>
  <c r="AB34" i="28"/>
  <c r="AB18" i="28"/>
  <c r="C71" i="28"/>
  <c r="AA6" i="28"/>
  <c r="AA39" i="28"/>
  <c r="E67" i="28"/>
  <c r="C66" i="1"/>
  <c r="E73" i="28"/>
  <c r="AB12" i="28"/>
  <c r="J64" i="28"/>
  <c r="O67" i="28"/>
  <c r="AB23" i="28"/>
  <c r="AB17" i="28"/>
  <c r="AB22" i="28"/>
  <c r="Z28" i="28"/>
  <c r="Z17" i="28"/>
  <c r="AB30" i="28"/>
  <c r="J41" i="28"/>
  <c r="AA12" i="28"/>
  <c r="AA33" i="28"/>
  <c r="AA34" i="28"/>
  <c r="AA23" i="28"/>
  <c r="E72" i="28"/>
  <c r="E71" i="28"/>
  <c r="Z33" i="28"/>
  <c r="D67" i="28"/>
  <c r="X2" i="1"/>
  <c r="N36" i="1"/>
  <c r="AF17" i="27"/>
  <c r="AA17" i="27"/>
  <c r="D30" i="27"/>
  <c r="T17" i="27"/>
  <c r="V17" i="27"/>
  <c r="F51" i="27"/>
  <c r="J9" i="1" s="1"/>
  <c r="E51" i="27"/>
  <c r="Z80" i="1"/>
  <c r="D89" i="1"/>
  <c r="B95" i="1" s="1"/>
  <c r="S43" i="27"/>
  <c r="C41" i="27"/>
  <c r="M40" i="27"/>
  <c r="W23" i="27"/>
  <c r="D53" i="27"/>
  <c r="V24" i="27"/>
  <c r="U14" i="27"/>
  <c r="V19" i="27"/>
  <c r="W17" i="27"/>
  <c r="U23" i="27"/>
  <c r="T18" i="27"/>
  <c r="B59" i="1"/>
  <c r="D57" i="27"/>
  <c r="W20" i="27"/>
  <c r="D59" i="27"/>
  <c r="V9" i="27"/>
  <c r="W25" i="27"/>
  <c r="U24" i="27"/>
  <c r="S45" i="27"/>
  <c r="U19" i="27"/>
  <c r="U8" i="27"/>
  <c r="W9" i="27"/>
  <c r="X13" i="1"/>
  <c r="X16" i="1"/>
  <c r="X9" i="1"/>
  <c r="X12" i="1"/>
  <c r="X3" i="1"/>
  <c r="X10" i="1"/>
  <c r="X4" i="1"/>
  <c r="X7" i="1"/>
  <c r="X17" i="1"/>
  <c r="X8" i="1"/>
  <c r="X6" i="1"/>
  <c r="R14" i="1"/>
  <c r="U14" i="1"/>
  <c r="U8" i="1"/>
  <c r="X14" i="1"/>
  <c r="U17" i="1"/>
  <c r="C23" i="1" l="1"/>
  <c r="F84" i="13"/>
  <c r="D6" i="1"/>
  <c r="E102" i="22"/>
  <c r="L13" i="1" s="1"/>
  <c r="E110" i="22"/>
  <c r="F46" i="32"/>
  <c r="E46" i="32"/>
  <c r="E69" i="29"/>
  <c r="F74" i="33"/>
  <c r="H40" i="32"/>
  <c r="F76" i="33"/>
  <c r="E77" i="33"/>
  <c r="E40" i="20"/>
  <c r="H80" i="13"/>
  <c r="E88" i="34"/>
  <c r="L6" i="1" s="1"/>
  <c r="G75" i="33"/>
  <c r="E75" i="33"/>
  <c r="E60" i="33"/>
  <c r="L5" i="1" s="1"/>
  <c r="E45" i="24"/>
  <c r="M8" i="1" s="1"/>
  <c r="G100" i="6"/>
  <c r="F100" i="6"/>
  <c r="E85" i="6"/>
  <c r="M2" i="1" s="1"/>
  <c r="F48" i="27"/>
  <c r="E33" i="27"/>
  <c r="M9" i="1" s="1"/>
  <c r="E48" i="27"/>
  <c r="D46" i="27"/>
  <c r="D58" i="24"/>
  <c r="G58" i="24"/>
  <c r="E43" i="24"/>
  <c r="L8" i="1" s="1"/>
  <c r="G76" i="33"/>
  <c r="H39" i="35"/>
  <c r="D17" i="1" s="1"/>
  <c r="S23" i="1"/>
  <c r="E57" i="24"/>
  <c r="E82" i="30"/>
  <c r="E33" i="32"/>
  <c r="D46" i="32"/>
  <c r="D12" i="1"/>
  <c r="C46" i="32"/>
  <c r="E103" i="34"/>
  <c r="E90" i="34"/>
  <c r="M6" i="1" s="1"/>
  <c r="E76" i="33"/>
  <c r="G68" i="29"/>
  <c r="E66" i="29"/>
  <c r="F46" i="27"/>
  <c r="E31" i="27"/>
  <c r="L9" i="1" s="1"/>
  <c r="E46" i="27"/>
  <c r="H33" i="32"/>
  <c r="H46" i="32"/>
  <c r="E31" i="32"/>
  <c r="D3" i="1"/>
  <c r="E84" i="13"/>
  <c r="E52" i="35"/>
  <c r="V33" i="35"/>
  <c r="G51" i="35"/>
  <c r="L17" i="1" s="1"/>
  <c r="G46" i="35"/>
  <c r="D39" i="35"/>
  <c r="I17" i="1" s="1"/>
  <c r="E36" i="35"/>
  <c r="U33" i="35"/>
  <c r="E37" i="35"/>
  <c r="D52" i="35"/>
  <c r="G52" i="35"/>
  <c r="C52" i="35"/>
  <c r="BA30" i="6"/>
  <c r="H105" i="34"/>
  <c r="E105" i="34"/>
  <c r="D63" i="33"/>
  <c r="E63" i="33" s="1"/>
  <c r="L89" i="1"/>
  <c r="B97" i="1" s="1"/>
  <c r="X86" i="1"/>
  <c r="Y86" i="1" s="1"/>
  <c r="F69" i="26"/>
  <c r="H69" i="26"/>
  <c r="E54" i="26"/>
  <c r="K15" i="1" s="1"/>
  <c r="H84" i="13"/>
  <c r="C84" i="13"/>
  <c r="D84" i="13"/>
  <c r="D73" i="13"/>
  <c r="H3" i="1"/>
  <c r="G84" i="13"/>
  <c r="E68" i="1"/>
  <c r="L55" i="1" s="1"/>
  <c r="E69" i="13"/>
  <c r="K3" i="1" s="1"/>
  <c r="H73" i="13"/>
  <c r="G47" i="20"/>
  <c r="G60" i="24"/>
  <c r="D59" i="24"/>
  <c r="D60" i="24"/>
  <c r="D57" i="24"/>
  <c r="D46" i="24"/>
  <c r="I8" i="1" s="1"/>
  <c r="E42" i="24"/>
  <c r="K8" i="1" s="1"/>
  <c r="G59" i="24"/>
  <c r="E44" i="24"/>
  <c r="D55" i="29"/>
  <c r="I10" i="1" s="1"/>
  <c r="C57" i="24"/>
  <c r="G57" i="24"/>
  <c r="D62" i="28"/>
  <c r="E47" i="28"/>
  <c r="M16" i="1" s="1"/>
  <c r="E62" i="28"/>
  <c r="E36" i="20"/>
  <c r="K7" i="1" s="1"/>
  <c r="X78" i="1"/>
  <c r="Y78" i="1" s="1"/>
  <c r="H40" i="20"/>
  <c r="E51" i="20"/>
  <c r="C51" i="20"/>
  <c r="F124" i="22"/>
  <c r="J120" i="22"/>
  <c r="H124" i="22"/>
  <c r="E124" i="22"/>
  <c r="J124" i="22"/>
  <c r="G124" i="22"/>
  <c r="D124" i="22"/>
  <c r="E103" i="22"/>
  <c r="E111" i="22"/>
  <c r="J126" i="22"/>
  <c r="H126" i="22"/>
  <c r="E101" i="22"/>
  <c r="E113" i="22"/>
  <c r="E109" i="22"/>
  <c r="K13" i="1" s="1"/>
  <c r="D105" i="22"/>
  <c r="H13" i="1"/>
  <c r="G72" i="31"/>
  <c r="D76" i="31"/>
  <c r="X56" i="31"/>
  <c r="D61" i="31"/>
  <c r="Y56" i="31"/>
  <c r="E76" i="31" s="1"/>
  <c r="G82" i="31"/>
  <c r="J4" i="1" s="1"/>
  <c r="E82" i="31"/>
  <c r="F76" i="31"/>
  <c r="X75" i="1"/>
  <c r="Y75" i="1" s="1"/>
  <c r="B4" i="1"/>
  <c r="D4" i="1" s="1"/>
  <c r="H65" i="31"/>
  <c r="H46" i="24"/>
  <c r="F68" i="1"/>
  <c r="L56" i="1" s="1"/>
  <c r="Q23" i="1"/>
  <c r="R23" i="1" s="1"/>
  <c r="D51" i="20"/>
  <c r="G51" i="20"/>
  <c r="E52" i="29"/>
  <c r="L10" i="1" s="1"/>
  <c r="G67" i="29"/>
  <c r="E67" i="29"/>
  <c r="D71" i="30"/>
  <c r="E71" i="30" s="1"/>
  <c r="E68" i="30"/>
  <c r="L11" i="1" s="1"/>
  <c r="D85" i="30"/>
  <c r="E85" i="30"/>
  <c r="E84" i="30"/>
  <c r="C82" i="30"/>
  <c r="D82" i="30"/>
  <c r="H83" i="30"/>
  <c r="E70" i="30"/>
  <c r="M11" i="1" s="1"/>
  <c r="D83" i="30"/>
  <c r="H78" i="30"/>
  <c r="X84" i="1"/>
  <c r="Y84" i="1" s="1"/>
  <c r="Z79" i="1"/>
  <c r="G53" i="24"/>
  <c r="N38" i="1"/>
  <c r="N46" i="1" s="1"/>
  <c r="E67" i="30"/>
  <c r="K11" i="1" s="1"/>
  <c r="D46" i="1"/>
  <c r="Q31" i="1" s="1"/>
  <c r="R40" i="1" s="1"/>
  <c r="H85" i="30"/>
  <c r="E69" i="30"/>
  <c r="D84" i="30"/>
  <c r="H84" i="30"/>
  <c r="X11" i="1"/>
  <c r="H82" i="30"/>
  <c r="H71" i="30"/>
  <c r="B11" i="1"/>
  <c r="D68" i="29"/>
  <c r="E68" i="29"/>
  <c r="C66" i="29"/>
  <c r="G62" i="29"/>
  <c r="G69" i="29"/>
  <c r="D69" i="29"/>
  <c r="E54" i="29"/>
  <c r="M10" i="1" s="1"/>
  <c r="C68" i="1"/>
  <c r="L53" i="1" s="1"/>
  <c r="E51" i="29"/>
  <c r="K10" i="1" s="1"/>
  <c r="G66" i="29"/>
  <c r="D66" i="29"/>
  <c r="E53" i="29"/>
  <c r="H55" i="29"/>
  <c r="B10" i="1"/>
  <c r="D10" i="1" s="1"/>
  <c r="H34" i="27"/>
  <c r="D9" i="1"/>
  <c r="D45" i="27"/>
  <c r="F41" i="27"/>
  <c r="E47" i="27"/>
  <c r="F45" i="27"/>
  <c r="K9" i="1" s="1"/>
  <c r="B89" i="1"/>
  <c r="B93" i="1" s="1"/>
  <c r="D47" i="27"/>
  <c r="C45" i="27"/>
  <c r="F113" i="6"/>
  <c r="F109" i="6"/>
  <c r="J79" i="6"/>
  <c r="X30" i="6"/>
  <c r="F97" i="6" s="1"/>
  <c r="C61" i="28"/>
  <c r="D74" i="33"/>
  <c r="G70" i="33"/>
  <c r="E61" i="33"/>
  <c r="G77" i="33"/>
  <c r="E62" i="33"/>
  <c r="M5" i="1" s="1"/>
  <c r="F77" i="33"/>
  <c r="H103" i="34"/>
  <c r="C102" i="34"/>
  <c r="E102" i="34"/>
  <c r="H91" i="34"/>
  <c r="L98" i="34"/>
  <c r="H98" i="34"/>
  <c r="F104" i="34"/>
  <c r="C103" i="34"/>
  <c r="Q97" i="34"/>
  <c r="E104" i="34"/>
  <c r="E89" i="34"/>
  <c r="H104" i="34"/>
  <c r="H102" i="34"/>
  <c r="D91" i="34"/>
  <c r="H6" i="1"/>
  <c r="L97" i="34"/>
  <c r="Q99" i="34"/>
  <c r="Q98" i="34"/>
  <c r="L99" i="34"/>
  <c r="D102" i="34"/>
  <c r="E87" i="34"/>
  <c r="K6" i="1" s="1"/>
  <c r="E59" i="33"/>
  <c r="K5" i="1" s="1"/>
  <c r="C74" i="33"/>
  <c r="G74" i="33"/>
  <c r="H63" i="33"/>
  <c r="B5" i="1"/>
  <c r="D5" i="1" s="1"/>
  <c r="E74" i="33"/>
  <c r="Z87" i="1"/>
  <c r="E55" i="28"/>
  <c r="C89" i="1"/>
  <c r="B94" i="1" s="1"/>
  <c r="D109" i="6"/>
  <c r="E83" i="6"/>
  <c r="L2" i="1" s="1"/>
  <c r="G98" i="6"/>
  <c r="X9" i="6"/>
  <c r="BA9" i="6"/>
  <c r="D113" i="6"/>
  <c r="G93" i="6"/>
  <c r="B2" i="1" s="1"/>
  <c r="D2" i="1" s="1"/>
  <c r="E97" i="6"/>
  <c r="E84" i="6"/>
  <c r="G99" i="6"/>
  <c r="F99" i="6"/>
  <c r="D86" i="6"/>
  <c r="H2" i="1"/>
  <c r="Z73" i="1"/>
  <c r="X73" i="1"/>
  <c r="Y73" i="1" s="1"/>
  <c r="H16" i="1"/>
  <c r="D48" i="28"/>
  <c r="E48" i="28" s="1"/>
  <c r="D59" i="28"/>
  <c r="E44" i="28"/>
  <c r="B68" i="1"/>
  <c r="L52" i="1" s="1"/>
  <c r="C59" i="28"/>
  <c r="E60" i="28"/>
  <c r="C60" i="28"/>
  <c r="E45" i="28"/>
  <c r="L16" i="1" s="1"/>
  <c r="E46" i="28"/>
  <c r="E59" i="28"/>
  <c r="K16" i="1" s="1"/>
  <c r="E61" i="28"/>
  <c r="H9" i="1"/>
  <c r="D34" i="27"/>
  <c r="E34" i="27" s="1"/>
  <c r="F47" i="27"/>
  <c r="E45" i="27"/>
  <c r="E30" i="27"/>
  <c r="B23" i="1" l="1"/>
  <c r="X23" i="1"/>
  <c r="U23" i="1"/>
  <c r="E61" i="31"/>
  <c r="K4" i="1" s="1"/>
  <c r="E39" i="35"/>
  <c r="I5" i="1"/>
  <c r="E46" i="24"/>
  <c r="E73" i="13"/>
  <c r="I3" i="1"/>
  <c r="E55" i="29"/>
  <c r="E105" i="22"/>
  <c r="I13" i="1"/>
  <c r="D65" i="31"/>
  <c r="H4" i="1"/>
  <c r="I11" i="1"/>
  <c r="D11" i="1"/>
  <c r="D23" i="1"/>
  <c r="E82" i="6"/>
  <c r="R29" i="1"/>
  <c r="R35" i="1"/>
  <c r="M56" i="1"/>
  <c r="R34" i="1"/>
  <c r="R32" i="1"/>
  <c r="R39" i="1"/>
  <c r="R36" i="1"/>
  <c r="R30" i="1"/>
  <c r="R33" i="1"/>
  <c r="R38" i="1"/>
  <c r="R31" i="1"/>
  <c r="R37" i="1"/>
  <c r="C106" i="1"/>
  <c r="E91" i="34"/>
  <c r="I6" i="1"/>
  <c r="C93" i="1"/>
  <c r="C109" i="1"/>
  <c r="C105" i="1"/>
  <c r="C104" i="1"/>
  <c r="C101" i="1"/>
  <c r="C108" i="1"/>
  <c r="C103" i="1"/>
  <c r="C97" i="1"/>
  <c r="C94" i="1"/>
  <c r="C111" i="1"/>
  <c r="C110" i="1"/>
  <c r="C100" i="1"/>
  <c r="C98" i="1"/>
  <c r="C95" i="1"/>
  <c r="C107" i="1"/>
  <c r="C99" i="1"/>
  <c r="C102" i="1"/>
  <c r="C112" i="1"/>
  <c r="C96" i="1"/>
  <c r="C113" i="1"/>
  <c r="D97" i="6"/>
  <c r="G97" i="6"/>
  <c r="K2" i="1" s="1"/>
  <c r="M54" i="1"/>
  <c r="M52" i="1"/>
  <c r="M53" i="1"/>
  <c r="M58" i="1"/>
  <c r="M57" i="1"/>
  <c r="I2" i="1"/>
  <c r="E86" i="6"/>
  <c r="I16" i="1"/>
  <c r="M55" i="1"/>
  <c r="I9" i="1"/>
  <c r="I4" i="1" l="1"/>
  <c r="E65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" authorId="0" shapeId="0" xr:uid="{FC7215C3-42EA-420F-93F2-66D6526763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J1" authorId="0" shapeId="0" xr:uid="{D70E66E3-B75E-40DD-9851-1F55E8F7F2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S1" authorId="0" shapeId="0" xr:uid="{BA7DEEEC-398F-48A7-BBB0-66059725F9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T1" authorId="0" shapeId="0" xr:uid="{5C779F20-431A-4F46-B062-7F1E9B8462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V1" authorId="0" shapeId="0" xr:uid="{C96DEC99-FCA3-49D7-B336-CB596EF9F0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W1" authorId="0" shapeId="0" xr:uid="{9996A74D-135B-45BD-AB04-AB36DA9A4F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" authorId="0" shapeId="0" xr:uid="{085D0C32-9229-4B20-AA3B-CCED3ED059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V1" authorId="0" shapeId="0" xr:uid="{5C03C290-6C75-4756-AADC-875775577F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W1" authorId="0" shapeId="0" xr:uid="{92B8F993-12B1-4850-B453-01D26C852C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X1" authorId="0" shapeId="0" xr:uid="{A649EC52-8518-4045-A4AA-5514AE46BC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Y1" authorId="0" shapeId="0" xr:uid="{09058271-C764-4656-BA34-5D277828C3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" authorId="0" shapeId="0" xr:uid="{D4630EA7-2D54-4BDE-941E-BC3E3AC02E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J1" authorId="0" shapeId="0" xr:uid="{92512AB9-3A8A-4AB0-A36F-9784F1351C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S1" authorId="0" shapeId="0" xr:uid="{250585AB-7CFE-4A27-BB10-D010F5D4C1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T1" authorId="0" shapeId="0" xr:uid="{650D5E94-7DDA-418D-9B4B-CF21C2A2E1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V1" authorId="0" shapeId="0" xr:uid="{D514E21A-777E-43F2-A091-0B7C79B165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W1" authorId="0" shapeId="0" xr:uid="{DAC980C1-D772-43BF-9640-A175CA0E71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975E47EE-1D34-42A3-B765-9EABCE867E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K1" authorId="0" shapeId="0" xr:uid="{E2551D32-2D31-4760-B32D-DB2FE360FB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T1" authorId="0" shapeId="0" xr:uid="{18012FC6-B52D-470F-A8BF-E01D657376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U1" authorId="0" shapeId="0" xr:uid="{FB8CA8A2-33CD-486F-8798-90316FD95C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W1" authorId="0" shapeId="0" xr:uid="{2C43B309-E8B2-49AD-8AD7-049AD3E870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X1" authorId="0" shapeId="0" xr:uid="{C27B591C-F3CD-4F45-8E78-B9B8A075990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937D79EE-BF73-4604-91EB-874F965AF6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K1" authorId="0" shapeId="0" xr:uid="{143D6AF6-8A23-45CF-9217-62347D4170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O1" authorId="0" shapeId="0" xr:uid="{09AE1193-BF92-402F-AD2D-2864FC810E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Q1" authorId="0" shapeId="0" xr:uid="{65C7593B-C2C5-46D8-83F7-58D6A1E632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R1" authorId="0" shapeId="0" xr:uid="{69BCFD26-D45D-4F52-9E02-CF66D34F15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S1" authorId="0" shapeId="0" xr:uid="{2E7FFCC1-6B17-471D-96B1-9C04605F9F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97FD0B4E-AC10-4308-89C1-91EFE3033E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M1" authorId="0" shapeId="0" xr:uid="{A5EB84C1-0D1D-4F30-9A59-5806F613AE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Q1" authorId="0" shapeId="0" xr:uid="{4BC3699D-377C-4309-87CD-F410C959B8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S1" authorId="0" shapeId="0" xr:uid="{A9A893DE-5D94-4C15-9E81-3D1E90C902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V1" authorId="0" shapeId="0" xr:uid="{72A9E9A8-B9D9-4ABD-AB2D-683BEF44B3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W1" authorId="0" shapeId="0" xr:uid="{ABEBA040-F707-41FB-AFB2-B403F0E820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2CF57B9E-6FF4-43CB-9618-400C3872B4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M1" authorId="0" shapeId="0" xr:uid="{E30FAB55-9143-47DC-A355-676FA36640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S1" authorId="0" shapeId="0" xr:uid="{2A5F41B7-6CD8-497D-A693-6A463B1027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T1" authorId="0" shapeId="0" xr:uid="{80D0CE79-CCFB-4634-8168-7DF219FB83C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V1" authorId="0" shapeId="0" xr:uid="{C9C81271-E01F-4E19-AC40-09CC9464D7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B305D386-60E0-483F-9234-F1A235A4FF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P1" authorId="0" shapeId="0" xr:uid="{F0033CFE-13DE-4100-840E-1ED6EE680C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U1" authorId="0" shapeId="0" xr:uid="{F0351121-BB69-4AA6-935A-C272177074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V1" authorId="0" shapeId="0" xr:uid="{FBAF9A53-FB01-4238-AB2E-6E6D980713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1982A8DC-F71B-4D1E-918F-B739AECA6B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O1" authorId="0" shapeId="0" xr:uid="{4E2BA711-49C6-4679-A19E-225FFEF70E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S1" authorId="0" shapeId="0" xr:uid="{29F0D9CC-82E7-44C5-A8A6-C61ACB1122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T1" authorId="0" shapeId="0" xr:uid="{1C03C4B2-CE7C-4728-97AD-A282655634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06253512-FA2F-4960-9817-79844DAC94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O1" authorId="0" shapeId="0" xr:uid="{EC731625-E45D-47D2-8ACA-B86855427A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S1" authorId="0" shapeId="0" xr:uid="{05515DD0-7747-4F37-BC78-F0294CB501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T1" authorId="0" shapeId="0" xr:uid="{FE99EB7E-2603-45E2-BDEE-4616921730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AC48310D-2095-4880-A5BC-F71853E14A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Q1" authorId="0" shapeId="0" xr:uid="{46BF620C-E10D-4750-9C25-EE43D3600B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S1" authorId="0" shapeId="0" xr:uid="{CBF97ABE-524C-4830-BF66-ADFE5BAE0A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U1" authorId="0" shapeId="0" xr:uid="{0D840065-49B3-443B-825A-3A9619B9DF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W1" authorId="0" shapeId="0" xr:uid="{67191EDF-24E0-48D3-8FEF-E9F1549901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X1" authorId="0" shapeId="0" xr:uid="{EE582150-742A-4D64-BE38-F092855D75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" authorId="0" shapeId="0" xr:uid="{E1070825-BAFC-4E63-8BD8-BDB35E1F67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Q1" authorId="0" shapeId="0" xr:uid="{95027878-D84A-4169-A5C5-50B944F58F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S1" authorId="0" shapeId="0" xr:uid="{593600F0-D0DC-447A-869A-286D4D207A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T1" authorId="0" shapeId="0" xr:uid="{3E75432B-DEFE-40FC-A5B6-8C8904C6CE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U1" authorId="0" shapeId="0" xr:uid="{AD747E17-C3E3-4C3D-849A-E8CFBCFF05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DE0A58EF-E527-4EFB-B1C7-6A4DBBE912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M1" authorId="0" shapeId="0" xr:uid="{81EB7661-11AE-4469-9425-AA351070D5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O1" authorId="0" shapeId="0" xr:uid="{537567C7-ECC5-40BB-A8DA-6B7EA2E5D6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P1" authorId="0" shapeId="0" xr:uid="{F91AF272-558C-48CB-8DAC-C38CF505A3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S1" authorId="0" shapeId="0" xr:uid="{93EE9D25-E2BC-40DB-BA22-CEDA88EC27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T1" authorId="0" shapeId="0" xr:uid="{63AD9167-1C7F-43EC-BAD5-93530C28E9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U1" authorId="0" shapeId="0" xr:uid="{21FF8100-41A8-4566-87CB-9BC1D63E25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V1" authorId="0" shapeId="0" xr:uid="{B9A60580-486F-4BC2-99B1-D0AFDB037B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W1" authorId="0" shapeId="0" xr:uid="{02CE821A-A95B-4CFF-A2BF-68BE4F25DE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X1" authorId="0" shapeId="0" xr:uid="{B20D5D7B-BDB0-400E-BE10-294131A8D8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Y1" authorId="0" shapeId="0" xr:uid="{7689A5FE-AEAA-4E0D-ABE3-3A90E699A7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Z1" authorId="0" shapeId="0" xr:uid="{4B64C2B6-25F9-4DFE-81D3-23DE04C51C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9CF53867-A4D4-48A5-9FD1-1EB9DD7F59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P1" authorId="0" shapeId="0" xr:uid="{BA08E8C7-AE3B-4CC9-B6F7-B2F235BAE3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R1" authorId="0" shapeId="0" xr:uid="{64E60BC5-8830-4753-9DE9-570C6FE082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S1" authorId="0" shapeId="0" xr:uid="{23A3519F-63F3-4EBC-9A07-AE28C7B8EC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T1" authorId="0" shapeId="0" xr:uid="{DCD0561B-4506-4472-984B-4D6286CA14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U1" authorId="0" shapeId="0" xr:uid="{948B661C-5B7D-4BD2-98D4-095D4530CE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" authorId="0" shapeId="0" xr:uid="{2C520FE3-149E-49EF-9D78-71A8F3326B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O1" authorId="0" shapeId="0" xr:uid="{0FDA6145-0255-4450-809B-BAB9A349D8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Q1" authorId="0" shapeId="0" xr:uid="{CE0D5451-3CFF-4502-A233-FD74C30789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R1" authorId="0" shapeId="0" xr:uid="{B0C4B755-D5A3-48B1-9CC8-7117C0F093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S1" authorId="0" shapeId="0" xr:uid="{788B3FDD-7138-4663-91E8-2272EAE2A9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T1" authorId="0" shapeId="0" xr:uid="{B4711E91-AADB-481E-9CD4-3EA28BCA9C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" authorId="0" shapeId="0" xr:uid="{683FF20A-78A6-42B4-B3C6-3F102E8BFA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O1" authorId="0" shapeId="0" xr:uid="{A041E980-1489-4F29-B4B3-FE53A5B287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Q1" authorId="0" shapeId="0" xr:uid="{F3F1E2F3-48F7-4A71-AF03-C42E0C6C98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R1" authorId="0" shapeId="0" xr:uid="{531BB9CD-8722-4E18-87BB-BF379C082B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S1" authorId="0" shapeId="0" xr:uid="{F6707052-A276-49A4-8736-8285619F41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T1" authorId="0" shapeId="0" xr:uid="{ED3EA281-40B0-40D5-BC80-6A9B434934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K1" authorId="0" shapeId="0" xr:uid="{86D4F3B2-9B98-44F1-B584-DC5CF352DE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Q1" authorId="0" shapeId="0" xr:uid="{78D77906-E2F7-4E77-8A52-F852F28D1C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S1" authorId="0" shapeId="0" xr:uid="{C899C7CD-31B8-4B7B-8C4E-3EC0EC2660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T1" authorId="0" shapeId="0" xr:uid="{0A0DA390-2EDC-4B99-96C2-C6031DFC5B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U1" authorId="0" shapeId="0" xr:uid="{4437A282-7007-469E-A5D0-70B2C1B843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" authorId="0" shapeId="0" xr:uid="{9C2AD262-3601-47A8-A8CC-BC3D289551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J1" authorId="0" shapeId="0" xr:uid="{080882E7-D75A-47E0-8842-6C1B5CD4E2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L1" authorId="0" shapeId="0" xr:uid="{E833AAFC-0BE3-44E0-803B-1C0A3DE0A3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M1" authorId="0" shapeId="0" xr:uid="{6DA54C1F-B6F1-4E43-9853-839281579E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N1" authorId="0" shapeId="0" xr:uid="{84B90E88-F4B9-4C9B-9D45-068ADEEEAA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O1" authorId="0" shapeId="0" xr:uid="{01D92C43-1179-4FF0-89B0-AB67D9937A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I1" authorId="0" shapeId="0" xr:uid="{A1DB27BA-7B8C-4271-B286-64936BE375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שטח עיקרי + מרפסות/גינות קטנות
 *30% + מרפסות גינות / גגות *20%</t>
        </r>
      </text>
    </comment>
    <comment ref="J1" authorId="0" shapeId="0" xr:uid="{FC1058A6-DD69-416B-836B-7C36B073D9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הסטטוסים האפשריים הם פנויה, רזרביישן, cpcv, Deed</t>
        </r>
      </text>
    </comment>
    <comment ref="N1" authorId="0" shapeId="0" xr:uid="{45213298-FE34-4F1E-A908-0CB50878C1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בניכוי ההנחה כפי שמופיעה במערכת</t>
        </r>
      </text>
    </comment>
    <comment ref="O1" authorId="0" shapeId="0" xr:uid="{E29A91E7-50EC-4965-9C4F-A8A260264B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הפנויות יופיע מחיר המחירון בניכוי ההנחה המותרת</t>
        </r>
      </text>
    </comment>
    <comment ref="Q1" authorId="0" shapeId="0" xr:uid="{10005837-6198-4BA9-ABBF-A75D52F4FC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מחיר מכירה ביחס למחיר השיווק</t>
        </r>
      </text>
    </comment>
    <comment ref="R1" authorId="0" shapeId="0" xr:uid="{C4C2A4FE-A8AF-4D0A-9E3F-7C2CA58CF8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בדירות שנמכרו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<sst xmlns="http://schemas.openxmlformats.org/spreadsheetml/2006/main" count="28058" uniqueCount="18397">
  <si>
    <t>Floor</t>
  </si>
  <si>
    <t>Layout</t>
  </si>
  <si>
    <t>Balcony</t>
  </si>
  <si>
    <t>Directions</t>
  </si>
  <si>
    <t>Date of CPCV</t>
  </si>
  <si>
    <t>Fraction</t>
  </si>
  <si>
    <t>Main area</t>
  </si>
  <si>
    <t>Garden</t>
  </si>
  <si>
    <t>Brokers company</t>
  </si>
  <si>
    <t>Project</t>
  </si>
  <si>
    <t>Inventory balance</t>
  </si>
  <si>
    <t xml:space="preserve">Saleable Area </t>
  </si>
  <si>
    <t>Status</t>
  </si>
  <si>
    <t>Marketing Price</t>
  </si>
  <si>
    <t>Min. Price</t>
  </si>
  <si>
    <t>Asking Price</t>
  </si>
  <si>
    <t>% Discount</t>
  </si>
  <si>
    <t>€/m²</t>
  </si>
  <si>
    <t>% Commission</t>
  </si>
  <si>
    <t>Client</t>
  </si>
  <si>
    <t>Business Plan Price</t>
  </si>
  <si>
    <t>€/m² Business Plan</t>
  </si>
  <si>
    <t>Storage</t>
  </si>
  <si>
    <t>Unit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</si>
  <si>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</si>
  <si>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</si>
  <si>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</si>
  <si>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</si>
  <si>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</si>
  <si>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</si>
  <si>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</si>
  <si>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</si>
  <si>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</si>
  <si>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</si>
  <si>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</si>
  <si>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</si>
  <si>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</si>
  <si>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</si>
  <si>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</si>
  <si>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</si>
  <si>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</si>
  <si>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</si>
  <si>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</si>
  <si>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</si>
  <si>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</si>
  <si>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</si>
  <si>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</si>
  <si>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</si>
  <si>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</si>
  <si>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</si>
  <si>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</si>
  <si>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</si>
  <si>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</si>
  <si>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</si>
  <si>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</si>
  <si>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</si>
  <si>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</si>
  <si>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</si>
  <si>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</si>
  <si>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</si>
  <si>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</si>
  <si>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</si>
  <si>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</si>
  <si>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</si>
  <si>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</si>
  <si>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</si>
  <si>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</si>
  <si>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</si>
  <si>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</si>
  <si>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</si>
  <si>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</si>
  <si>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</si>
  <si>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</si>
  <si>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</si>
  <si>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</si>
  <si>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</si>
  <si>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</si>
  <si>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</si>
  <si>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</si>
  <si>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</si>
  <si>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</si>
  <si>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</si>
  <si>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</si>
  <si>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</si>
  <si>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</si>
  <si>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</si>
  <si>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</si>
  <si>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</si>
  <si>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</si>
  <si>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T3</t>
  </si>
  <si>
    <t>T1</t>
  </si>
  <si>
    <t>T2</t>
  </si>
  <si>
    <t>T1+1</t>
  </si>
  <si>
    <t>T4</t>
  </si>
  <si>
    <t>RC -1</t>
  </si>
  <si>
    <t>RC +1</t>
  </si>
  <si>
    <t>RC</t>
  </si>
  <si>
    <t>1 Andar</t>
  </si>
  <si>
    <t>2 Andar</t>
  </si>
  <si>
    <t>3 Andar</t>
  </si>
  <si>
    <t>4 Andar</t>
  </si>
  <si>
    <t>5 Andar</t>
  </si>
  <si>
    <t>BLOCKED</t>
  </si>
  <si>
    <t>Empril</t>
  </si>
  <si>
    <t xml:space="preserve">Felisbela Odete Mendes Ribeiro </t>
  </si>
  <si>
    <t>António Rocha / Carolina Bastos</t>
  </si>
  <si>
    <t>Fábio Gonçalves  (Andreia Sampaio / Gonçalo Pereira / Carina Sampaio)</t>
  </si>
  <si>
    <t>Pedro Ascário Freitas Teixeira</t>
  </si>
  <si>
    <t>Gina Maria</t>
  </si>
  <si>
    <t>José Oliveira / Olga Oliveira</t>
  </si>
  <si>
    <t>Dario Carreira / Leonor Carreira</t>
  </si>
  <si>
    <t>António Manuel Leitão Silva</t>
  </si>
  <si>
    <t>Nuno Robalinho / Joana Alves</t>
  </si>
  <si>
    <t xml:space="preserve">Paisagem Positiva </t>
  </si>
  <si>
    <t xml:space="preserve">Álvaro José Araújo Barata </t>
  </si>
  <si>
    <t>Rogério Bateira Mendes / Angélica Alves Rodrigues</t>
  </si>
  <si>
    <t>José Joaquim Santos Silva / Rosa Maria Moreira de Pinho</t>
  </si>
  <si>
    <t>Francisco de Babo Martins</t>
  </si>
  <si>
    <t>Gonçalo Pereira (Andreia e Carina Sá Sampaio)</t>
  </si>
  <si>
    <t>Ivo Machado  / Ana Sofia Barreira</t>
  </si>
  <si>
    <t>Rui Pedro Santos Torres</t>
  </si>
  <si>
    <t>Jorge Loureiro &amp; Ana Simões</t>
  </si>
  <si>
    <t xml:space="preserve">Carina Ferreira da Silva </t>
  </si>
  <si>
    <t>Bernardino Joaquim Moreira / Rosa Silva</t>
  </si>
  <si>
    <t>Renato Tavares  / Maria João Tavares</t>
  </si>
  <si>
    <t>José Fonseca de Aguiar</t>
  </si>
  <si>
    <t xml:space="preserve">Tiago Sousa e Joana Ribeiro </t>
  </si>
  <si>
    <t>Paulo Luciano Simões de Carvalho / Maria  de Sousa Dias</t>
  </si>
  <si>
    <t>Thiago Antonoff Ribeiro</t>
  </si>
  <si>
    <t>Helena Paula Seixas da Silveira Queirós</t>
  </si>
  <si>
    <t>Sofia Choon Rei</t>
  </si>
  <si>
    <t xml:space="preserve">Fernando Nunes / Tânia Nogueira </t>
  </si>
  <si>
    <t>Mónica Correia</t>
  </si>
  <si>
    <t>Hugo Duarte</t>
  </si>
  <si>
    <t>Ricardo Pinto Guedes / Maria Dalva Guedes</t>
  </si>
  <si>
    <t>Fernando Jorge Oliveira  / Isabel Barros</t>
  </si>
  <si>
    <t xml:space="preserve">Franciso Oliveira / Eva Fernandes </t>
  </si>
  <si>
    <t xml:space="preserve">Joana Moutinho e João Pinho </t>
  </si>
  <si>
    <t>AVAILABLE</t>
  </si>
  <si>
    <t>#</t>
  </si>
  <si>
    <t>€</t>
  </si>
  <si>
    <t>Total</t>
  </si>
  <si>
    <t>Average €/m²</t>
  </si>
  <si>
    <t>BN</t>
  </si>
  <si>
    <t>T0</t>
  </si>
  <si>
    <t>N/E</t>
  </si>
  <si>
    <t>S/W</t>
  </si>
  <si>
    <t>SW/W/NE</t>
  </si>
  <si>
    <t xml:space="preserve"> 21/06/2021</t>
  </si>
  <si>
    <t xml:space="preserve"> 25/03/2021</t>
  </si>
  <si>
    <t>CHAVENOVA</t>
  </si>
  <si>
    <t>Isabel Maria Costa Amaral</t>
  </si>
  <si>
    <t xml:space="preserve">QUALQYXP - GESTÃO E SERVIÇOS LDA                       </t>
  </si>
  <si>
    <t>Pedro Afonso Santos Paulo</t>
  </si>
  <si>
    <t>Ana Maria Portela Ferrão da Silva</t>
  </si>
  <si>
    <t>Andreia Filipa Portela da Silva</t>
  </si>
  <si>
    <t>Joaquim Paulo Alves da Costa</t>
  </si>
  <si>
    <t>Vasco Lemos de Vasconcelos</t>
  </si>
  <si>
    <t>Sandra Maria de Sousa Pereira Braga</t>
  </si>
  <si>
    <t>José Paulo Ferreira Miranda</t>
  </si>
  <si>
    <t xml:space="preserve">João Pedro de Pinho Brandão </t>
  </si>
  <si>
    <t>Reinaldo de Souza Pinto</t>
  </si>
  <si>
    <t>António César Moreira Gaspar</t>
  </si>
  <si>
    <t>João Paulo Delgado Lourenço</t>
  </si>
  <si>
    <t>Patrícia Alexandra Soares Loreto</t>
  </si>
  <si>
    <t>Gabriela Jardim de Toledo</t>
  </si>
  <si>
    <t xml:space="preserve">Dulce Inês da Silva Mota </t>
  </si>
  <si>
    <t>Carina Vanessa Lopes Samões</t>
  </si>
  <si>
    <t xml:space="preserve">Jorge Castro Parada Leitão </t>
  </si>
  <si>
    <t>Daniela Filipa Fernandes Santos</t>
  </si>
  <si>
    <t>Paula Manuela Vaz Marques Ismael</t>
  </si>
  <si>
    <t>Anabela Augusta Diegues</t>
  </si>
  <si>
    <t>Maria Manuela dos Santos Oliveira</t>
  </si>
  <si>
    <t>Inês João Couto Fernandes</t>
  </si>
  <si>
    <t>Tzafrir Fiks</t>
  </si>
  <si>
    <t>Andreia Correira Ribeiro</t>
  </si>
  <si>
    <t>Cristiana Sofia Cariano Vaz</t>
  </si>
  <si>
    <t>Ana Sofia Fernandes de Sousa Tavares</t>
  </si>
  <si>
    <t xml:space="preserve">Pedro Filipe Antunes da Silva </t>
  </si>
  <si>
    <t>Paulo Miguel da Silva Carvalho</t>
  </si>
  <si>
    <t>Filipe Jorge Antunes Vieira</t>
  </si>
  <si>
    <t>Daniel Filipe Rodrigues Soares</t>
  </si>
  <si>
    <t>Rodolfo Manuel Ferreira da Rosa</t>
  </si>
  <si>
    <t>Eduardo Emanuel da Silva Baptista</t>
  </si>
  <si>
    <t>Augusto Leonido Teixeira Gonçalves</t>
  </si>
  <si>
    <t>Miguel Ângelo Teixeira Coelho</t>
  </si>
  <si>
    <t>Mário Lima de Mesquita</t>
  </si>
  <si>
    <t>Inês de Carvalho Cardoso</t>
  </si>
  <si>
    <t>Raviv Zehoray</t>
  </si>
  <si>
    <t>Appollium Unipessoal LDA</t>
  </si>
  <si>
    <t>Luís Pedro Sousa Pinto &amp; Mafalda Loureiro Rodrigues</t>
  </si>
  <si>
    <t>Average €/UNIT</t>
  </si>
  <si>
    <t>Average €/unit</t>
  </si>
  <si>
    <t>Tiago Leão da Costa Baldaque Marinho/ Ana Cristina Aires Cardoso</t>
  </si>
  <si>
    <t>Georgia Braga Castellon</t>
  </si>
  <si>
    <t>BO</t>
  </si>
  <si>
    <t>BP</t>
  </si>
  <si>
    <t>BQ</t>
  </si>
  <si>
    <t>BR</t>
  </si>
  <si>
    <t>BS</t>
  </si>
  <si>
    <t>BT</t>
  </si>
  <si>
    <t>BU</t>
  </si>
  <si>
    <t>BV</t>
  </si>
  <si>
    <t>BX</t>
  </si>
  <si>
    <t>BW</t>
  </si>
  <si>
    <t>BY</t>
  </si>
  <si>
    <t>Álvaro de Freitas Alves / Alzira Amélia Vieira Madureira</t>
  </si>
  <si>
    <t>Durval Parada Cholas / Derci Parada Cholas</t>
  </si>
  <si>
    <t>Yvonne Gonçalves Tomas Morais &amp; Luís Manuel Martins Morais</t>
  </si>
  <si>
    <t>Panorama</t>
  </si>
  <si>
    <t>RESERVED</t>
  </si>
  <si>
    <t>Francisco Manuel Jesus Leme da Silva / Cláudia Maria Guerra Leme da Silva</t>
  </si>
  <si>
    <t>Terrace</t>
  </si>
  <si>
    <t>T5</t>
  </si>
  <si>
    <t>Reservation signed</t>
  </si>
  <si>
    <t>Yes</t>
  </si>
  <si>
    <t>Parking 1</t>
  </si>
  <si>
    <t>Parking 2</t>
  </si>
  <si>
    <t>Parking 3</t>
  </si>
  <si>
    <t>Parking 4</t>
  </si>
  <si>
    <t>BOX</t>
  </si>
  <si>
    <t>Closing Price</t>
  </si>
  <si>
    <t>JLL</t>
  </si>
  <si>
    <t>Jonas Davi Cameira Gonçalves Nunes</t>
  </si>
  <si>
    <t>Jaime Neves Vaz</t>
  </si>
  <si>
    <t xml:space="preserve">Rabih Zakhia </t>
  </si>
  <si>
    <t>Mariana Teresa Santos (Bermafra)</t>
  </si>
  <si>
    <t>€/m² sold</t>
  </si>
  <si>
    <t>€/m² asking price</t>
  </si>
  <si>
    <t>Prosperino Sarubbi Neto</t>
  </si>
  <si>
    <t>Dorit Pundak</t>
  </si>
  <si>
    <t>Gonçalo Teixeira Perdigão</t>
  </si>
  <si>
    <t>Clarice Lima Osório</t>
  </si>
  <si>
    <t>Lisbon House Warming</t>
  </si>
  <si>
    <t>Average size m²</t>
  </si>
  <si>
    <t xml:space="preserve">Dubi Yaakov Haasz </t>
  </si>
  <si>
    <t>Nort/East</t>
  </si>
  <si>
    <t>East</t>
  </si>
  <si>
    <t>North/West</t>
  </si>
  <si>
    <t>West</t>
  </si>
  <si>
    <t>South/West</t>
  </si>
  <si>
    <t>South/East</t>
  </si>
  <si>
    <t>East/West</t>
  </si>
  <si>
    <t>East/North/West</t>
  </si>
  <si>
    <t>East/South/West</t>
  </si>
  <si>
    <t>Matan Zeiman</t>
  </si>
  <si>
    <t>Signed</t>
  </si>
  <si>
    <t>GlobalKey</t>
  </si>
  <si>
    <t>ChaveNova</t>
  </si>
  <si>
    <t>YES</t>
  </si>
  <si>
    <t>Asaf Hovav</t>
  </si>
  <si>
    <t>Payment</t>
  </si>
  <si>
    <t>Rute</t>
  </si>
  <si>
    <t>Francisco</t>
  </si>
  <si>
    <t>Paulo Pinto</t>
  </si>
  <si>
    <t>Broker Name</t>
  </si>
  <si>
    <t>Utilities4All</t>
  </si>
  <si>
    <t>Eden Brizel</t>
  </si>
  <si>
    <t>CPCV</t>
  </si>
  <si>
    <t>Total revenue 
(from CPCV units)</t>
  </si>
  <si>
    <t>Average price per unit (of the CPCV units)</t>
  </si>
  <si>
    <t>Client
Nationality</t>
  </si>
  <si>
    <t>Cancelled?</t>
  </si>
  <si>
    <t>Why Cancelled?</t>
  </si>
  <si>
    <t>EPOPEIA FRONDOSA  (company)</t>
  </si>
  <si>
    <t>Portugal</t>
  </si>
  <si>
    <t xml:space="preserve">Jorge Manuel de Sequeira e Costa </t>
  </si>
  <si>
    <t>Manha Geométrica (Luís)</t>
  </si>
  <si>
    <t>Egilam (Luís)</t>
  </si>
  <si>
    <t>TOTAL</t>
  </si>
  <si>
    <t>Carlos Filipe Gil Daniel &amp; Ana Maria Daniel Filipe</t>
  </si>
  <si>
    <t>Ana Margarida Gonçalves Dias da Silva &amp; José Gonçalves da Silva</t>
  </si>
  <si>
    <t>Duti Litvak</t>
  </si>
  <si>
    <t>Asaf Sabag</t>
  </si>
  <si>
    <t>Tranquildiscovery</t>
  </si>
  <si>
    <t>NO - Tardoz</t>
  </si>
  <si>
    <t>NO - Tardoz / Nordeste - traseiras</t>
  </si>
  <si>
    <t>Sudeste-rua / NE-Tardoz</t>
  </si>
  <si>
    <t>SE - Rua</t>
  </si>
  <si>
    <t>NO - Tardoz / SO - R. Calisto</t>
  </si>
  <si>
    <t>NO - Tardoz / SE - Rua</t>
  </si>
  <si>
    <t>NO - Tardoz / NE - Tardoz</t>
  </si>
  <si>
    <t>SE - Rua / NE - Tardoz</t>
  </si>
  <si>
    <t>SE - Rua / SO - R. Calisto</t>
  </si>
  <si>
    <t>SO - R. Calisto / NE - Tardoz / SE - Rua</t>
  </si>
  <si>
    <t xml:space="preserve">Garden </t>
  </si>
  <si>
    <t>BRENNO S.A  (Carlos Jorge Coelho de Lemos )</t>
  </si>
  <si>
    <t>Urban Infante 10B</t>
  </si>
  <si>
    <t>Urban Infante 10A</t>
  </si>
  <si>
    <t>CPCV SIGNED IN</t>
  </si>
  <si>
    <t xml:space="preserve">Hussain Aamir </t>
  </si>
  <si>
    <t>Francisco de Magalhães Bastos</t>
  </si>
  <si>
    <t>Marcos Rafael Paiva Gonçalves Pereira</t>
  </si>
  <si>
    <t>João Pedro Ramos Pereira da Silva</t>
  </si>
  <si>
    <t>JOSE FERNANDO CARREIRA BERNARDINO</t>
  </si>
  <si>
    <t>Pedro Nuno Maia Carvalho / Raquel Rodrigues Duarte Carvalho</t>
  </si>
  <si>
    <t xml:space="preserve">YOAV LERNER </t>
  </si>
  <si>
    <t>Maria Virgínia Ferreira de Sousa</t>
  </si>
  <si>
    <t>Totals</t>
  </si>
  <si>
    <t>Average size</t>
  </si>
  <si>
    <t>Date of Reservation</t>
  </si>
  <si>
    <t>Date of the Reservation</t>
  </si>
  <si>
    <t>Ana Paula Lourido Machado</t>
  </si>
  <si>
    <t>GAL SHWEBISH</t>
  </si>
  <si>
    <t>Gustavo Araújo</t>
  </si>
  <si>
    <t>Replica</t>
  </si>
  <si>
    <t>José Carlos Moreira Magalhães Ferreira</t>
  </si>
  <si>
    <t xml:space="preserve">HOVAV NOA AND HOVAV NADAV OVADYA </t>
  </si>
  <si>
    <t>Yekutiel Zafari</t>
  </si>
  <si>
    <t>Francisco Simões</t>
  </si>
  <si>
    <t>Maria Adélia Coelho de Sá</t>
  </si>
  <si>
    <t>Carlos André Gomes Alexandrino</t>
  </si>
  <si>
    <t>No</t>
  </si>
  <si>
    <t>Trajecto JF lda.</t>
  </si>
  <si>
    <t>BERTRAND GÉRARD P. DELVAUX and CRISTINA MIHALACHE</t>
  </si>
  <si>
    <t>Luz Maria dos Santos Ferreira Matos</t>
  </si>
  <si>
    <t>Sandra Maria Gabriel Alves Gago</t>
  </si>
  <si>
    <t>Nor Residences Unipessoal</t>
  </si>
  <si>
    <t>Sandra Mota Lda</t>
  </si>
  <si>
    <t>Sandra Marisa Rodrigues Mota Oliveira</t>
  </si>
  <si>
    <t>João Miguel Correia da Silva Carreira Almeida</t>
  </si>
  <si>
    <t>Joymovel Unipessoal, Lda</t>
  </si>
  <si>
    <t xml:space="preserve">Donna Maimin </t>
  </si>
  <si>
    <t xml:space="preserve">Nuno André Teixeira Silva Oliveira </t>
  </si>
  <si>
    <t>Rita Pereira Conceição</t>
  </si>
  <si>
    <t>Grece Filomena de Almeida e Sousa</t>
  </si>
  <si>
    <t>Venda Directa</t>
  </si>
  <si>
    <t>Eliran Zusman</t>
  </si>
  <si>
    <t>Avishai</t>
  </si>
  <si>
    <t>Carlota SB Unipessoal</t>
  </si>
  <si>
    <t>Maria Odete Tomé Rodrigues</t>
  </si>
  <si>
    <t>Guilherme Rodrigues Bento Ferreira</t>
  </si>
  <si>
    <t>André Nuno Pereira Emiliano</t>
  </si>
  <si>
    <t>Matan Gvili</t>
  </si>
  <si>
    <t>Ana Isabel Teixeira de Jesus da Silva</t>
  </si>
  <si>
    <t>Tse Ming Yang</t>
  </si>
  <si>
    <t>Pedro Filipes Rodrigues Lima</t>
  </si>
  <si>
    <t>Maria Catarina Nazaré de Jesus Videira Louro</t>
  </si>
  <si>
    <t>JOANA FILIPA SILVERIO SIMOES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</si>
  <si>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</si>
  <si>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</si>
  <si>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</si>
  <si>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</si>
  <si>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</si>
  <si>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</si>
  <si>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</si>
  <si>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</si>
  <si>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</si>
  <si>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</si>
  <si>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</si>
  <si>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</si>
  <si>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</si>
  <si>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</si>
  <si>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</si>
  <si>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</si>
  <si>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</si>
  <si>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</si>
  <si>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Type</t>
  </si>
  <si>
    <t>Residential</t>
  </si>
  <si>
    <t>Store</t>
  </si>
  <si>
    <t>Offices</t>
  </si>
  <si>
    <t>N-Rua</t>
  </si>
  <si>
    <t>S-Rua</t>
  </si>
  <si>
    <t>S/N-Rua</t>
  </si>
  <si>
    <t>€/m² min price price</t>
  </si>
  <si>
    <t>T2+1</t>
  </si>
  <si>
    <t>Overall project</t>
  </si>
  <si>
    <t>Vivian Tung Lee</t>
  </si>
  <si>
    <t>% discount</t>
  </si>
  <si>
    <t>34 (-2)</t>
  </si>
  <si>
    <t>31 (-2)</t>
  </si>
  <si>
    <t>43 (-2)</t>
  </si>
  <si>
    <t>44 (-2)</t>
  </si>
  <si>
    <t>36 (-2)</t>
  </si>
  <si>
    <t>83 (-1)</t>
  </si>
  <si>
    <t>84 (-1)</t>
  </si>
  <si>
    <t>85 (-1)</t>
  </si>
  <si>
    <t>86 (-1)</t>
  </si>
  <si>
    <t>51 (-1)</t>
  </si>
  <si>
    <t>78 (-1)</t>
  </si>
  <si>
    <t>77 (-1)</t>
  </si>
  <si>
    <t>76 (-1)</t>
  </si>
  <si>
    <t>75 (-1)</t>
  </si>
  <si>
    <t>74 (-1)</t>
  </si>
  <si>
    <t>73 (-1)</t>
  </si>
  <si>
    <t>72 (-1)</t>
  </si>
  <si>
    <t>71 (-1)</t>
  </si>
  <si>
    <t>70 (-1)</t>
  </si>
  <si>
    <t>69 (-1)</t>
  </si>
  <si>
    <t>68 (-1)</t>
  </si>
  <si>
    <t>67 (-1)</t>
  </si>
  <si>
    <t>66 (-1)</t>
  </si>
  <si>
    <t>65 (-1)</t>
  </si>
  <si>
    <t>64 (-1)</t>
  </si>
  <si>
    <t>63 (-1)</t>
  </si>
  <si>
    <t>62 (-1)</t>
  </si>
  <si>
    <t>87 (-1)</t>
  </si>
  <si>
    <t>52 (-1)</t>
  </si>
  <si>
    <t>35 (-2)</t>
  </si>
  <si>
    <t>32 (-2)</t>
  </si>
  <si>
    <t>33(-2)</t>
  </si>
  <si>
    <t>47 (-2)</t>
  </si>
  <si>
    <t>53 (-1)</t>
  </si>
  <si>
    <t>54 (-1)</t>
  </si>
  <si>
    <t>61 (-1)</t>
  </si>
  <si>
    <t>81 (-1)</t>
  </si>
  <si>
    <t>60 (-1)</t>
  </si>
  <si>
    <t>59 (-1)</t>
  </si>
  <si>
    <t>58 (-1)</t>
  </si>
  <si>
    <t>57 (-1)</t>
  </si>
  <si>
    <t>56 (-1)</t>
  </si>
  <si>
    <t>55 (-1)</t>
  </si>
  <si>
    <t>88 (-1)</t>
  </si>
  <si>
    <t>46 (-2)</t>
  </si>
  <si>
    <t>82(-1)</t>
  </si>
  <si>
    <t>1 (-2)</t>
  </si>
  <si>
    <t>2 (-2)</t>
  </si>
  <si>
    <t>3 (-2)</t>
  </si>
  <si>
    <t>4 (-2)</t>
  </si>
  <si>
    <t>5 (-2)</t>
  </si>
  <si>
    <t>6 (-2)</t>
  </si>
  <si>
    <t>7 (-2)</t>
  </si>
  <si>
    <t>89 (-1)</t>
  </si>
  <si>
    <t>8 (-2)</t>
  </si>
  <si>
    <t>45 (-2)</t>
  </si>
  <si>
    <t>40 (-2)</t>
  </si>
  <si>
    <t>39 (-2)</t>
  </si>
  <si>
    <t>16 (-2)</t>
  </si>
  <si>
    <t>15 (-2)</t>
  </si>
  <si>
    <t>14 (-2)</t>
  </si>
  <si>
    <t>13 (-2)</t>
  </si>
  <si>
    <t>12 (-2)</t>
  </si>
  <si>
    <t>11 (-2)</t>
  </si>
  <si>
    <t>10 (-2)</t>
  </si>
  <si>
    <t>9 (-2)</t>
  </si>
  <si>
    <t>49 (-2)</t>
  </si>
  <si>
    <t>79 (-2)</t>
  </si>
  <si>
    <t>80 (-2)</t>
  </si>
  <si>
    <t>17 (-2)</t>
  </si>
  <si>
    <t>18 (-2)</t>
  </si>
  <si>
    <t>19 (-2)</t>
  </si>
  <si>
    <t>30 (-2)</t>
  </si>
  <si>
    <t>29 (-2)</t>
  </si>
  <si>
    <t>28 (-2)</t>
  </si>
  <si>
    <t>27 (-2)</t>
  </si>
  <si>
    <t>26 (-2)</t>
  </si>
  <si>
    <t>25 (-2)</t>
  </si>
  <si>
    <t>24 (-2)</t>
  </si>
  <si>
    <t>23 (-2)</t>
  </si>
  <si>
    <t>22 (-2)</t>
  </si>
  <si>
    <t>21 (-2)</t>
  </si>
  <si>
    <t>20 (-2)</t>
  </si>
  <si>
    <t>48 (-2)</t>
  </si>
  <si>
    <t>50 (-1)</t>
  </si>
  <si>
    <t>52 (x2)</t>
  </si>
  <si>
    <t>-</t>
  </si>
  <si>
    <t>43 (Box)</t>
  </si>
  <si>
    <t xml:space="preserve">44 (Box) </t>
  </si>
  <si>
    <t>51 (x2)</t>
  </si>
  <si>
    <t>12 (Box)</t>
  </si>
  <si>
    <t>11 (Box)</t>
  </si>
  <si>
    <t>10 (Box)</t>
  </si>
  <si>
    <t>78 (x2)</t>
  </si>
  <si>
    <t>77 (x2)</t>
  </si>
  <si>
    <t>9 (Box)</t>
  </si>
  <si>
    <t>7 (Box)</t>
  </si>
  <si>
    <t>6 (box)</t>
  </si>
  <si>
    <t>76 (x2)</t>
  </si>
  <si>
    <t>8 (Box)</t>
  </si>
  <si>
    <t>75 (x2)</t>
  </si>
  <si>
    <t>16 (Box)</t>
  </si>
  <si>
    <t>5 (Box)</t>
  </si>
  <si>
    <t>4 (Box)</t>
  </si>
  <si>
    <t>74 (x2)</t>
  </si>
  <si>
    <t>15 (Box)</t>
  </si>
  <si>
    <t>73 (x2)</t>
  </si>
  <si>
    <t>14 (Box)</t>
  </si>
  <si>
    <t>3 (Box)</t>
  </si>
  <si>
    <t>2 (Box)</t>
  </si>
  <si>
    <t>72 (x2)</t>
  </si>
  <si>
    <t>13 (Box)</t>
  </si>
  <si>
    <t>71 (x2)</t>
  </si>
  <si>
    <t>48 (Box)</t>
  </si>
  <si>
    <t>61 (x2)</t>
  </si>
  <si>
    <t>1 (Box)</t>
  </si>
  <si>
    <t>70 (x2)</t>
  </si>
  <si>
    <t>45 (Box)</t>
  </si>
  <si>
    <t>69 (x2)</t>
  </si>
  <si>
    <t>60 (x2)</t>
  </si>
  <si>
    <t>59 (x2)</t>
  </si>
  <si>
    <t>68 (x2)</t>
  </si>
  <si>
    <t>40 (Box)</t>
  </si>
  <si>
    <t>67 (x2)</t>
  </si>
  <si>
    <t>50 (Box)</t>
  </si>
  <si>
    <t>58 (x2)</t>
  </si>
  <si>
    <t>57 (x2)</t>
  </si>
  <si>
    <t>66 (x2)</t>
  </si>
  <si>
    <t>39 (Box)</t>
  </si>
  <si>
    <t>65 (x2)</t>
  </si>
  <si>
    <t>89 (Box)</t>
  </si>
  <si>
    <t>56 (x2)</t>
  </si>
  <si>
    <t>55 (x2)</t>
  </si>
  <si>
    <t>64 (x2)</t>
  </si>
  <si>
    <t>88 (Box)</t>
  </si>
  <si>
    <t>49 (Box)</t>
  </si>
  <si>
    <t>54 (x2)</t>
  </si>
  <si>
    <t>53 (x2)</t>
  </si>
  <si>
    <t>62 (x2)</t>
  </si>
  <si>
    <t>46 (Box)</t>
  </si>
  <si>
    <t>90 (Box)</t>
  </si>
  <si>
    <t>47 (Box)</t>
  </si>
  <si>
    <t>Michal Golan and Shay Hazan</t>
  </si>
  <si>
    <t>Marco Medeiros e Maria Medeiros</t>
  </si>
  <si>
    <t>BOSCH</t>
  </si>
  <si>
    <t>Angola</t>
  </si>
  <si>
    <t>Hélder da Silva Coelho</t>
  </si>
  <si>
    <t>Liron Shilo</t>
  </si>
  <si>
    <t>Israel</t>
  </si>
  <si>
    <t>Yoram Levy</t>
  </si>
  <si>
    <t>João Rafael Gonçalves Novo</t>
  </si>
  <si>
    <t>Vítor Manuel Pereira Martins</t>
  </si>
  <si>
    <t>Catarina Filipa Gonçalves Guedes</t>
  </si>
  <si>
    <t>€/m² min. price</t>
  </si>
  <si>
    <t>Leon Daniel Ancker &amp; Esther Peledancker</t>
  </si>
  <si>
    <t>Orly Sabba</t>
  </si>
  <si>
    <t>Finland</t>
  </si>
  <si>
    <t>José Inácio David Cristino</t>
  </si>
  <si>
    <t>Joana Filipa Costa Santos</t>
  </si>
  <si>
    <t>Asking Price  
UPDATE 20/04</t>
  </si>
  <si>
    <t>38 (-2)</t>
  </si>
  <si>
    <t>37 (-2)</t>
  </si>
  <si>
    <t>93 (Box)</t>
  </si>
  <si>
    <t>93 (-1)</t>
  </si>
  <si>
    <t>63 (x2)</t>
  </si>
  <si>
    <t>41 &amp;42 (-2)</t>
  </si>
  <si>
    <t>41 &amp; 42 (Box)</t>
  </si>
  <si>
    <t>91 &amp; 92 (Box)</t>
  </si>
  <si>
    <t>90 (-1)</t>
  </si>
  <si>
    <t>91 &amp; 92 (-1)</t>
  </si>
  <si>
    <t>Achiya</t>
  </si>
  <si>
    <t>Fariborz Laghaie</t>
  </si>
  <si>
    <t>Iran</t>
  </si>
  <si>
    <t>Invoice sent?</t>
  </si>
  <si>
    <t>Invoice Paid?</t>
  </si>
  <si>
    <t>Percentage Sold</t>
  </si>
  <si>
    <t>CPCV Value</t>
  </si>
  <si>
    <t>1st down payment</t>
  </si>
  <si>
    <t>2nd down payment</t>
  </si>
  <si>
    <t>Deed</t>
  </si>
  <si>
    <t xml:space="preserve">Tranquildiscovery </t>
  </si>
  <si>
    <t>€/m² min. Price</t>
  </si>
  <si>
    <t>€/m² minimum price</t>
  </si>
  <si>
    <t>Price after 4% discount</t>
  </si>
  <si>
    <t>Date 1st down pmt.</t>
  </si>
  <si>
    <t>Date 2nd down pmt.</t>
  </si>
  <si>
    <t>RESERVATION SIGNED IN</t>
  </si>
  <si>
    <t>QUALQYXP - Gestão e Serviços, Lda</t>
  </si>
  <si>
    <t>MARIA DE GRAÇA ABEGAO SOVELAS</t>
  </si>
  <si>
    <t>Leban</t>
  </si>
  <si>
    <t>Carla Luísa Gomes Mendão</t>
  </si>
  <si>
    <t>Ana Paula Honrado Pinto and Avelino Manuel Abernú Balsinhas</t>
  </si>
  <si>
    <t>United Kingdom</t>
  </si>
  <si>
    <t>Manuel José Real de Amaral Figueira</t>
  </si>
  <si>
    <t>USA</t>
  </si>
  <si>
    <t>ARIEL CHILKIAYU</t>
  </si>
  <si>
    <t>Brazil</t>
  </si>
  <si>
    <t>Belgium</t>
  </si>
  <si>
    <t>Estimulafator Lda.</t>
  </si>
  <si>
    <t>WILDMEMORY CONSULTADORIA E SERVIÇOS UNIPESSOAL LDA,</t>
  </si>
  <si>
    <t>Building</t>
  </si>
  <si>
    <t>H3A</t>
  </si>
  <si>
    <t>H3B</t>
  </si>
  <si>
    <t>Patio</t>
  </si>
  <si>
    <t>Gal Erez</t>
  </si>
  <si>
    <t>Assaf Sabag and Yakutiel Zafari</t>
  </si>
  <si>
    <t>Amjad Khuri</t>
  </si>
  <si>
    <t>Haim Beker</t>
  </si>
  <si>
    <t>Ogen</t>
  </si>
  <si>
    <t>Ami Magid and Meital Magid</t>
  </si>
  <si>
    <t>Renata Costa</t>
  </si>
  <si>
    <t xml:space="preserve">Paulo António da Silva Monteiro </t>
  </si>
  <si>
    <t>Naama &amp; Reuven Ragoler</t>
  </si>
  <si>
    <t>Paisagem Positiva / José Miranda</t>
  </si>
  <si>
    <t>Aveludadesfera , Lda / Rui Paulo Silva</t>
  </si>
  <si>
    <t>Luis Martins Oliveira</t>
  </si>
  <si>
    <t xml:space="preserve">Noam Tal </t>
  </si>
  <si>
    <t>Yasmin Omer Azulay and Dotan Omer</t>
  </si>
  <si>
    <t>Oren Gerson</t>
  </si>
  <si>
    <t>IMOBDESIGN /Ana Maria Agueda Pires</t>
  </si>
  <si>
    <t>NO</t>
  </si>
  <si>
    <t>João Pedro Camisão da Silva &amp; Jéssica Filipa da Silva Machado</t>
  </si>
  <si>
    <t>Canada</t>
  </si>
  <si>
    <t>Catarina Ribeiro dos Santos Ribeiro &amp; Flávio de Sousa Coelho</t>
  </si>
  <si>
    <t>SE SW</t>
  </si>
  <si>
    <t>NW SW</t>
  </si>
  <si>
    <t>SW NW</t>
  </si>
  <si>
    <t>Noah Pred</t>
  </si>
  <si>
    <t xml:space="preserve">Nericinor Ferreira da Silva e Silvia Maria Melo da Silva </t>
  </si>
  <si>
    <t>Mohammad Rabbani.</t>
  </si>
  <si>
    <t>ALERTAR ESCADA (2) PARA ARRUMO, PÉ DIREITO DE 2.1M</t>
  </si>
  <si>
    <t xml:space="preserve">Freud Keidar Osnat </t>
  </si>
  <si>
    <t xml:space="preserve">Aloni Yaron </t>
  </si>
  <si>
    <t>Paula Cristina Vieira Gonçalves</t>
  </si>
  <si>
    <t>Bruno Dias de Padilha</t>
  </si>
  <si>
    <t>ext. (13)</t>
  </si>
  <si>
    <t>ext. (12)</t>
  </si>
  <si>
    <t>Piso -1 (19)</t>
  </si>
  <si>
    <t>Piso -1 (22)</t>
  </si>
  <si>
    <t>Piso -1 (61)</t>
  </si>
  <si>
    <t>Piso -1 (03)</t>
  </si>
  <si>
    <t>Piso -1 (62)</t>
  </si>
  <si>
    <t>Piso -1 (65)</t>
  </si>
  <si>
    <t>Piso -1 (27)</t>
  </si>
  <si>
    <t>Piso -1 (57)</t>
  </si>
  <si>
    <t>Piso -1 (1)</t>
  </si>
  <si>
    <t>Piso -1 (17)</t>
  </si>
  <si>
    <t>Piso -1 (14)</t>
  </si>
  <si>
    <t>Piso -1 (25)</t>
  </si>
  <si>
    <t>Piso -1 (59)</t>
  </si>
  <si>
    <t>Piso -1 (02)</t>
  </si>
  <si>
    <t>Piso -1 (51)</t>
  </si>
  <si>
    <t>ext. (11)</t>
  </si>
  <si>
    <t>Piso -1 (55)</t>
  </si>
  <si>
    <t>ext. (10)</t>
  </si>
  <si>
    <t>Piso -1 (54)</t>
  </si>
  <si>
    <t>ext. (09)</t>
  </si>
  <si>
    <t>Piso -1 (4)</t>
  </si>
  <si>
    <t>Piso -1 (58)</t>
  </si>
  <si>
    <t>Piso -1 (16)</t>
  </si>
  <si>
    <t>Piso -1 (20)</t>
  </si>
  <si>
    <t>Piso -1 (23)</t>
  </si>
  <si>
    <t>Piso -1 (60)</t>
  </si>
  <si>
    <t>Piso -1 (50)</t>
  </si>
  <si>
    <t>Piso -1 (33)</t>
  </si>
  <si>
    <t>Piso -1 (53)</t>
  </si>
  <si>
    <t>Piso -1 (26)</t>
  </si>
  <si>
    <t>Piso -1 (52)</t>
  </si>
  <si>
    <t>Piso -1 (63)</t>
  </si>
  <si>
    <t>Piso -1 (64)</t>
  </si>
  <si>
    <t>Piso -1 (15)</t>
  </si>
  <si>
    <t>Piso -1 (18)</t>
  </si>
  <si>
    <t>Piso -1 (21)</t>
  </si>
  <si>
    <t>Piso -1 (24)</t>
  </si>
  <si>
    <t>Piso -1 (28)</t>
  </si>
  <si>
    <t>Piso -1 (29)</t>
  </si>
  <si>
    <t>Piso -1 (56)</t>
  </si>
  <si>
    <t>Piso -1 (67)</t>
  </si>
  <si>
    <t>Piso -1 (66)</t>
  </si>
  <si>
    <t>Piso -1 (76)</t>
  </si>
  <si>
    <t>Piso -1 (77)</t>
  </si>
  <si>
    <t xml:space="preserve">ext (36) </t>
  </si>
  <si>
    <t>piso -1 (13)</t>
  </si>
  <si>
    <t xml:space="preserve">ext (05) </t>
  </si>
  <si>
    <t>piso -1 (46)</t>
  </si>
  <si>
    <t>Piso -1 (31)</t>
  </si>
  <si>
    <t>Piso -1 (30)</t>
  </si>
  <si>
    <t>piso -1 (68)</t>
  </si>
  <si>
    <t xml:space="preserve">ext (02) </t>
  </si>
  <si>
    <t>piso -1 (71)</t>
  </si>
  <si>
    <t xml:space="preserve">ext (22) </t>
  </si>
  <si>
    <t>piso -1 (70)</t>
  </si>
  <si>
    <t xml:space="preserve">ext (6) </t>
  </si>
  <si>
    <t>piso -1 (12)</t>
  </si>
  <si>
    <t xml:space="preserve">ext (35) </t>
  </si>
  <si>
    <t>ext (39)</t>
  </si>
  <si>
    <t>Piso -1 (38)</t>
  </si>
  <si>
    <t>ext (38)</t>
  </si>
  <si>
    <t>piso -1 (42)</t>
  </si>
  <si>
    <t xml:space="preserve">ext (24) </t>
  </si>
  <si>
    <t xml:space="preserve">ext (34) </t>
  </si>
  <si>
    <t>piso -1 (45)</t>
  </si>
  <si>
    <t>piso -1 (11)</t>
  </si>
  <si>
    <t xml:space="preserve">ext (33) </t>
  </si>
  <si>
    <t>piso -1 (72)</t>
  </si>
  <si>
    <t xml:space="preserve">ext (20) </t>
  </si>
  <si>
    <t xml:space="preserve">ext (03) </t>
  </si>
  <si>
    <t>piso -1 (69)</t>
  </si>
  <si>
    <t xml:space="preserve">ext (32) </t>
  </si>
  <si>
    <t>piso -1 (5)</t>
  </si>
  <si>
    <t>piso -1 (10)</t>
  </si>
  <si>
    <t xml:space="preserve">ext (28) </t>
  </si>
  <si>
    <t>piso -1 (36)</t>
  </si>
  <si>
    <t xml:space="preserve">ext (21) </t>
  </si>
  <si>
    <t>piso -1 (37)</t>
  </si>
  <si>
    <t xml:space="preserve">ext (23) </t>
  </si>
  <si>
    <t>piso -1 (44)</t>
  </si>
  <si>
    <t xml:space="preserve">ext (31) </t>
  </si>
  <si>
    <t xml:space="preserve">ext (30) </t>
  </si>
  <si>
    <t>piso -1 (6)</t>
  </si>
  <si>
    <t>piso -1 (73)</t>
  </si>
  <si>
    <t>piso -1 (09)</t>
  </si>
  <si>
    <t xml:space="preserve">ext (16) </t>
  </si>
  <si>
    <t xml:space="preserve">ext (26) </t>
  </si>
  <si>
    <t xml:space="preserve">ext (29) </t>
  </si>
  <si>
    <t>piso -1 (7)</t>
  </si>
  <si>
    <t>piso -1 (8)</t>
  </si>
  <si>
    <t xml:space="preserve">ext (25) </t>
  </si>
  <si>
    <t>piso -1 (47)</t>
  </si>
  <si>
    <t xml:space="preserve">ext (4) </t>
  </si>
  <si>
    <t xml:space="preserve">ext (1) </t>
  </si>
  <si>
    <t>piso -1 (49)</t>
  </si>
  <si>
    <t>piso -1 (34)</t>
  </si>
  <si>
    <t xml:space="preserve">ext (18) </t>
  </si>
  <si>
    <t xml:space="preserve">ext (19) </t>
  </si>
  <si>
    <t>piso -1 (35)</t>
  </si>
  <si>
    <t>piso -1 (48)</t>
  </si>
  <si>
    <t xml:space="preserve">ext (17) </t>
  </si>
  <si>
    <t>piso -1 (43)</t>
  </si>
  <si>
    <t xml:space="preserve">ext (27) </t>
  </si>
  <si>
    <t>piso -1 (32)</t>
  </si>
  <si>
    <t xml:space="preserve">ext (15) </t>
  </si>
  <si>
    <t>Piso -1 (40)</t>
  </si>
  <si>
    <t>Piso -1 (41)</t>
  </si>
  <si>
    <t>Piso -1 (75)</t>
  </si>
  <si>
    <t>Piso -1 (74)</t>
  </si>
  <si>
    <t>Piso -1 (39)</t>
  </si>
  <si>
    <t xml:space="preserve">José Pedro Duarte da Costa </t>
  </si>
  <si>
    <t>FÓRMULA FIDEDIGNA Sérgio Manuel Ferreira Vieira</t>
  </si>
  <si>
    <t>Broker name</t>
  </si>
  <si>
    <t>Raquel Maria Coelho Soares</t>
  </si>
  <si>
    <t xml:space="preserve">YES </t>
  </si>
  <si>
    <t>LAB</t>
  </si>
  <si>
    <t>Mauricio da Costa Duete</t>
  </si>
  <si>
    <t>Anilsio da Costa Duete</t>
  </si>
  <si>
    <t>José &amp; Olga Oliveira</t>
  </si>
  <si>
    <t>EMPRIL Invoice sent?</t>
  </si>
  <si>
    <t>EMPRIL Invoice Paid?</t>
  </si>
  <si>
    <t>GK Invoice Paid?</t>
  </si>
  <si>
    <t>GK Invoice sent?</t>
  </si>
  <si>
    <t>António Manuel oliveira Barbosa</t>
  </si>
  <si>
    <t>Venezuela</t>
  </si>
  <si>
    <t>Erichsen de Jesus Peixoto</t>
  </si>
  <si>
    <t>Cruz Alberto Caraballo Dias</t>
  </si>
  <si>
    <t>Javier Vizcaino Gonzalez</t>
  </si>
  <si>
    <t>Spain</t>
  </si>
  <si>
    <t xml:space="preserve">Difana </t>
  </si>
  <si>
    <t>PO EMPRIL</t>
  </si>
  <si>
    <t>PO GLOBALKEY</t>
  </si>
  <si>
    <t>PO TRANQUIL</t>
  </si>
  <si>
    <t>PO.76</t>
  </si>
  <si>
    <t>PO.62</t>
  </si>
  <si>
    <t>PO.68</t>
  </si>
  <si>
    <t>PO.55</t>
  </si>
  <si>
    <t>PO.57</t>
  </si>
  <si>
    <t>PO.67</t>
  </si>
  <si>
    <t>PO.60</t>
  </si>
  <si>
    <t>PO.78</t>
  </si>
  <si>
    <t>André Luís Sousa Cardoso</t>
  </si>
  <si>
    <t>Imobdesign</t>
  </si>
  <si>
    <t>José Adriano da Rocha Ferreira Salgado e Fernanda Encarnação</t>
  </si>
  <si>
    <t>W/N/E</t>
  </si>
  <si>
    <t>W/E</t>
  </si>
  <si>
    <t>W/S</t>
  </si>
  <si>
    <t>E/S</t>
  </si>
  <si>
    <t>W/S/E</t>
  </si>
  <si>
    <t>Broker</t>
  </si>
  <si>
    <t>Maria</t>
  </si>
  <si>
    <t xml:space="preserve">Maria </t>
  </si>
  <si>
    <t>Nuno Dias</t>
  </si>
  <si>
    <t>Gonçalo Maia Pinto</t>
  </si>
  <si>
    <t>Tempos Ambarinos Unipessoal (Jamal Zouity)</t>
  </si>
  <si>
    <t xml:space="preserve">Morroco </t>
  </si>
  <si>
    <t>Maria Costa</t>
  </si>
  <si>
    <t>Tomãs de Sá Fernandes Aleixo Nunes</t>
  </si>
  <si>
    <t>Rodrigo e Diogo Loureiro LDA</t>
  </si>
  <si>
    <t>José Gonçalves</t>
  </si>
  <si>
    <t>Ana Teles e Filipe Vasconcelos</t>
  </si>
  <si>
    <t>Ser Uno - Psicologia, Hipnose Clíinca, unipessoal lda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</si>
  <si>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</si>
  <si>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</si>
  <si>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</si>
  <si>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</si>
  <si>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</si>
  <si>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</si>
  <si>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</si>
  <si>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</si>
  <si>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</si>
  <si>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</si>
  <si>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</si>
  <si>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</si>
  <si>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</si>
  <si>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</si>
  <si>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</si>
  <si>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</si>
  <si>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</si>
  <si>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</si>
  <si>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</si>
  <si>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</si>
  <si>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</si>
  <si>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</si>
  <si>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</si>
  <si>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</si>
  <si>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</si>
  <si>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</si>
  <si>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</si>
  <si>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</si>
  <si>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</si>
  <si>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</si>
  <si>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</si>
  <si>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</si>
  <si>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</si>
  <si>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</si>
  <si>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</si>
  <si>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</si>
  <si>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</si>
  <si>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</si>
  <si>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</si>
  <si>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</si>
  <si>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</si>
  <si>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</si>
  <si>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</si>
  <si>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</si>
  <si>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</si>
  <si>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</si>
  <si>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</si>
  <si>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</si>
  <si>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</si>
  <si>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</si>
  <si>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</si>
  <si>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</si>
  <si>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</si>
  <si>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</si>
  <si>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</si>
  <si>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</si>
  <si>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</si>
  <si>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</si>
  <si>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</si>
  <si>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</si>
  <si>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</si>
  <si>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</si>
  <si>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</si>
  <si>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</si>
  <si>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</si>
  <si>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</si>
  <si>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</si>
  <si>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</si>
  <si>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</si>
  <si>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</si>
  <si>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</si>
  <si>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</si>
  <si>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</si>
  <si>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</si>
  <si>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</si>
  <si>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</si>
  <si>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</si>
  <si>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</si>
  <si>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</si>
  <si>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</si>
  <si>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</si>
  <si>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</si>
  <si>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</si>
  <si>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</si>
  <si>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</si>
  <si>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</si>
  <si>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</si>
  <si>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</si>
  <si>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</si>
  <si>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</si>
  <si>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</si>
  <si>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</si>
  <si>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</si>
  <si>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</si>
  <si>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</si>
  <si>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</si>
  <si>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</si>
  <si>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</si>
  <si>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</si>
  <si>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</si>
  <si>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</si>
  <si>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</si>
  <si>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</si>
  <si>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</si>
  <si>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</si>
  <si>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</si>
  <si>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</si>
  <si>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</si>
  <si>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</si>
  <si>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</si>
  <si>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</si>
  <si>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</si>
  <si>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</si>
  <si>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</si>
  <si>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</si>
  <si>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</si>
  <si>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</si>
  <si>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</si>
  <si>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</si>
  <si>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</si>
  <si>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</si>
  <si>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</si>
  <si>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</si>
  <si>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</si>
  <si>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</si>
  <si>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</si>
  <si>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</si>
  <si>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</si>
  <si>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</si>
  <si>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</si>
  <si>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</si>
  <si>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</si>
  <si>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</si>
  <si>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</si>
  <si>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</si>
  <si>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</si>
  <si>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</si>
  <si>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</si>
  <si>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</si>
  <si>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</si>
  <si>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</si>
  <si>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</si>
  <si>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</si>
  <si>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</si>
  <si>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</si>
  <si>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</si>
  <si>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</si>
  <si>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</si>
  <si>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</si>
  <si>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</si>
  <si>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</si>
  <si>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</si>
  <si>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</si>
  <si>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</si>
  <si>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</si>
  <si>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</si>
  <si>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</si>
  <si>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</si>
  <si>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</si>
  <si>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</si>
  <si>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</si>
  <si>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</si>
  <si>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</si>
  <si>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</si>
  <si>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</si>
  <si>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</si>
  <si>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</si>
  <si>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</si>
  <si>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</si>
  <si>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</si>
  <si>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</si>
  <si>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</si>
  <si>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</si>
  <si>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</si>
  <si>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</si>
  <si>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</si>
  <si>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</si>
  <si>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</si>
  <si>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</si>
  <si>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</si>
  <si>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</si>
  <si>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</si>
  <si>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</si>
  <si>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</si>
  <si>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</si>
  <si>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</si>
  <si>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</si>
  <si>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</si>
  <si>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</si>
  <si>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</si>
  <si>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</si>
  <si>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</si>
  <si>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</si>
  <si>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</si>
  <si>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</si>
  <si>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</si>
  <si>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</si>
  <si>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</si>
  <si>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</si>
  <si>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</si>
  <si>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</si>
  <si>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</si>
  <si>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</si>
  <si>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</si>
  <si>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</si>
  <si>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</si>
  <si>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</si>
  <si>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</si>
  <si>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</si>
  <si>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</si>
  <si>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</si>
  <si>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</si>
  <si>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</si>
  <si>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</si>
  <si>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</si>
  <si>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</si>
  <si>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</si>
  <si>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</si>
  <si>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</si>
  <si>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</si>
  <si>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</si>
  <si>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</si>
  <si>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</si>
  <si>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</si>
  <si>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</si>
  <si>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</si>
  <si>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</si>
  <si>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</si>
  <si>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</si>
  <si>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</si>
  <si>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</si>
  <si>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</si>
  <si>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</si>
  <si>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</si>
  <si>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</si>
  <si>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</si>
  <si>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</si>
  <si>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</si>
  <si>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</si>
  <si>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</si>
  <si>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</si>
  <si>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</si>
  <si>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</si>
  <si>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</si>
  <si>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</si>
  <si>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</si>
  <si>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</si>
  <si>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</si>
  <si>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</si>
  <si>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</si>
  <si>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</si>
  <si>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</si>
  <si>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</si>
  <si>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</si>
  <si>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</si>
  <si>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</si>
  <si>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</si>
  <si>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</si>
  <si>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</si>
  <si>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</si>
  <si>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</si>
  <si>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</si>
  <si>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</si>
  <si>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</si>
  <si>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</si>
  <si>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</si>
  <si>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</si>
  <si>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</si>
  <si>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</si>
  <si>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</si>
  <si>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</si>
  <si>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</si>
  <si>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</si>
  <si>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</si>
  <si>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</si>
  <si>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</si>
  <si>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</si>
  <si>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</si>
  <si>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</si>
  <si>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</si>
  <si>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</si>
  <si>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</si>
  <si>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</si>
  <si>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</si>
  <si>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</si>
  <si>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</si>
  <si>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</si>
  <si>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</si>
  <si>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</si>
  <si>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</si>
  <si>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</si>
  <si>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</si>
  <si>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</si>
  <si>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</si>
  <si>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</si>
  <si>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</si>
  <si>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</si>
  <si>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</si>
  <si>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</si>
  <si>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</si>
  <si>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</si>
  <si>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</si>
  <si>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</si>
  <si>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</si>
  <si>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</si>
  <si>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</si>
  <si>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</si>
  <si>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</si>
  <si>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</si>
  <si>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</si>
  <si>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</si>
  <si>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</si>
  <si>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</si>
  <si>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</si>
  <si>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</si>
  <si>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</si>
  <si>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</si>
  <si>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</si>
  <si>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</si>
  <si>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</si>
  <si>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</si>
  <si>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</si>
  <si>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</si>
  <si>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</si>
  <si>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</si>
  <si>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</si>
  <si>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</si>
  <si>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</si>
  <si>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</si>
  <si>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</si>
  <si>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</si>
  <si>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</si>
  <si>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</si>
  <si>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</si>
  <si>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</si>
  <si>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</si>
  <si>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</si>
  <si>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</si>
  <si>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</si>
  <si>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</si>
  <si>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</si>
  <si>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</si>
  <si>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</si>
  <si>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</si>
  <si>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</si>
  <si>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</si>
  <si>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</si>
  <si>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</si>
  <si>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</si>
  <si>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</si>
  <si>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</si>
  <si>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</si>
  <si>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</si>
  <si>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</si>
  <si>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</si>
  <si>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</si>
  <si>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</si>
  <si>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</si>
  <si>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</si>
  <si>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</si>
  <si>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</si>
  <si>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</si>
  <si>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</si>
  <si>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</si>
  <si>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</si>
  <si>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</si>
  <si>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</si>
  <si>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</si>
  <si>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</si>
  <si>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</si>
  <si>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</si>
  <si>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</si>
  <si>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</si>
  <si>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</si>
  <si>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</si>
  <si>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</si>
  <si>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</si>
  <si>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</si>
  <si>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</si>
  <si>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</si>
  <si>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</si>
  <si>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</si>
  <si>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</si>
  <si>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</si>
  <si>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</si>
  <si>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</si>
  <si>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</si>
  <si>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</si>
  <si>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</si>
  <si>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</si>
  <si>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</si>
  <si>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</si>
  <si>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</si>
  <si>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</si>
  <si>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</si>
  <si>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</si>
  <si>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</si>
  <si>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</si>
  <si>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</si>
  <si>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</si>
  <si>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</si>
  <si>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</si>
  <si>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</si>
  <si>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</si>
  <si>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</si>
  <si>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</si>
  <si>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</si>
  <si>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</si>
  <si>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</si>
  <si>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</si>
  <si>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</si>
  <si>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</si>
  <si>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</si>
  <si>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</si>
  <si>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</si>
  <si>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</si>
  <si>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</si>
  <si>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</si>
  <si>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</si>
  <si>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</si>
  <si>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</si>
  <si>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</si>
  <si>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</si>
  <si>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</si>
  <si>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</si>
  <si>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</si>
  <si>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</si>
  <si>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</si>
  <si>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</si>
  <si>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</si>
  <si>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</si>
  <si>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</si>
  <si>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</si>
  <si>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</si>
  <si>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</si>
  <si>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</si>
  <si>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</si>
  <si>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</si>
  <si>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</si>
  <si>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</si>
  <si>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</si>
  <si>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</si>
  <si>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</si>
  <si>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</si>
  <si>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</si>
  <si>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</si>
  <si>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</si>
  <si>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</si>
  <si>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</si>
  <si>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</si>
  <si>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</si>
  <si>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</si>
  <si>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</si>
  <si>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</si>
  <si>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</si>
  <si>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</si>
  <si>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</si>
  <si>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</si>
  <si>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</si>
  <si>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</si>
  <si>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</si>
  <si>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</si>
  <si>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</si>
  <si>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</si>
  <si>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</si>
  <si>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</si>
  <si>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</si>
  <si>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</si>
  <si>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</si>
  <si>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</si>
  <si>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</si>
  <si>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</si>
  <si>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</si>
  <si>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</si>
  <si>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</si>
  <si>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</si>
  <si>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</si>
  <si>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</si>
  <si>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</si>
  <si>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</si>
  <si>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</si>
  <si>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</si>
  <si>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</si>
  <si>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</si>
  <si>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</si>
  <si>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</si>
  <si>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</si>
  <si>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</si>
  <si>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</si>
  <si>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</si>
  <si>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</si>
  <si>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</si>
  <si>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</si>
  <si>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</si>
  <si>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</si>
  <si>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</si>
  <si>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</si>
  <si>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</si>
  <si>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</si>
  <si>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</si>
  <si>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</si>
  <si>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</si>
  <si>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</si>
  <si>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</si>
  <si>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</si>
  <si>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</si>
  <si>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</si>
  <si>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</si>
  <si>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</si>
  <si>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</si>
  <si>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</si>
  <si>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</si>
  <si>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</si>
  <si>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</si>
  <si>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</si>
  <si>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</si>
  <si>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</si>
  <si>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</si>
  <si>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</si>
  <si>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</si>
  <si>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</si>
  <si>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</si>
  <si>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</si>
  <si>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</si>
  <si>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</si>
  <si>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</si>
  <si>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</si>
  <si>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</si>
  <si>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</si>
  <si>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</si>
  <si>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</si>
  <si>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</si>
  <si>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</si>
  <si>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</si>
  <si>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</si>
  <si>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</si>
  <si>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</si>
  <si>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</si>
  <si>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</si>
  <si>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</si>
  <si>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</si>
  <si>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</si>
  <si>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</si>
  <si>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</si>
  <si>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</si>
  <si>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</si>
  <si>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</si>
  <si>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</si>
  <si>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</si>
  <si>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</si>
  <si>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</si>
  <si>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</si>
  <si>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</si>
  <si>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</si>
  <si>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</si>
  <si>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</si>
  <si>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</si>
  <si>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</si>
  <si>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</si>
  <si>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</si>
  <si>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</si>
  <si>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</si>
  <si>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</si>
  <si>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</si>
  <si>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</si>
  <si>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</si>
  <si>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</si>
  <si>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</si>
  <si>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</si>
  <si>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</si>
  <si>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</si>
  <si>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</si>
  <si>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</si>
  <si>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</si>
  <si>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</si>
  <si>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</si>
  <si>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</si>
  <si>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</si>
  <si>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</si>
  <si>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</si>
  <si>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</si>
  <si>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</si>
  <si>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</si>
  <si>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</si>
  <si>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</si>
  <si>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</si>
  <si>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</si>
  <si>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</si>
  <si>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</si>
  <si>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</si>
  <si>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</si>
  <si>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</si>
  <si>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</si>
  <si>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</si>
  <si>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</si>
  <si>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</si>
  <si>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</si>
  <si>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</si>
  <si>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</si>
  <si>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</si>
  <si>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</si>
  <si>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</si>
  <si>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</si>
  <si>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</si>
  <si>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</si>
  <si>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</si>
  <si>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</si>
  <si>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</si>
  <si>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</si>
  <si>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</si>
  <si>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</si>
  <si>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</si>
  <si>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</si>
  <si>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</si>
  <si>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</si>
  <si>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</si>
  <si>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</si>
  <si>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</si>
  <si>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</si>
  <si>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</si>
  <si>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</si>
  <si>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</si>
  <si>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</si>
  <si>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</si>
  <si>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</si>
  <si>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</si>
  <si>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</si>
  <si>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</si>
  <si>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</si>
  <si>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</si>
  <si>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</si>
  <si>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</si>
  <si>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</si>
  <si>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</si>
  <si>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</si>
  <si>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</si>
  <si>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</si>
  <si>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</si>
  <si>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</si>
  <si>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</si>
  <si>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</si>
  <si>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</si>
  <si>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</si>
  <si>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</si>
  <si>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</si>
  <si>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</si>
  <si>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</si>
  <si>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</si>
  <si>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</si>
  <si>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</si>
  <si>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</si>
  <si>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</si>
  <si>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</si>
  <si>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</si>
  <si>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</si>
  <si>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</si>
  <si>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</si>
  <si>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</si>
  <si>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</si>
  <si>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</si>
  <si>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</si>
  <si>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</si>
  <si>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</si>
  <si>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</si>
  <si>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</si>
  <si>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</si>
  <si>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</si>
  <si>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</si>
  <si>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</si>
  <si>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</si>
  <si>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</si>
  <si>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</si>
  <si>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</si>
  <si>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</si>
  <si>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</si>
  <si>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</si>
  <si>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</si>
  <si>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</si>
  <si>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</si>
  <si>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</si>
  <si>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</si>
  <si>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</si>
  <si>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</si>
  <si>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</si>
  <si>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</si>
  <si>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</si>
  <si>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</si>
  <si>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</si>
  <si>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</si>
  <si>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</si>
  <si>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</si>
  <si>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</si>
  <si>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</si>
  <si>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</si>
  <si>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</si>
  <si>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</si>
  <si>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</si>
  <si>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</si>
  <si>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</si>
  <si>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</si>
  <si>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</si>
  <si>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</si>
  <si>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</si>
  <si>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</si>
  <si>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</si>
  <si>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</si>
  <si>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</si>
  <si>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</si>
  <si>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</si>
  <si>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</si>
  <si>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</si>
  <si>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</si>
  <si>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</si>
  <si>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</si>
  <si>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</si>
  <si>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</si>
  <si>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</si>
  <si>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</si>
  <si>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</si>
  <si>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</si>
  <si>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</si>
  <si>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</si>
  <si>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</si>
  <si>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</si>
  <si>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</si>
  <si>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</si>
  <si>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</si>
  <si>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</si>
  <si>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</si>
  <si>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</si>
  <si>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</si>
  <si>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</si>
  <si>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</si>
  <si>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</si>
  <si>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</si>
  <si>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</si>
  <si>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</si>
  <si>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</si>
  <si>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</si>
  <si>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</si>
  <si>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</si>
  <si>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</si>
  <si>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</si>
  <si>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</si>
  <si>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</si>
  <si>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</si>
  <si>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</si>
  <si>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</si>
  <si>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</si>
  <si>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</si>
  <si>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</si>
  <si>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</si>
  <si>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</si>
  <si>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</si>
  <si>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</si>
  <si>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</si>
  <si>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</si>
  <si>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</si>
  <si>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</si>
  <si>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</si>
  <si>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</si>
  <si>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</si>
  <si>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</si>
  <si>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</si>
  <si>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</si>
  <si>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</si>
  <si>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</si>
  <si>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</si>
  <si>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</si>
  <si>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</si>
  <si>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</si>
  <si>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</si>
  <si>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</si>
  <si>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</si>
  <si>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</si>
  <si>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</si>
  <si>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</si>
  <si>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</si>
  <si>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</si>
  <si>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</si>
  <si>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</si>
  <si>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</si>
  <si>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</si>
  <si>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</si>
  <si>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</si>
  <si>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</si>
  <si>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</si>
  <si>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</si>
  <si>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</si>
  <si>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</si>
  <si>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</si>
  <si>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</si>
  <si>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</si>
  <si>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</si>
  <si>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</si>
  <si>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</si>
  <si>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</si>
  <si>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</si>
  <si>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</si>
  <si>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</si>
  <si>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</si>
  <si>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</si>
  <si>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</si>
  <si>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</si>
  <si>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</si>
  <si>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</si>
  <si>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</si>
  <si>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</si>
  <si>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</si>
  <si>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</si>
  <si>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</si>
  <si>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</si>
  <si>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</si>
  <si>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</si>
  <si>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</si>
  <si>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</si>
  <si>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</si>
  <si>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</si>
  <si>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</si>
  <si>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</si>
  <si>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</si>
  <si>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</si>
  <si>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</si>
  <si>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</si>
  <si>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</si>
  <si>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</si>
  <si>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</si>
  <si>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</si>
  <si>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</si>
  <si>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</si>
  <si>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</si>
  <si>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</si>
  <si>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</si>
  <si>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</si>
  <si>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</si>
  <si>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</si>
  <si>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</si>
  <si>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</si>
  <si>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</si>
  <si>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</si>
  <si>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</si>
  <si>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</si>
  <si>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</si>
  <si>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</si>
  <si>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</si>
  <si>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</si>
  <si>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</si>
  <si>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</si>
  <si>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</si>
  <si>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</si>
  <si>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</si>
  <si>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</si>
  <si>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</si>
  <si>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</si>
  <si>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</si>
  <si>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</si>
  <si>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</si>
  <si>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</si>
  <si>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</si>
  <si>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</si>
  <si>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</si>
  <si>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</si>
  <si>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</si>
  <si>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</si>
  <si>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</si>
  <si>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</si>
  <si>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</si>
  <si>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</si>
  <si>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</si>
  <si>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</si>
  <si>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</si>
  <si>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</si>
  <si>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</si>
  <si>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</si>
  <si>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</si>
  <si>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</si>
  <si>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</si>
  <si>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</si>
  <si>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</si>
  <si>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</si>
  <si>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</si>
  <si>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</si>
  <si>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</si>
  <si>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</si>
  <si>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</si>
  <si>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</si>
  <si>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</si>
  <si>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</si>
  <si>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</si>
  <si>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</si>
  <si>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</si>
  <si>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</si>
  <si>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</si>
  <si>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</si>
  <si>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</si>
  <si>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</si>
  <si>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</si>
  <si>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</si>
  <si>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</si>
  <si>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</si>
  <si>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</si>
  <si>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</si>
  <si>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</si>
  <si>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</si>
  <si>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</si>
  <si>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</si>
  <si>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</si>
  <si>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</si>
  <si>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</si>
  <si>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</si>
  <si>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</si>
  <si>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</si>
  <si>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</si>
  <si>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</si>
  <si>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</si>
  <si>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</si>
  <si>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</si>
  <si>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</si>
  <si>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</si>
  <si>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</si>
  <si>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</si>
  <si>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</si>
  <si>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</si>
  <si>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</si>
  <si>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</si>
  <si>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</si>
  <si>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</si>
  <si>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</si>
  <si>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</si>
  <si>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</si>
  <si>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</si>
  <si>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</si>
  <si>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</si>
  <si>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</si>
  <si>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</si>
  <si>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</si>
  <si>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</si>
  <si>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</si>
  <si>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</si>
  <si>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</si>
  <si>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</si>
  <si>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</si>
  <si>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</si>
  <si>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</si>
  <si>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</si>
  <si>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</si>
  <si>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</si>
  <si>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</si>
  <si>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</si>
  <si>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</si>
  <si>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</si>
  <si>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</si>
  <si>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</si>
  <si>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</si>
  <si>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</si>
  <si>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</si>
  <si>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</si>
  <si>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</si>
  <si>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</si>
  <si>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</si>
  <si>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</si>
  <si>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</si>
  <si>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</si>
  <si>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</si>
  <si>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</si>
  <si>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</si>
  <si>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</si>
  <si>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</si>
  <si>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</si>
  <si>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</si>
  <si>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</si>
  <si>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</si>
  <si>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</si>
  <si>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</si>
  <si>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</si>
  <si>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</si>
  <si>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</si>
  <si>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</si>
  <si>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</si>
  <si>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</si>
  <si>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</si>
  <si>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</si>
  <si>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</si>
  <si>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</si>
  <si>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</si>
  <si>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</si>
  <si>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</si>
  <si>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</si>
  <si>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</si>
  <si>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</si>
  <si>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</si>
  <si>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</si>
  <si>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</si>
  <si>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</si>
  <si>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</si>
  <si>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</si>
  <si>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</si>
  <si>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</si>
  <si>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</si>
  <si>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</si>
  <si>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</si>
  <si>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</si>
  <si>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</si>
  <si>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</si>
  <si>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</si>
  <si>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</si>
  <si>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</si>
  <si>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</si>
  <si>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</si>
  <si>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</si>
  <si>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</si>
  <si>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</si>
  <si>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</si>
  <si>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</si>
  <si>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</si>
  <si>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</si>
  <si>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</si>
  <si>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</si>
  <si>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</si>
  <si>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</si>
  <si>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</si>
  <si>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</si>
  <si>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</si>
  <si>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</si>
  <si>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</si>
  <si>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</si>
  <si>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</si>
  <si>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</si>
  <si>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</si>
  <si>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</si>
  <si>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</si>
  <si>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</si>
  <si>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</si>
  <si>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</si>
  <si>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</si>
  <si>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</si>
  <si>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</si>
  <si>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</si>
  <si>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</si>
  <si>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</si>
  <si>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</si>
  <si>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</si>
  <si>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</si>
  <si>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</si>
  <si>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</si>
  <si>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</si>
  <si>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</si>
  <si>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</si>
  <si>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</si>
  <si>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</si>
  <si>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</si>
  <si>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</si>
  <si>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</si>
  <si>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</si>
  <si>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</si>
  <si>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</si>
  <si>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</si>
  <si>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</si>
  <si>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</si>
  <si>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</si>
  <si>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</si>
  <si>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</si>
  <si>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</si>
  <si>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</si>
  <si>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</si>
  <si>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</si>
  <si>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</si>
  <si>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</si>
  <si>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</si>
  <si>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</si>
  <si>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</si>
  <si>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</si>
  <si>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</si>
  <si>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</si>
  <si>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</si>
  <si>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</si>
  <si>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</si>
  <si>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</si>
  <si>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</si>
  <si>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</si>
  <si>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</si>
  <si>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</si>
  <si>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</si>
  <si>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</si>
  <si>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</si>
  <si>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</si>
  <si>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</si>
  <si>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</si>
  <si>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</si>
  <si>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</si>
  <si>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</si>
  <si>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</si>
  <si>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</si>
  <si>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</si>
  <si>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</si>
  <si>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</si>
  <si>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</si>
  <si>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</si>
  <si>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</si>
  <si>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</si>
  <si>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</si>
  <si>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</si>
  <si>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</si>
  <si>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</si>
  <si>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</si>
  <si>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</si>
  <si>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</si>
  <si>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</si>
  <si>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</si>
  <si>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</si>
  <si>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</si>
  <si>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</si>
  <si>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</si>
  <si>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</si>
  <si>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</si>
  <si>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</si>
  <si>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</si>
  <si>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</si>
  <si>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</si>
  <si>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</si>
  <si>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</si>
  <si>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</si>
  <si>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</si>
  <si>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</si>
  <si>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</si>
  <si>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</si>
  <si>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</si>
  <si>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</si>
  <si>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</si>
  <si>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</si>
  <si>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</si>
  <si>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</si>
  <si>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</si>
  <si>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</si>
  <si>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</si>
  <si>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</si>
  <si>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</si>
  <si>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</si>
  <si>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</si>
  <si>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</si>
  <si>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</si>
  <si>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</si>
  <si>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</si>
  <si>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</si>
  <si>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</si>
  <si>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</si>
  <si>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</si>
  <si>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</si>
  <si>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</si>
  <si>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</si>
  <si>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</si>
  <si>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</si>
  <si>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</si>
  <si>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</si>
  <si>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</si>
  <si>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</si>
  <si>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</si>
  <si>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</si>
  <si>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</si>
  <si>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</si>
  <si>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</si>
  <si>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</si>
  <si>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</si>
  <si>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</si>
  <si>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</si>
  <si>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</si>
  <si>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</si>
  <si>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</si>
  <si>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</si>
  <si>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</si>
  <si>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</si>
  <si>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</si>
  <si>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</si>
  <si>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</si>
  <si>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</si>
  <si>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</si>
  <si>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</si>
  <si>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</si>
  <si>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</si>
  <si>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</si>
  <si>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</si>
  <si>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</si>
  <si>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</si>
  <si>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</si>
  <si>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</si>
  <si>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</si>
  <si>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</si>
  <si>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</si>
  <si>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</si>
  <si>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</si>
  <si>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</si>
  <si>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</si>
  <si>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</si>
  <si>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</si>
  <si>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</si>
  <si>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</si>
  <si>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</si>
  <si>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</si>
  <si>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</si>
  <si>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</si>
  <si>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</si>
  <si>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</si>
  <si>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</si>
  <si>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</si>
  <si>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</si>
  <si>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</si>
  <si>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</si>
  <si>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</si>
  <si>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</si>
  <si>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</si>
  <si>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</si>
  <si>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</si>
  <si>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</si>
  <si>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</si>
  <si>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</si>
  <si>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</si>
  <si>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</si>
  <si>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</si>
  <si>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</si>
  <si>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</si>
  <si>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</si>
  <si>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</si>
  <si>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</si>
  <si>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</si>
  <si>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</si>
  <si>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</si>
  <si>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</si>
  <si>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</si>
  <si>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</si>
  <si>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</si>
  <si>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</si>
  <si>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</si>
  <si>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</si>
  <si>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</si>
  <si>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</si>
  <si>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</si>
  <si>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</si>
  <si>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</si>
  <si>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</si>
  <si>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</si>
  <si>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</si>
  <si>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</si>
  <si>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</si>
  <si>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</si>
  <si>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</si>
  <si>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</si>
  <si>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</si>
  <si>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</si>
  <si>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</si>
  <si>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</si>
  <si>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</si>
  <si>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</si>
  <si>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</si>
  <si>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</si>
  <si>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</si>
  <si>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</si>
  <si>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</si>
  <si>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</si>
  <si>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</si>
  <si>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</si>
  <si>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</si>
  <si>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</si>
  <si>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</si>
  <si>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</si>
  <si>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</si>
  <si>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</si>
  <si>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</si>
  <si>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</si>
  <si>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</si>
  <si>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</si>
  <si>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</si>
  <si>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</si>
  <si>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</si>
  <si>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</si>
  <si>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</si>
  <si>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</si>
  <si>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</si>
  <si>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</si>
  <si>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</si>
  <si>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</si>
  <si>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</si>
  <si>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</si>
  <si>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</si>
  <si>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</si>
  <si>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</si>
  <si>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</si>
  <si>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</si>
  <si>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</si>
  <si>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</si>
  <si>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</si>
  <si>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</si>
  <si>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</si>
  <si>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</si>
  <si>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</si>
  <si>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</si>
  <si>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</si>
  <si>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</si>
  <si>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</si>
  <si>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</si>
  <si>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</si>
  <si>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</si>
  <si>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</si>
  <si>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</si>
  <si>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</si>
  <si>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</si>
  <si>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</si>
  <si>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</si>
  <si>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</si>
  <si>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</si>
  <si>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</si>
  <si>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</si>
  <si>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</si>
  <si>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</si>
  <si>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</si>
  <si>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</si>
  <si>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</si>
  <si>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</si>
  <si>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</si>
  <si>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</si>
  <si>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</si>
  <si>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</si>
  <si>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</si>
  <si>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</si>
  <si>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</si>
  <si>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</si>
  <si>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</si>
  <si>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</si>
  <si>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</si>
  <si>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</si>
  <si>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</si>
  <si>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</si>
  <si>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</si>
  <si>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</si>
  <si>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</si>
  <si>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</si>
  <si>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</si>
  <si>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</si>
  <si>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</si>
  <si>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</si>
  <si>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</si>
  <si>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</si>
  <si>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</si>
  <si>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</si>
  <si>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</si>
  <si>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</si>
  <si>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</si>
  <si>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</si>
  <si>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</si>
  <si>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</si>
  <si>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</si>
  <si>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</si>
  <si>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</si>
  <si>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</si>
  <si>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</si>
  <si>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</si>
  <si>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</si>
  <si>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</si>
  <si>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</si>
  <si>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</si>
  <si>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</si>
  <si>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</si>
  <si>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</si>
  <si>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</si>
  <si>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</si>
  <si>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</si>
  <si>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</si>
  <si>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</si>
  <si>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</si>
  <si>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</si>
  <si>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</si>
  <si>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</si>
  <si>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</si>
  <si>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</si>
  <si>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</si>
  <si>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</si>
  <si>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</si>
  <si>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</si>
  <si>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</si>
  <si>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</si>
  <si>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</si>
  <si>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</si>
  <si>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</si>
  <si>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</si>
  <si>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</si>
  <si>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</si>
  <si>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</si>
  <si>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</si>
  <si>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</si>
  <si>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</si>
  <si>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</si>
  <si>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</si>
  <si>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</si>
  <si>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</si>
  <si>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</si>
  <si>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</si>
  <si>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</si>
  <si>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</si>
  <si>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</si>
  <si>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</si>
  <si>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</si>
  <si>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</si>
  <si>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</si>
  <si>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</si>
  <si>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</si>
  <si>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</si>
  <si>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</si>
  <si>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</si>
  <si>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</si>
  <si>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</si>
  <si>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</si>
  <si>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</si>
  <si>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</si>
  <si>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</si>
  <si>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</si>
  <si>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</si>
  <si>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</si>
  <si>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</si>
  <si>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</si>
  <si>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</si>
  <si>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</si>
  <si>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</si>
  <si>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</si>
  <si>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</si>
  <si>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</si>
  <si>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</si>
  <si>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</si>
  <si>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</si>
  <si>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</si>
  <si>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</si>
  <si>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</si>
  <si>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</si>
  <si>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</si>
  <si>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</si>
  <si>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</si>
  <si>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</si>
  <si>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</si>
  <si>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</si>
  <si>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</si>
  <si>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</si>
  <si>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</si>
  <si>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</si>
  <si>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</si>
  <si>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</si>
  <si>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</si>
  <si>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</si>
  <si>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</si>
  <si>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</si>
  <si>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</si>
  <si>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</si>
  <si>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</si>
  <si>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</si>
  <si>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</si>
  <si>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</si>
  <si>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</si>
  <si>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</si>
  <si>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</si>
  <si>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</si>
  <si>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</si>
  <si>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</si>
  <si>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</si>
  <si>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</si>
  <si>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</si>
  <si>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</si>
  <si>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</si>
  <si>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</si>
  <si>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</si>
  <si>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</si>
  <si>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</si>
  <si>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</si>
  <si>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</si>
  <si>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</si>
  <si>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</si>
  <si>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</si>
  <si>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</si>
  <si>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</si>
  <si>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</si>
  <si>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</si>
  <si>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</si>
  <si>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</si>
  <si>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</si>
  <si>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</si>
  <si>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</si>
  <si>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</si>
  <si>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</si>
  <si>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</si>
  <si>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</si>
  <si>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</si>
  <si>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</si>
  <si>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</si>
  <si>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</si>
  <si>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</si>
  <si>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</si>
  <si>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</si>
  <si>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</si>
  <si>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</si>
  <si>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</si>
  <si>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</si>
  <si>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</si>
  <si>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</si>
  <si>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</si>
  <si>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</si>
  <si>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</si>
  <si>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</si>
  <si>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</si>
  <si>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</si>
  <si>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</si>
  <si>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</si>
  <si>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</si>
  <si>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</si>
  <si>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</si>
  <si>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</si>
  <si>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</si>
  <si>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</si>
  <si>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</si>
  <si>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</si>
  <si>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</si>
  <si>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</si>
  <si>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</si>
  <si>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</si>
  <si>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</si>
  <si>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</si>
  <si>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</si>
  <si>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</si>
  <si>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</si>
  <si>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</si>
  <si>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</si>
  <si>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</si>
  <si>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</si>
  <si>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</si>
  <si>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</si>
  <si>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</si>
  <si>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</si>
  <si>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</si>
  <si>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</si>
  <si>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</si>
  <si>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</si>
  <si>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</si>
  <si>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</si>
  <si>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</si>
  <si>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</si>
  <si>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</si>
  <si>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</si>
  <si>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</si>
  <si>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</si>
  <si>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</si>
  <si>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</si>
  <si>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</si>
  <si>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</si>
  <si>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</si>
  <si>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</si>
  <si>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</si>
  <si>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</si>
  <si>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</si>
  <si>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</si>
  <si>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</si>
  <si>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</si>
  <si>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</si>
  <si>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</si>
  <si>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</si>
  <si>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</si>
  <si>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</si>
  <si>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</si>
  <si>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</si>
  <si>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</si>
  <si>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</si>
  <si>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</si>
  <si>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</si>
  <si>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</si>
  <si>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</si>
  <si>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</si>
  <si>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</si>
  <si>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</si>
  <si>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</si>
  <si>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</si>
  <si>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</si>
  <si>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</si>
  <si>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</si>
  <si>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</si>
  <si>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</si>
  <si>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</si>
  <si>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</si>
  <si>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</si>
  <si>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</si>
  <si>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</si>
  <si>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</si>
  <si>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</si>
  <si>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</si>
  <si>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</si>
  <si>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</si>
  <si>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</si>
  <si>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</si>
  <si>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</si>
  <si>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</si>
  <si>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</si>
  <si>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</si>
  <si>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</si>
  <si>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</si>
  <si>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</si>
  <si>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</si>
  <si>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</si>
  <si>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</si>
  <si>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</si>
  <si>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</si>
  <si>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</si>
  <si>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</si>
  <si>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</si>
  <si>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</si>
  <si>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</si>
  <si>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</si>
  <si>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</si>
  <si>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</si>
  <si>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</si>
  <si>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</si>
  <si>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</si>
  <si>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</si>
  <si>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</si>
  <si>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</si>
  <si>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</si>
  <si>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</si>
  <si>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</si>
  <si>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</si>
  <si>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</si>
  <si>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</si>
  <si>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</si>
  <si>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</si>
  <si>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</si>
  <si>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</si>
  <si>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</si>
  <si>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</si>
  <si>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</si>
  <si>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</si>
  <si>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</si>
  <si>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</si>
  <si>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</si>
  <si>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</si>
  <si>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</si>
  <si>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</si>
  <si>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</si>
  <si>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</si>
  <si>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</si>
  <si>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</si>
  <si>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</si>
  <si>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</si>
  <si>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</si>
  <si>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</si>
  <si>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</si>
  <si>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</si>
  <si>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</si>
  <si>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</si>
  <si>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</si>
  <si>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</si>
  <si>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</si>
  <si>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</si>
  <si>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</si>
  <si>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</si>
  <si>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</si>
  <si>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</si>
  <si>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</si>
  <si>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</si>
  <si>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</si>
  <si>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</si>
  <si>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</si>
  <si>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</si>
  <si>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</si>
  <si>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</si>
  <si>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</si>
  <si>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</si>
  <si>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</si>
  <si>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</si>
  <si>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</si>
  <si>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</si>
  <si>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</si>
  <si>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</si>
  <si>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</si>
  <si>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</si>
  <si>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</si>
  <si>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</si>
  <si>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</si>
  <si>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</si>
  <si>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</si>
  <si>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</si>
  <si>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</si>
  <si>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</si>
  <si>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</si>
  <si>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</si>
  <si>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</si>
  <si>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</si>
  <si>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</si>
  <si>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</si>
  <si>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</si>
  <si>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</si>
  <si>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</si>
  <si>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</si>
  <si>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</si>
  <si>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</si>
  <si>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</si>
  <si>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</si>
  <si>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</si>
  <si>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</si>
  <si>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</si>
  <si>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</si>
  <si>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</si>
  <si>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</si>
  <si>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</si>
  <si>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</si>
  <si>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</si>
  <si>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</si>
  <si>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</si>
  <si>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</si>
  <si>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</si>
  <si>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</si>
  <si>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</si>
  <si>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</si>
  <si>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</si>
  <si>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</si>
  <si>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</si>
  <si>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</si>
  <si>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</si>
  <si>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</si>
  <si>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</si>
  <si>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</si>
  <si>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</si>
  <si>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</si>
  <si>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</si>
  <si>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</si>
  <si>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</si>
  <si>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</si>
  <si>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</si>
  <si>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</si>
  <si>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</si>
  <si>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</si>
  <si>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</si>
  <si>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</si>
  <si>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</si>
  <si>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</si>
  <si>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</si>
  <si>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</si>
  <si>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</si>
  <si>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</si>
  <si>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</si>
  <si>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</si>
  <si>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</si>
  <si>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</si>
  <si>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</si>
  <si>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</si>
  <si>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</si>
  <si>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</si>
  <si>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</si>
  <si>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</si>
  <si>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</si>
  <si>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</si>
  <si>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</si>
  <si>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</si>
  <si>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</si>
  <si>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</si>
  <si>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</si>
  <si>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</si>
  <si>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</si>
  <si>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</si>
  <si>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</si>
  <si>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</si>
  <si>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</si>
  <si>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</si>
  <si>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</si>
  <si>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</si>
  <si>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</si>
  <si>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</si>
  <si>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</si>
  <si>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</si>
  <si>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</si>
  <si>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</si>
  <si>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</si>
  <si>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</si>
  <si>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</si>
  <si>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</si>
  <si>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</si>
  <si>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</si>
  <si>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</si>
  <si>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</si>
  <si>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</si>
  <si>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</si>
  <si>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</si>
  <si>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</si>
  <si>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</si>
  <si>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</si>
  <si>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</si>
  <si>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</si>
  <si>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</si>
  <si>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</si>
  <si>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</si>
  <si>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</si>
  <si>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</si>
  <si>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</si>
  <si>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</si>
  <si>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</si>
  <si>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</si>
  <si>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</si>
  <si>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</si>
  <si>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</si>
  <si>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</si>
  <si>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</si>
  <si>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</si>
  <si>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</si>
  <si>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</si>
  <si>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</si>
  <si>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</si>
  <si>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</si>
  <si>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</si>
  <si>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</si>
  <si>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</si>
  <si>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</si>
  <si>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</si>
  <si>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</si>
  <si>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</si>
  <si>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</si>
  <si>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</si>
  <si>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</si>
  <si>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</si>
  <si>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</si>
  <si>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</si>
  <si>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</si>
  <si>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</si>
  <si>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</si>
  <si>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</si>
  <si>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</si>
  <si>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</si>
  <si>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</si>
  <si>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</si>
  <si>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</si>
  <si>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</si>
  <si>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</si>
  <si>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</si>
  <si>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</si>
  <si>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</si>
  <si>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</si>
  <si>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</si>
  <si>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</si>
  <si>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</si>
  <si>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</si>
  <si>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</si>
  <si>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</si>
  <si>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</si>
  <si>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</si>
  <si>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</si>
  <si>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</si>
  <si>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</si>
  <si>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</si>
  <si>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</si>
  <si>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</si>
  <si>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</si>
  <si>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</si>
  <si>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</si>
  <si>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</si>
  <si>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</si>
  <si>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</si>
  <si>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</si>
  <si>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</si>
  <si>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</si>
  <si>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</si>
  <si>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</si>
  <si>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</si>
  <si>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</si>
  <si>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</si>
  <si>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</si>
  <si>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</si>
  <si>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</si>
  <si>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</si>
  <si>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</si>
  <si>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</si>
  <si>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</si>
  <si>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</si>
  <si>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</si>
  <si>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</si>
  <si>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</si>
  <si>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</si>
  <si>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</si>
  <si>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</si>
  <si>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</si>
  <si>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</si>
  <si>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</si>
  <si>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</si>
  <si>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</si>
  <si>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</si>
  <si>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</si>
  <si>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</si>
  <si>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</si>
  <si>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</si>
  <si>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</si>
  <si>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</si>
  <si>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</si>
  <si>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</si>
  <si>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</si>
  <si>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</si>
  <si>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</si>
  <si>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</si>
  <si>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</si>
  <si>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</si>
  <si>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</si>
  <si>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</si>
  <si>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</si>
  <si>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</si>
  <si>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</si>
  <si>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</si>
  <si>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</si>
  <si>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</si>
  <si>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</si>
  <si>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</si>
  <si>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</si>
  <si>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</si>
  <si>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</si>
  <si>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</si>
  <si>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</si>
  <si>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</si>
  <si>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</si>
  <si>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</si>
  <si>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</si>
  <si>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</si>
  <si>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</si>
  <si>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</si>
  <si>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</si>
  <si>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</si>
  <si>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</si>
  <si>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</si>
  <si>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</si>
  <si>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</si>
  <si>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</si>
  <si>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</si>
  <si>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</si>
  <si>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</si>
  <si>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</si>
  <si>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</si>
  <si>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</si>
  <si>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</si>
  <si>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</si>
  <si>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</si>
  <si>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</si>
  <si>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</si>
  <si>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</si>
  <si>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</si>
  <si>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</si>
  <si>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</si>
  <si>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</si>
  <si>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</si>
  <si>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</si>
  <si>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</si>
  <si>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</si>
  <si>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</si>
  <si>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</si>
  <si>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</si>
  <si>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</si>
  <si>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</si>
  <si>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</si>
  <si>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</si>
  <si>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</si>
  <si>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</si>
  <si>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</si>
  <si>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</si>
  <si>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</si>
  <si>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</si>
  <si>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</si>
  <si>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</si>
  <si>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</si>
  <si>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</si>
  <si>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</si>
  <si>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</si>
  <si>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</si>
  <si>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</si>
  <si>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</si>
  <si>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</si>
  <si>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</si>
  <si>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</si>
  <si>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</si>
  <si>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</si>
  <si>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</si>
  <si>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</si>
  <si>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</si>
  <si>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</si>
  <si>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</si>
  <si>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</si>
  <si>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</si>
  <si>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</si>
  <si>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</si>
  <si>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</si>
  <si>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</si>
  <si>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</si>
  <si>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</si>
  <si>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</si>
  <si>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</si>
  <si>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</si>
  <si>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</si>
  <si>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</si>
  <si>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</si>
  <si>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</si>
  <si>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</si>
  <si>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</si>
  <si>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</si>
  <si>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</si>
  <si>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</si>
  <si>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</si>
  <si>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</si>
  <si>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</si>
  <si>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</si>
  <si>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</si>
  <si>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</si>
  <si>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</si>
  <si>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</si>
  <si>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</si>
  <si>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</si>
  <si>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</si>
  <si>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</si>
  <si>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</si>
  <si>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</si>
  <si>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</si>
  <si>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</si>
  <si>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</si>
  <si>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</si>
  <si>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</si>
  <si>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</si>
  <si>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</si>
  <si>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</si>
  <si>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</si>
  <si>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</si>
  <si>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</si>
  <si>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</si>
  <si>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</si>
  <si>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</si>
  <si>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</si>
  <si>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</si>
  <si>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</si>
  <si>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</si>
  <si>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</si>
  <si>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</si>
  <si>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</si>
  <si>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</si>
  <si>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</si>
  <si>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</si>
  <si>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</si>
  <si>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</si>
  <si>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</si>
  <si>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</si>
  <si>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</si>
  <si>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</si>
  <si>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</si>
  <si>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</si>
  <si>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</si>
  <si>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</si>
  <si>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</si>
  <si>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</si>
  <si>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</si>
  <si>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</si>
  <si>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</si>
  <si>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</si>
  <si>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</si>
  <si>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</si>
  <si>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</si>
  <si>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</si>
  <si>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</si>
  <si>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</si>
  <si>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</si>
  <si>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</si>
  <si>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</si>
  <si>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</si>
  <si>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</si>
  <si>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</si>
  <si>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</si>
  <si>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</si>
  <si>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</si>
  <si>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</si>
  <si>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</si>
  <si>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</si>
  <si>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</si>
  <si>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</si>
  <si>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</si>
  <si>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</si>
  <si>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</si>
  <si>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</si>
  <si>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</si>
  <si>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</si>
  <si>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</si>
  <si>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</si>
  <si>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</si>
  <si>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</si>
  <si>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</si>
  <si>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</si>
  <si>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</si>
  <si>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</si>
  <si>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</si>
  <si>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</si>
  <si>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</si>
  <si>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</si>
  <si>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</si>
  <si>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</si>
  <si>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</si>
  <si>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</si>
  <si>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</si>
  <si>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</si>
  <si>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</si>
  <si>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</si>
  <si>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</si>
  <si>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</si>
  <si>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</si>
  <si>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</si>
  <si>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</si>
  <si>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</si>
  <si>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</si>
  <si>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</si>
  <si>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</si>
  <si>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</si>
  <si>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</si>
  <si>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</si>
  <si>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</si>
  <si>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</si>
  <si>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</si>
  <si>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</si>
  <si>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</si>
  <si>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</si>
  <si>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</si>
  <si>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</si>
  <si>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</si>
  <si>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</si>
  <si>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</si>
  <si>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</si>
  <si>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</si>
  <si>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</si>
  <si>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</si>
  <si>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</si>
  <si>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</si>
  <si>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</si>
  <si>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</si>
  <si>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</si>
  <si>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</si>
  <si>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</si>
  <si>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</si>
  <si>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</si>
  <si>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</si>
  <si>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</si>
  <si>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</si>
  <si>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</si>
  <si>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</si>
  <si>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</si>
  <si>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</si>
  <si>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</si>
  <si>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</si>
  <si>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</si>
  <si>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</si>
  <si>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</si>
  <si>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</si>
  <si>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</si>
  <si>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</si>
  <si>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</si>
  <si>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</si>
  <si>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</si>
  <si>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</si>
  <si>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</si>
  <si>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</si>
  <si>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</si>
  <si>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</si>
  <si>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</si>
  <si>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</si>
  <si>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</si>
  <si>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</si>
  <si>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</si>
  <si>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</si>
  <si>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</si>
  <si>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</si>
  <si>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</si>
  <si>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</si>
  <si>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</si>
  <si>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</si>
  <si>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</si>
  <si>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</si>
  <si>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</si>
  <si>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</si>
  <si>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</si>
  <si>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</si>
  <si>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</si>
  <si>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</si>
  <si>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</si>
  <si>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</si>
  <si>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</si>
  <si>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</si>
  <si>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</si>
  <si>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</si>
  <si>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</si>
  <si>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</si>
  <si>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</si>
  <si>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</si>
  <si>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</si>
  <si>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</si>
  <si>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</si>
  <si>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</si>
  <si>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</si>
  <si>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</si>
  <si>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</si>
  <si>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</si>
  <si>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</si>
  <si>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</si>
  <si>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</si>
  <si>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</si>
  <si>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</si>
  <si>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</si>
  <si>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</si>
  <si>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</si>
  <si>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</si>
  <si>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</si>
  <si>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</si>
  <si>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</si>
  <si>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</si>
  <si>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</si>
  <si>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</si>
  <si>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</si>
  <si>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</si>
  <si>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</si>
  <si>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</si>
  <si>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</si>
  <si>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</si>
  <si>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</si>
  <si>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</si>
  <si>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</si>
  <si>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</si>
  <si>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</si>
  <si>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</si>
  <si>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</si>
  <si>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</si>
  <si>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</si>
  <si>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</si>
  <si>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</si>
  <si>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</si>
  <si>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</si>
  <si>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</si>
  <si>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</si>
  <si>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</si>
  <si>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</si>
  <si>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</si>
  <si>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</si>
  <si>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</si>
  <si>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</si>
  <si>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</si>
  <si>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</si>
  <si>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</si>
  <si>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</si>
  <si>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</si>
  <si>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</si>
  <si>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</si>
  <si>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</si>
  <si>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</si>
  <si>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</si>
  <si>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</si>
  <si>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</si>
  <si>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</si>
  <si>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</si>
  <si>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</si>
  <si>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</si>
  <si>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</si>
  <si>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</si>
  <si>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</si>
  <si>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</si>
  <si>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</si>
  <si>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</si>
  <si>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</si>
  <si>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</si>
  <si>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</si>
  <si>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</si>
  <si>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</si>
  <si>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</si>
  <si>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</si>
  <si>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</si>
  <si>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</si>
  <si>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</si>
  <si>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</si>
  <si>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</si>
  <si>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</si>
  <si>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</si>
  <si>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</si>
  <si>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</si>
  <si>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</si>
  <si>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</si>
  <si>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</si>
  <si>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</si>
  <si>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</si>
  <si>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</si>
  <si>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</si>
  <si>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</si>
  <si>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</si>
  <si>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</si>
  <si>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</si>
  <si>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</si>
  <si>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</si>
  <si>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</si>
  <si>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</si>
  <si>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</si>
  <si>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</si>
  <si>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</si>
  <si>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</si>
  <si>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</si>
  <si>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</si>
  <si>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</si>
  <si>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</si>
  <si>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</si>
  <si>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</si>
  <si>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</si>
  <si>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</si>
  <si>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</si>
  <si>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</si>
  <si>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</si>
  <si>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</si>
  <si>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</si>
  <si>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</si>
  <si>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</si>
  <si>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</si>
  <si>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</si>
  <si>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</si>
  <si>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</si>
  <si>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</si>
  <si>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</si>
  <si>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</si>
  <si>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</si>
  <si>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</si>
  <si>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</si>
  <si>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</si>
  <si>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</si>
  <si>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</si>
  <si>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</si>
  <si>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</si>
  <si>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</si>
  <si>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</si>
  <si>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</si>
  <si>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</si>
  <si>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</si>
  <si>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</si>
  <si>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</si>
  <si>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</si>
  <si>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</si>
  <si>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</si>
  <si>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</si>
  <si>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</si>
  <si>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</si>
  <si>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</si>
  <si>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</si>
  <si>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</si>
  <si>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</si>
  <si>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</si>
  <si>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</si>
  <si>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</si>
  <si>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</si>
  <si>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</si>
  <si>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</si>
  <si>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</si>
  <si>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</si>
  <si>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</si>
  <si>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</si>
  <si>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</si>
  <si>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</si>
  <si>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</si>
  <si>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</si>
  <si>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</si>
  <si>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</si>
  <si>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</si>
  <si>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</si>
  <si>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</si>
  <si>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</si>
  <si>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</si>
  <si>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</si>
  <si>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</si>
  <si>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</si>
  <si>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</si>
  <si>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</si>
  <si>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</si>
  <si>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</si>
  <si>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</si>
  <si>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</si>
  <si>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</si>
  <si>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</si>
  <si>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</si>
  <si>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</si>
  <si>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</si>
  <si>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</si>
  <si>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</si>
  <si>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</si>
  <si>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</si>
  <si>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</si>
  <si>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</si>
  <si>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</si>
  <si>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</si>
  <si>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</si>
  <si>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</si>
  <si>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</si>
  <si>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</si>
  <si>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</si>
  <si>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</si>
  <si>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</si>
  <si>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</si>
  <si>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</si>
  <si>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</si>
  <si>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</si>
  <si>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</si>
  <si>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</si>
  <si>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</si>
  <si>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</si>
  <si>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</si>
  <si>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</si>
  <si>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</si>
  <si>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</si>
  <si>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</si>
  <si>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</si>
  <si>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</si>
  <si>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</si>
  <si>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</si>
  <si>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</si>
  <si>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</si>
  <si>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</si>
  <si>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</si>
  <si>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</si>
  <si>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</si>
  <si>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</si>
  <si>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</si>
  <si>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</si>
  <si>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</si>
  <si>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</si>
  <si>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</si>
  <si>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</si>
  <si>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</si>
  <si>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</si>
  <si>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</si>
  <si>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</si>
  <si>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</si>
  <si>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</si>
  <si>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</si>
  <si>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</si>
  <si>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</si>
  <si>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</si>
  <si>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</si>
  <si>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</si>
  <si>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</si>
  <si>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</si>
  <si>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</si>
  <si>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</si>
  <si>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</si>
  <si>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</si>
  <si>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</si>
  <si>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</si>
  <si>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</si>
  <si>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</si>
  <si>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</si>
  <si>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</si>
  <si>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</si>
  <si>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</si>
  <si>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</si>
  <si>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</si>
  <si>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</si>
  <si>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</si>
  <si>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</si>
  <si>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</si>
  <si>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</si>
  <si>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</si>
  <si>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</si>
  <si>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</si>
  <si>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</si>
  <si>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</si>
  <si>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</si>
  <si>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</si>
  <si>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</si>
  <si>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</si>
  <si>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</si>
  <si>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</si>
  <si>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</si>
  <si>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</si>
  <si>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</si>
  <si>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</si>
  <si>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</si>
  <si>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</si>
  <si>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</si>
  <si>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</si>
  <si>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</si>
  <si>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</si>
  <si>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</si>
  <si>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</si>
  <si>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</si>
  <si>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</si>
  <si>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</si>
  <si>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</si>
  <si>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</si>
  <si>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</si>
  <si>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</si>
  <si>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</si>
  <si>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</si>
  <si>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</si>
  <si>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</si>
  <si>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</si>
  <si>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</si>
  <si>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</si>
  <si>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</si>
  <si>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</si>
  <si>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</si>
  <si>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</si>
  <si>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</si>
  <si>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</si>
  <si>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</si>
  <si>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</si>
  <si>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</si>
  <si>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</si>
  <si>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</si>
  <si>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</si>
  <si>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</si>
  <si>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</si>
  <si>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</si>
  <si>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</si>
  <si>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</si>
  <si>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</si>
  <si>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</si>
  <si>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</si>
  <si>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</si>
  <si>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</si>
  <si>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</si>
  <si>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</si>
  <si>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</si>
  <si>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</si>
  <si>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</si>
  <si>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</si>
  <si>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</si>
  <si>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</si>
  <si>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</si>
  <si>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</si>
  <si>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</si>
  <si>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</si>
  <si>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</si>
  <si>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</si>
  <si>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</si>
  <si>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</si>
  <si>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</si>
  <si>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</si>
  <si>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</si>
  <si>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</si>
  <si>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</si>
  <si>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</si>
  <si>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</si>
  <si>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</si>
  <si>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</si>
  <si>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</si>
  <si>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</si>
  <si>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</si>
  <si>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</si>
  <si>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</si>
  <si>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</si>
  <si>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</si>
  <si>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</si>
  <si>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</si>
  <si>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</si>
  <si>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</si>
  <si>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</si>
  <si>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</si>
  <si>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</si>
  <si>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</si>
  <si>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</si>
  <si>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</si>
  <si>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</si>
  <si>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</si>
  <si>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</si>
  <si>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</si>
  <si>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</si>
  <si>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</si>
  <si>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</si>
  <si>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</si>
  <si>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</si>
  <si>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</si>
  <si>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</si>
  <si>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</si>
  <si>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</si>
  <si>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</si>
  <si>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</si>
  <si>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</si>
  <si>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</si>
  <si>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</si>
  <si>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</si>
  <si>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</si>
  <si>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</si>
  <si>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</si>
  <si>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</si>
  <si>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</si>
  <si>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</si>
  <si>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</si>
  <si>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</si>
  <si>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</si>
  <si>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</si>
  <si>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</si>
  <si>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</si>
  <si>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</si>
  <si>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</si>
  <si>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</si>
  <si>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</si>
  <si>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</si>
  <si>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</si>
  <si>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</si>
  <si>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</si>
  <si>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</si>
  <si>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</si>
  <si>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</si>
  <si>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</si>
  <si>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</si>
  <si>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</si>
  <si>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</si>
  <si>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</si>
  <si>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</si>
  <si>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</si>
  <si>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</si>
  <si>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</si>
  <si>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</si>
  <si>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</si>
  <si>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</si>
  <si>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</si>
  <si>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</si>
  <si>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</si>
  <si>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</si>
  <si>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</si>
  <si>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</si>
  <si>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</si>
  <si>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</si>
  <si>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</si>
  <si>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</si>
  <si>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</si>
  <si>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</si>
  <si>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</si>
  <si>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</si>
  <si>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</si>
  <si>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</si>
  <si>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</si>
  <si>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</si>
  <si>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</si>
  <si>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</si>
  <si>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</si>
  <si>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</si>
  <si>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</si>
  <si>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</si>
  <si>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</si>
  <si>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</si>
  <si>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</si>
  <si>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</si>
  <si>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</si>
  <si>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</si>
  <si>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</si>
  <si>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</si>
  <si>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</si>
  <si>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</si>
  <si>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</si>
  <si>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</si>
  <si>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</si>
  <si>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</si>
  <si>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</si>
  <si>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</si>
  <si>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</si>
  <si>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</si>
  <si>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</si>
  <si>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</si>
  <si>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</si>
  <si>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</si>
  <si>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</si>
  <si>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</si>
  <si>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</si>
  <si>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</si>
  <si>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</si>
  <si>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</si>
  <si>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</si>
  <si>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</si>
  <si>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</si>
  <si>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</si>
  <si>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</si>
  <si>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</si>
  <si>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</si>
  <si>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</si>
  <si>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</si>
  <si>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</si>
  <si>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</si>
  <si>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</si>
  <si>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</si>
  <si>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</si>
  <si>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</si>
  <si>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</si>
  <si>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</si>
  <si>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</si>
  <si>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</si>
  <si>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</si>
  <si>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</si>
  <si>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</si>
  <si>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</si>
  <si>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</si>
  <si>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</si>
  <si>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</si>
  <si>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</si>
  <si>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</si>
  <si>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</si>
  <si>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</si>
  <si>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</si>
  <si>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</si>
  <si>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</si>
  <si>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</si>
  <si>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</si>
  <si>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</si>
  <si>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</si>
  <si>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</si>
  <si>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</si>
  <si>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</si>
  <si>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</si>
  <si>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</si>
  <si>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</si>
  <si>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</si>
  <si>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</si>
  <si>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</si>
  <si>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</si>
  <si>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</si>
  <si>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</si>
  <si>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</si>
  <si>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</si>
  <si>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</si>
  <si>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</si>
  <si>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</si>
  <si>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</si>
  <si>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</si>
  <si>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</si>
  <si>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</si>
  <si>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</si>
  <si>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</si>
  <si>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</si>
  <si>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</si>
  <si>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</si>
  <si>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</si>
  <si>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</si>
  <si>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</si>
  <si>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</si>
  <si>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</si>
  <si>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</si>
  <si>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</si>
  <si>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</si>
  <si>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</si>
  <si>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</si>
  <si>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</si>
  <si>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</si>
  <si>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</si>
  <si>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</si>
  <si>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</si>
  <si>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</si>
  <si>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</si>
  <si>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</si>
  <si>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</si>
  <si>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</si>
  <si>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</si>
  <si>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</si>
  <si>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</si>
  <si>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</si>
  <si>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</si>
  <si>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</si>
  <si>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</si>
  <si>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</si>
  <si>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</si>
  <si>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</si>
  <si>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</si>
  <si>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</si>
  <si>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</si>
  <si>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</si>
  <si>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</si>
  <si>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</si>
  <si>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</si>
  <si>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</si>
  <si>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</si>
  <si>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</si>
  <si>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</si>
  <si>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</si>
  <si>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</si>
  <si>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</si>
  <si>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</si>
  <si>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</si>
  <si>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</si>
  <si>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</si>
  <si>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</si>
  <si>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</si>
  <si>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</si>
  <si>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</si>
  <si>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</si>
  <si>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</si>
  <si>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</si>
  <si>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</si>
  <si>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</si>
  <si>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</si>
  <si>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</si>
  <si>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</si>
  <si>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</si>
  <si>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</si>
  <si>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</si>
  <si>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</si>
  <si>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</si>
  <si>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</si>
  <si>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</si>
  <si>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</si>
  <si>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</si>
  <si>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</si>
  <si>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</si>
  <si>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</si>
  <si>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</si>
  <si>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</si>
  <si>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</si>
  <si>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</si>
  <si>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</si>
  <si>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</si>
  <si>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</si>
  <si>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</si>
  <si>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</si>
  <si>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</si>
  <si>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</si>
  <si>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</si>
  <si>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</si>
  <si>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</si>
  <si>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</si>
  <si>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</si>
  <si>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</si>
  <si>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</si>
  <si>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</si>
  <si>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</si>
  <si>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</si>
  <si>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</si>
  <si>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</si>
  <si>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</si>
  <si>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</si>
  <si>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</si>
  <si>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</si>
  <si>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</si>
  <si>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</si>
  <si>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</si>
  <si>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</si>
  <si>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</si>
  <si>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</si>
  <si>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</si>
  <si>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</si>
  <si>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</si>
  <si>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</si>
  <si>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</si>
  <si>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</si>
  <si>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</si>
  <si>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</si>
  <si>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</si>
  <si>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</si>
  <si>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</si>
  <si>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</si>
  <si>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</si>
  <si>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</si>
  <si>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</si>
  <si>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</si>
  <si>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</si>
  <si>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</si>
  <si>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</si>
  <si>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</si>
  <si>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</si>
  <si>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</si>
  <si>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</si>
  <si>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</si>
  <si>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</si>
  <si>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</si>
  <si>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</si>
  <si>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</si>
  <si>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</si>
  <si>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</si>
  <si>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</si>
  <si>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</si>
  <si>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</si>
  <si>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</si>
  <si>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</si>
  <si>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</si>
  <si>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</si>
  <si>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</si>
  <si>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</si>
  <si>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</si>
  <si>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</si>
  <si>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</si>
  <si>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</si>
  <si>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</si>
  <si>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</si>
  <si>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</si>
  <si>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</si>
  <si>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</si>
  <si>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</si>
  <si>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</si>
  <si>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</si>
  <si>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</si>
  <si>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</si>
  <si>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</si>
  <si>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</si>
  <si>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</si>
  <si>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</si>
  <si>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</si>
  <si>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</si>
  <si>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</si>
  <si>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</si>
  <si>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</si>
  <si>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</si>
  <si>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</si>
  <si>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</si>
  <si>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</si>
  <si>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</si>
  <si>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</si>
  <si>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</si>
  <si>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</si>
  <si>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</si>
  <si>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</si>
  <si>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</si>
  <si>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</si>
  <si>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</si>
  <si>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</si>
  <si>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</si>
  <si>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</si>
  <si>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</si>
  <si>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</si>
  <si>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</si>
  <si>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</si>
  <si>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</si>
  <si>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</si>
  <si>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</si>
  <si>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</si>
  <si>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</si>
  <si>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</si>
  <si>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</si>
  <si>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</si>
  <si>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</si>
  <si>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</si>
  <si>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</si>
  <si>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</si>
  <si>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</si>
  <si>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</si>
  <si>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</si>
  <si>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</si>
  <si>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</si>
  <si>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</si>
  <si>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</si>
  <si>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</si>
  <si>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</si>
  <si>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</si>
  <si>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</si>
  <si>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</si>
  <si>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</si>
  <si>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</si>
  <si>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</si>
  <si>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</si>
  <si>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</si>
  <si>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</si>
  <si>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</si>
  <si>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</si>
  <si>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</si>
  <si>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</si>
  <si>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</si>
  <si>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</si>
  <si>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</si>
  <si>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</si>
  <si>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</si>
  <si>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</si>
  <si>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</si>
  <si>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</si>
  <si>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</si>
  <si>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</si>
  <si>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</si>
  <si>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</si>
  <si>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</si>
  <si>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</si>
  <si>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</si>
  <si>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</si>
  <si>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</si>
  <si>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</si>
  <si>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</si>
  <si>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</si>
  <si>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</si>
  <si>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</si>
  <si>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</si>
  <si>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</si>
  <si>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</si>
  <si>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</si>
  <si>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</si>
  <si>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</si>
  <si>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</si>
  <si>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</si>
  <si>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</si>
  <si>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</si>
  <si>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</si>
  <si>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</si>
  <si>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</si>
  <si>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</si>
  <si>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</si>
  <si>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</si>
  <si>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</si>
  <si>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</si>
  <si>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</si>
  <si>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</si>
  <si>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</si>
  <si>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</si>
  <si>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</si>
  <si>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</si>
  <si>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</si>
  <si>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</si>
  <si>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</si>
  <si>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</si>
  <si>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</si>
  <si>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</si>
  <si>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</si>
  <si>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</si>
  <si>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</si>
  <si>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</si>
  <si>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</si>
  <si>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</si>
  <si>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</si>
  <si>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</si>
  <si>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</si>
  <si>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</si>
  <si>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</si>
  <si>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</si>
  <si>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</si>
  <si>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</si>
  <si>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</si>
  <si>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</si>
  <si>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</si>
  <si>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</si>
  <si>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</si>
  <si>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</si>
  <si>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</si>
  <si>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</si>
  <si>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</si>
  <si>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</si>
  <si>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</si>
  <si>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</si>
  <si>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</si>
  <si>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</si>
  <si>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</si>
  <si>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</si>
  <si>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</si>
  <si>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</si>
  <si>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</si>
  <si>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</si>
  <si>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</si>
  <si>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</si>
  <si>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</si>
  <si>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</si>
  <si>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</si>
  <si>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</si>
  <si>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</si>
  <si>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</si>
  <si>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</si>
  <si>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</si>
  <si>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</si>
  <si>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</si>
  <si>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</si>
  <si>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</si>
  <si>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</si>
  <si>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</si>
  <si>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</si>
  <si>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</si>
  <si>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</si>
  <si>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</si>
  <si>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</si>
  <si>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</si>
  <si>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</si>
  <si>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</si>
  <si>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</si>
  <si>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</si>
  <si>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</si>
  <si>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</si>
  <si>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</si>
  <si>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</si>
  <si>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</si>
  <si>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</si>
  <si>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</si>
  <si>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</si>
  <si>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</si>
  <si>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</si>
  <si>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</si>
  <si>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</si>
  <si>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</si>
  <si>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</si>
  <si>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</si>
  <si>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</si>
  <si>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</si>
  <si>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</si>
  <si>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</si>
  <si>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</si>
  <si>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</si>
  <si>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</si>
  <si>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</si>
  <si>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</si>
  <si>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</si>
  <si>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</si>
  <si>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</si>
  <si>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</si>
  <si>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</si>
  <si>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</si>
  <si>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</si>
  <si>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</si>
  <si>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</si>
  <si>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</si>
  <si>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</si>
  <si>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</si>
  <si>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</si>
  <si>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</si>
  <si>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</si>
  <si>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</si>
  <si>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</si>
  <si>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</si>
  <si>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</si>
  <si>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</si>
  <si>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</si>
  <si>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</si>
  <si>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</si>
  <si>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</si>
  <si>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</si>
  <si>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</si>
  <si>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</si>
  <si>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</si>
  <si>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</si>
  <si>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</si>
  <si>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</si>
  <si>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</si>
  <si>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</si>
  <si>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</si>
  <si>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</si>
  <si>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</si>
  <si>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</si>
  <si>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</si>
  <si>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</si>
  <si>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</si>
  <si>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</si>
  <si>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</si>
  <si>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</si>
  <si>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</si>
  <si>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</si>
  <si>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</si>
  <si>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</si>
  <si>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</si>
  <si>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</si>
  <si>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</si>
  <si>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</si>
  <si>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</si>
  <si>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</si>
  <si>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</si>
  <si>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</si>
  <si>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</si>
  <si>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</si>
  <si>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</si>
  <si>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</si>
  <si>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</si>
  <si>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</si>
  <si>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</si>
  <si>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</si>
  <si>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</si>
  <si>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</si>
  <si>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</si>
  <si>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</si>
  <si>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</si>
  <si>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</si>
  <si>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</si>
  <si>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</si>
  <si>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</si>
  <si>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</si>
  <si>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</si>
  <si>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</si>
  <si>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</si>
  <si>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</si>
  <si>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</si>
  <si>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</si>
  <si>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</si>
  <si>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</si>
  <si>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</si>
  <si>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</si>
  <si>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</si>
  <si>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</si>
  <si>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</si>
  <si>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</si>
  <si>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</si>
  <si>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</si>
  <si>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</si>
  <si>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</si>
  <si>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</si>
  <si>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</si>
  <si>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</si>
  <si>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</si>
  <si>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</si>
  <si>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</si>
  <si>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</si>
  <si>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</si>
  <si>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</si>
  <si>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</si>
  <si>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</si>
  <si>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</si>
  <si>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</si>
  <si>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</si>
  <si>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</si>
  <si>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</si>
  <si>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</si>
  <si>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</si>
  <si>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</si>
  <si>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</si>
  <si>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</si>
  <si>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</si>
  <si>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</si>
  <si>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</si>
  <si>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</si>
  <si>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</si>
  <si>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</si>
  <si>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</si>
  <si>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</si>
  <si>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</si>
  <si>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</si>
  <si>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</si>
  <si>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</si>
  <si>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</si>
  <si>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</si>
  <si>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</si>
  <si>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</si>
  <si>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</si>
  <si>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</si>
  <si>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</si>
  <si>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</si>
  <si>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</si>
  <si>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</si>
  <si>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</si>
  <si>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</si>
  <si>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</si>
  <si>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</si>
  <si>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</si>
  <si>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</si>
  <si>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</si>
  <si>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</si>
  <si>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</si>
  <si>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</si>
  <si>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</si>
  <si>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</si>
  <si>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</si>
  <si>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</si>
  <si>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</si>
  <si>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</si>
  <si>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</si>
  <si>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</si>
  <si>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</si>
  <si>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</si>
  <si>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</si>
  <si>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</si>
  <si>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</si>
  <si>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</si>
  <si>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</si>
  <si>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</si>
  <si>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</si>
  <si>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</si>
  <si>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</si>
  <si>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</si>
  <si>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</si>
  <si>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</si>
  <si>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</si>
  <si>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</si>
  <si>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</si>
  <si>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</si>
  <si>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</si>
  <si>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</si>
  <si>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</si>
  <si>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</si>
  <si>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</si>
  <si>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</si>
  <si>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</si>
  <si>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</si>
  <si>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</si>
  <si>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</si>
  <si>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</si>
  <si>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</si>
  <si>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</si>
  <si>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</si>
  <si>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</si>
  <si>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</si>
  <si>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</si>
  <si>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</si>
  <si>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</si>
  <si>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</si>
  <si>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</si>
  <si>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</si>
  <si>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</si>
  <si>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</si>
  <si>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</si>
  <si>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</si>
  <si>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</si>
  <si>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</si>
  <si>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</si>
  <si>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</si>
  <si>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</si>
  <si>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</si>
  <si>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</si>
  <si>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</si>
  <si>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</si>
  <si>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</si>
  <si>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</si>
  <si>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</si>
  <si>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</si>
  <si>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</si>
  <si>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</si>
  <si>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</si>
  <si>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</si>
  <si>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</si>
  <si>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</si>
  <si>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</si>
  <si>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</si>
  <si>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</si>
  <si>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</si>
  <si>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</si>
  <si>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</si>
  <si>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</si>
  <si>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</si>
  <si>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</si>
  <si>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</si>
  <si>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</si>
  <si>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</si>
  <si>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</si>
  <si>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</si>
  <si>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</si>
  <si>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</si>
  <si>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</si>
  <si>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</si>
  <si>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</si>
  <si>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</si>
  <si>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</si>
  <si>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</si>
  <si>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</si>
  <si>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</si>
  <si>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</si>
  <si>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</si>
  <si>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</si>
  <si>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</si>
  <si>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</si>
  <si>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</si>
  <si>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</si>
  <si>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</si>
  <si>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</si>
  <si>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</si>
  <si>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</si>
  <si>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</si>
  <si>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</si>
  <si>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</si>
  <si>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</si>
  <si>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</si>
  <si>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</si>
  <si>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</si>
  <si>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</si>
  <si>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</si>
  <si>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</si>
  <si>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</si>
  <si>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</si>
  <si>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</si>
  <si>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</si>
  <si>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</si>
  <si>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</si>
  <si>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</si>
  <si>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</si>
  <si>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</si>
  <si>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</si>
  <si>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</si>
  <si>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</si>
  <si>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</si>
  <si>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</si>
  <si>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</si>
  <si>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</si>
  <si>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</si>
  <si>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</si>
  <si>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</si>
  <si>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</si>
  <si>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</si>
  <si>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</si>
  <si>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</si>
  <si>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</si>
  <si>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</si>
  <si>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</si>
  <si>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</si>
  <si>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</si>
  <si>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</si>
  <si>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</si>
  <si>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</si>
  <si>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</si>
  <si>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</si>
  <si>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</si>
  <si>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</si>
  <si>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</si>
  <si>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</si>
  <si>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</si>
  <si>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</si>
  <si>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</si>
  <si>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</si>
  <si>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</si>
  <si>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</si>
  <si>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</si>
  <si>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</si>
  <si>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</si>
  <si>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</si>
  <si>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</si>
  <si>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</si>
  <si>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</si>
  <si>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</si>
  <si>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</si>
  <si>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</si>
  <si>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</si>
  <si>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</si>
  <si>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</si>
  <si>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</si>
  <si>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</si>
  <si>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</si>
  <si>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</si>
  <si>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</si>
  <si>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</si>
  <si>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</si>
  <si>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</si>
  <si>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</si>
  <si>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</si>
  <si>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</si>
  <si>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</si>
  <si>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</si>
  <si>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</si>
  <si>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</si>
  <si>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</si>
  <si>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</si>
  <si>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</si>
  <si>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</si>
  <si>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</si>
  <si>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</si>
  <si>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</si>
  <si>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</si>
  <si>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</si>
  <si>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</si>
  <si>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</si>
  <si>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</si>
  <si>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</si>
  <si>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</si>
  <si>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</si>
  <si>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</si>
  <si>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</si>
  <si>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</si>
  <si>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</si>
  <si>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</si>
  <si>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</si>
  <si>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</si>
  <si>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</si>
  <si>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</si>
  <si>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</si>
  <si>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</si>
  <si>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</si>
  <si>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</si>
  <si>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</si>
  <si>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</si>
  <si>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</si>
  <si>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</si>
  <si>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</si>
  <si>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</si>
  <si>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</si>
  <si>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</si>
  <si>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</si>
  <si>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</si>
  <si>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</si>
  <si>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</si>
  <si>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</si>
  <si>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</si>
  <si>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</si>
  <si>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</si>
  <si>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</si>
  <si>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</si>
  <si>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</si>
  <si>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</si>
  <si>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</si>
  <si>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</si>
  <si>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</si>
  <si>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</si>
  <si>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</si>
  <si>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</si>
  <si>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</si>
  <si>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</si>
  <si>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</si>
  <si>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</si>
  <si>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</si>
  <si>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</si>
  <si>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</si>
  <si>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</si>
  <si>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</si>
  <si>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</si>
  <si>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</si>
  <si>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</si>
  <si>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</si>
  <si>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</si>
  <si>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</si>
  <si>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</si>
  <si>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</si>
  <si>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</si>
  <si>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</si>
  <si>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</si>
  <si>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</si>
  <si>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</si>
  <si>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</si>
  <si>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</si>
  <si>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</si>
  <si>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</si>
  <si>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</si>
  <si>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</si>
  <si>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</si>
  <si>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</si>
  <si>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</si>
  <si>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</si>
  <si>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</si>
  <si>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</si>
  <si>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</si>
  <si>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</si>
  <si>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</si>
  <si>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</si>
  <si>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</si>
  <si>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</si>
  <si>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</si>
  <si>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</si>
  <si>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</si>
  <si>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</si>
  <si>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</si>
  <si>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</si>
  <si>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</si>
  <si>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</si>
  <si>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</si>
  <si>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</si>
  <si>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</si>
  <si>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</si>
  <si>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</si>
  <si>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</si>
  <si>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</si>
  <si>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</si>
  <si>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</si>
  <si>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</si>
  <si>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</si>
  <si>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</si>
  <si>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</si>
  <si>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</si>
  <si>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</si>
  <si>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</si>
  <si>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</si>
  <si>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</si>
  <si>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</si>
  <si>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</si>
  <si>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</si>
  <si>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</si>
  <si>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</si>
  <si>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</si>
  <si>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</si>
  <si>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</si>
  <si>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</si>
  <si>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</si>
  <si>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</si>
  <si>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</si>
  <si>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</si>
  <si>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</si>
  <si>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</si>
  <si>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</si>
  <si>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</si>
  <si>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</si>
  <si>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</si>
  <si>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</si>
  <si>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</si>
  <si>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</si>
  <si>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</si>
  <si>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</si>
  <si>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</si>
  <si>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</si>
  <si>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</si>
  <si>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</si>
  <si>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</si>
  <si>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</si>
  <si>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</si>
  <si>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</si>
  <si>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</si>
  <si>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</si>
  <si>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</si>
  <si>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</si>
  <si>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</si>
  <si>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</si>
  <si>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</si>
  <si>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</si>
  <si>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</si>
  <si>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</si>
  <si>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</si>
  <si>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</si>
  <si>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</si>
  <si>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</si>
  <si>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</si>
  <si>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</si>
  <si>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</si>
  <si>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</si>
  <si>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</si>
  <si>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</si>
  <si>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</si>
  <si>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</si>
  <si>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</si>
  <si>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</si>
  <si>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</si>
  <si>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</si>
  <si>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</si>
  <si>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</si>
  <si>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</si>
  <si>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</si>
  <si>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</si>
  <si>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</si>
  <si>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</si>
  <si>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</si>
  <si>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</si>
  <si>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</si>
  <si>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</si>
  <si>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</si>
  <si>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</si>
  <si>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</si>
  <si>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</si>
  <si>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</si>
  <si>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</si>
  <si>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</si>
  <si>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</si>
  <si>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</si>
  <si>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</si>
  <si>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</si>
  <si>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</si>
  <si>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</si>
  <si>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</si>
  <si>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</si>
  <si>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</si>
  <si>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</si>
  <si>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</si>
  <si>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</si>
  <si>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</si>
  <si>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</si>
  <si>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</si>
  <si>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</si>
  <si>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</si>
  <si>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</si>
  <si>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</si>
  <si>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</si>
  <si>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</si>
  <si>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</si>
  <si>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</si>
  <si>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</si>
  <si>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</si>
  <si>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</si>
  <si>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</si>
  <si>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</si>
  <si>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</si>
  <si>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</si>
  <si>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</si>
  <si>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</si>
  <si>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</si>
  <si>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</si>
  <si>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</si>
  <si>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</si>
  <si>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</si>
  <si>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</si>
  <si>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</si>
  <si>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</si>
  <si>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</si>
  <si>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</si>
  <si>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</si>
  <si>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</si>
  <si>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</si>
  <si>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</si>
  <si>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</si>
  <si>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</si>
  <si>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</si>
  <si>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</si>
  <si>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</si>
  <si>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</si>
  <si>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</si>
  <si>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</si>
  <si>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</si>
  <si>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</si>
  <si>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</si>
  <si>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</si>
  <si>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</si>
  <si>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</si>
  <si>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</si>
  <si>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</si>
  <si>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</si>
  <si>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</si>
  <si>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</si>
  <si>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</si>
  <si>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</si>
  <si>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</si>
  <si>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</si>
  <si>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</si>
  <si>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</si>
  <si>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</si>
  <si>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</si>
  <si>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</si>
  <si>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</si>
  <si>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</si>
  <si>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</si>
  <si>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</si>
  <si>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</si>
  <si>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</si>
  <si>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</si>
  <si>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</si>
  <si>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</si>
  <si>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</si>
  <si>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</si>
  <si>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</si>
  <si>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</si>
  <si>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</si>
  <si>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</si>
  <si>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</si>
  <si>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</si>
  <si>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</si>
  <si>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</si>
  <si>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</si>
  <si>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</si>
  <si>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</si>
  <si>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</si>
  <si>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</si>
  <si>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</si>
  <si>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</si>
  <si>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</si>
  <si>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</si>
  <si>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</si>
  <si>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</si>
  <si>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</si>
  <si>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</si>
  <si>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</si>
  <si>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</si>
  <si>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</si>
  <si>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</si>
  <si>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</si>
  <si>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</si>
  <si>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</si>
  <si>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</si>
  <si>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</si>
  <si>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</si>
  <si>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</si>
  <si>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</si>
  <si>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</si>
  <si>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</si>
  <si>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</si>
  <si>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</si>
  <si>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</si>
  <si>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</si>
  <si>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</si>
  <si>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</si>
  <si>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</si>
  <si>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</si>
  <si>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</si>
  <si>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</si>
  <si>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</si>
  <si>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</si>
  <si>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</si>
  <si>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</si>
  <si>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</si>
  <si>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</si>
  <si>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</si>
  <si>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</si>
  <si>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</si>
  <si>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</si>
  <si>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</si>
  <si>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</si>
  <si>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</si>
  <si>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</si>
  <si>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</si>
  <si>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</si>
  <si>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</si>
  <si>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</si>
  <si>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</si>
  <si>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</si>
  <si>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</si>
  <si>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</si>
  <si>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</si>
  <si>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</si>
  <si>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</si>
  <si>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</si>
  <si>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</si>
  <si>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</si>
  <si>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</si>
  <si>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</si>
  <si>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</si>
  <si>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</si>
  <si>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</si>
  <si>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</si>
  <si>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</si>
  <si>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</si>
  <si>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</si>
  <si>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</si>
  <si>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</si>
  <si>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</si>
  <si>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</si>
  <si>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</si>
  <si>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</si>
  <si>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</si>
  <si>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</si>
  <si>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</si>
  <si>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</si>
  <si>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</si>
  <si>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</si>
  <si>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</si>
  <si>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</si>
  <si>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</si>
  <si>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</si>
  <si>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</si>
  <si>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</si>
  <si>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</si>
  <si>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</si>
  <si>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</si>
  <si>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</si>
  <si>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</si>
  <si>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</si>
  <si>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</si>
  <si>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</si>
  <si>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</si>
  <si>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</si>
  <si>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</si>
  <si>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</si>
  <si>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</si>
  <si>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</si>
  <si>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</si>
  <si>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</si>
  <si>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</si>
  <si>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</si>
  <si>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</si>
  <si>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</si>
  <si>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</si>
  <si>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</si>
  <si>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</si>
  <si>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</si>
  <si>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</si>
  <si>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</si>
  <si>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</si>
  <si>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</si>
  <si>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</si>
  <si>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</si>
  <si>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</si>
  <si>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</si>
  <si>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</si>
  <si>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</si>
  <si>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</si>
  <si>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</si>
  <si>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</si>
  <si>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</si>
  <si>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</si>
  <si>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</si>
  <si>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</si>
  <si>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</si>
  <si>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</si>
  <si>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</si>
  <si>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</si>
  <si>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</si>
  <si>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</si>
  <si>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</si>
  <si>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</si>
  <si>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</si>
  <si>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</si>
  <si>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</si>
  <si>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</si>
  <si>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</si>
  <si>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</si>
  <si>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</si>
  <si>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</si>
  <si>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</si>
  <si>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</si>
  <si>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</si>
  <si>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</si>
  <si>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</si>
  <si>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</si>
  <si>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</si>
  <si>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</si>
  <si>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</si>
  <si>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</si>
  <si>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</si>
  <si>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</si>
  <si>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</si>
  <si>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</si>
  <si>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</si>
  <si>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</si>
  <si>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</si>
  <si>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</si>
  <si>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</si>
  <si>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</si>
  <si>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</si>
  <si>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</si>
  <si>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</si>
  <si>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</si>
  <si>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</si>
  <si>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</si>
  <si>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</si>
  <si>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</si>
  <si>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</si>
  <si>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</si>
  <si>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</si>
  <si>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</si>
  <si>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</si>
  <si>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</si>
  <si>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</si>
  <si>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</si>
  <si>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</si>
  <si>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</si>
  <si>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</si>
  <si>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</si>
  <si>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</si>
  <si>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</si>
  <si>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</si>
  <si>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</si>
  <si>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</si>
  <si>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</si>
  <si>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</si>
  <si>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</si>
  <si>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</si>
  <si>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</si>
  <si>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</si>
  <si>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</si>
  <si>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</si>
  <si>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</si>
  <si>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</si>
  <si>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</si>
  <si>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</si>
  <si>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</si>
  <si>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</si>
  <si>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</si>
  <si>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</si>
  <si>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</si>
  <si>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</si>
  <si>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</si>
  <si>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</si>
  <si>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</si>
  <si>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</si>
  <si>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</si>
  <si>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</si>
  <si>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</si>
  <si>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</si>
  <si>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</si>
  <si>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</si>
  <si>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</si>
  <si>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</si>
  <si>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</si>
  <si>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</si>
  <si>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</si>
  <si>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</si>
  <si>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</si>
  <si>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</si>
  <si>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</si>
  <si>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</si>
  <si>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</si>
  <si>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</si>
  <si>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</si>
  <si>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</si>
  <si>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</si>
  <si>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</si>
  <si>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</si>
  <si>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</si>
  <si>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</si>
  <si>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</si>
  <si>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</si>
  <si>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</si>
  <si>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</si>
  <si>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</si>
  <si>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</si>
  <si>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</si>
  <si>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</si>
  <si>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</si>
  <si>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</si>
  <si>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</si>
  <si>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</si>
  <si>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</si>
  <si>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</si>
  <si>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</si>
  <si>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</si>
  <si>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</si>
  <si>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</si>
  <si>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</si>
  <si>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</si>
  <si>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</si>
  <si>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</si>
  <si>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</si>
  <si>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</si>
  <si>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</si>
  <si>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</si>
  <si>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</si>
  <si>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</si>
  <si>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</si>
  <si>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</si>
  <si>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</si>
  <si>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</si>
  <si>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</si>
  <si>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</si>
  <si>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</si>
  <si>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</si>
  <si>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</si>
  <si>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</si>
  <si>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</si>
  <si>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</si>
  <si>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</si>
  <si>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</si>
  <si>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</si>
  <si>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</si>
  <si>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</si>
  <si>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</si>
  <si>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</si>
  <si>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</si>
  <si>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</si>
  <si>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</si>
  <si>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</si>
  <si>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</si>
  <si>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</si>
  <si>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</si>
  <si>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</si>
  <si>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</si>
  <si>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</si>
  <si>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</si>
  <si>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</si>
  <si>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</si>
  <si>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</si>
  <si>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</si>
  <si>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</si>
  <si>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</si>
  <si>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</si>
  <si>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</si>
  <si>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</si>
  <si>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</si>
  <si>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</si>
  <si>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</si>
  <si>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</si>
  <si>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</si>
  <si>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</si>
  <si>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</si>
  <si>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</si>
  <si>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</si>
  <si>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</si>
  <si>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</si>
  <si>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</si>
  <si>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</si>
  <si>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</si>
  <si>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</si>
  <si>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</si>
  <si>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</si>
  <si>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</si>
  <si>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</si>
  <si>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</si>
  <si>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</si>
  <si>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</si>
  <si>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</si>
  <si>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</si>
  <si>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</si>
  <si>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</si>
  <si>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</si>
  <si>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</si>
  <si>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</si>
  <si>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</si>
  <si>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</si>
  <si>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</si>
  <si>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</si>
  <si>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</si>
  <si>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</si>
  <si>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</si>
  <si>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</si>
  <si>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</si>
  <si>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</si>
  <si>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</si>
  <si>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</si>
  <si>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</si>
  <si>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</si>
  <si>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</si>
  <si>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</si>
  <si>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</si>
  <si>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</si>
  <si>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</si>
  <si>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</si>
  <si>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</si>
  <si>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</si>
  <si>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</si>
  <si>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</si>
  <si>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</si>
  <si>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</si>
  <si>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</si>
  <si>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</si>
  <si>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</si>
  <si>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</si>
  <si>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</si>
  <si>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</si>
  <si>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</si>
  <si>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</si>
  <si>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</si>
  <si>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</si>
  <si>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</si>
  <si>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</si>
  <si>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</si>
  <si>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</si>
  <si>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</si>
  <si>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</si>
  <si>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</si>
  <si>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</si>
  <si>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</si>
  <si>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</si>
  <si>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</si>
  <si>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</si>
  <si>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</si>
  <si>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</si>
  <si>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</si>
  <si>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</si>
  <si>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</si>
  <si>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</si>
  <si>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</si>
  <si>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</si>
  <si>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</si>
  <si>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</si>
  <si>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</si>
  <si>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</si>
  <si>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</si>
  <si>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</si>
  <si>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</si>
  <si>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</si>
  <si>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</si>
  <si>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</si>
  <si>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</si>
  <si>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</si>
  <si>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</si>
  <si>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</si>
  <si>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</si>
  <si>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</si>
  <si>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</si>
  <si>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</si>
  <si>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</si>
  <si>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</si>
  <si>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</si>
  <si>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</si>
  <si>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</si>
  <si>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</si>
  <si>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</si>
  <si>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</si>
  <si>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</si>
  <si>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</si>
  <si>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</si>
  <si>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</si>
  <si>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</si>
  <si>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</si>
  <si>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</si>
  <si>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</si>
  <si>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</si>
  <si>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</si>
  <si>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</si>
  <si>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</si>
  <si>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</si>
  <si>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</si>
  <si>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</si>
  <si>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</si>
  <si>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</si>
  <si>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</si>
  <si>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</si>
  <si>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</si>
  <si>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</si>
  <si>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</si>
  <si>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</si>
  <si>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</si>
  <si>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</si>
  <si>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</si>
  <si>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</si>
  <si>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</si>
  <si>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</si>
  <si>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</si>
  <si>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</si>
  <si>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</si>
  <si>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</si>
  <si>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</si>
  <si>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</si>
  <si>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</si>
  <si>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</si>
  <si>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</si>
  <si>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</si>
  <si>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</si>
  <si>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</si>
  <si>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</si>
  <si>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</si>
  <si>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</si>
  <si>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</si>
  <si>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</si>
  <si>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</si>
  <si>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</si>
  <si>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</si>
  <si>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</si>
  <si>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</si>
  <si>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</si>
  <si>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</si>
  <si>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</si>
  <si>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</si>
  <si>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</si>
  <si>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</si>
  <si>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</si>
  <si>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</si>
  <si>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</si>
  <si>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</si>
  <si>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</si>
  <si>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</si>
  <si>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</si>
  <si>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</si>
  <si>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</si>
  <si>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</si>
  <si>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</si>
  <si>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</si>
  <si>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</si>
  <si>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</si>
  <si>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</si>
  <si>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</si>
  <si>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</si>
  <si>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</si>
  <si>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</si>
  <si>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</si>
  <si>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</si>
  <si>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</si>
  <si>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</si>
  <si>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</si>
  <si>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</si>
  <si>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</si>
  <si>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</si>
  <si>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</si>
  <si>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</si>
  <si>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</si>
  <si>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</si>
  <si>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</si>
  <si>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</si>
  <si>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</si>
  <si>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</si>
  <si>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</si>
  <si>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</si>
  <si>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</si>
  <si>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</si>
  <si>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</si>
  <si>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</si>
  <si>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</si>
  <si>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</si>
  <si>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</si>
  <si>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</si>
  <si>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</si>
  <si>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</si>
  <si>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</si>
  <si>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</si>
  <si>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</si>
  <si>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</si>
  <si>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</si>
  <si>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</si>
  <si>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</si>
  <si>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</si>
  <si>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</si>
  <si>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</si>
  <si>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</si>
  <si>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</si>
  <si>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</si>
  <si>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</si>
  <si>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</si>
  <si>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</si>
  <si>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</si>
  <si>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</si>
  <si>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</si>
  <si>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</si>
  <si>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</si>
  <si>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</si>
  <si>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</si>
  <si>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</si>
  <si>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</si>
  <si>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</si>
  <si>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</si>
  <si>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</si>
  <si>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</si>
  <si>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</si>
  <si>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</si>
  <si>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</si>
  <si>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</si>
  <si>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</si>
  <si>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</si>
  <si>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</si>
  <si>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</si>
  <si>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</si>
  <si>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</si>
  <si>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</si>
  <si>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</si>
  <si>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</si>
  <si>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</si>
  <si>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</si>
  <si>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</si>
  <si>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</si>
  <si>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</si>
  <si>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</si>
  <si>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</si>
  <si>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</si>
  <si>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</si>
  <si>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</si>
  <si>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</si>
  <si>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</si>
  <si>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</si>
  <si>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</si>
  <si>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</si>
  <si>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</si>
  <si>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</si>
  <si>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</si>
  <si>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</si>
  <si>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</si>
  <si>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</si>
  <si>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</si>
  <si>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</si>
  <si>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</si>
  <si>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</si>
  <si>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</si>
  <si>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</si>
  <si>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</si>
  <si>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</si>
  <si>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</si>
  <si>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</si>
  <si>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</si>
  <si>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</si>
  <si>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</si>
  <si>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</si>
  <si>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</si>
  <si>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</si>
  <si>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</si>
  <si>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</si>
  <si>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</si>
  <si>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</si>
  <si>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</si>
  <si>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</si>
  <si>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</si>
  <si>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</si>
  <si>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</si>
  <si>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</si>
  <si>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</si>
  <si>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</si>
  <si>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</si>
  <si>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</si>
  <si>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</si>
  <si>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</si>
  <si>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</si>
  <si>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</si>
  <si>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</si>
  <si>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</si>
  <si>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</si>
  <si>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</si>
  <si>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</si>
  <si>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</si>
  <si>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</si>
  <si>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</si>
  <si>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</si>
  <si>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</si>
  <si>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</si>
  <si>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</si>
  <si>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</si>
  <si>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</si>
  <si>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</si>
  <si>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</si>
  <si>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</si>
  <si>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</si>
  <si>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</si>
  <si>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</si>
  <si>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</si>
  <si>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</si>
  <si>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</si>
  <si>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</si>
  <si>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</si>
  <si>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</si>
  <si>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</si>
  <si>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</si>
  <si>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</si>
  <si>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</si>
  <si>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</si>
  <si>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</si>
  <si>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</si>
  <si>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</si>
  <si>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</si>
  <si>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</si>
  <si>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</si>
  <si>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</si>
  <si>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</si>
  <si>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</si>
  <si>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</si>
  <si>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</si>
  <si>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</si>
  <si>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</si>
  <si>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</si>
  <si>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</si>
  <si>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</si>
  <si>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</si>
  <si>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</si>
  <si>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</si>
  <si>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</si>
  <si>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</si>
  <si>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</si>
  <si>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</si>
  <si>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</si>
  <si>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</si>
  <si>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</si>
  <si>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</si>
  <si>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</si>
  <si>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</si>
  <si>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</si>
  <si>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</si>
  <si>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</si>
  <si>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</si>
  <si>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</si>
  <si>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</si>
  <si>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</si>
  <si>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</si>
  <si>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</si>
  <si>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</si>
  <si>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</si>
  <si>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</si>
  <si>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</si>
  <si>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</si>
  <si>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</si>
  <si>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</si>
  <si>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</si>
  <si>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</si>
  <si>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</si>
  <si>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</si>
  <si>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</si>
  <si>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</si>
  <si>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</si>
  <si>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</si>
  <si>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</si>
  <si>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</si>
  <si>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</si>
  <si>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</si>
  <si>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</si>
  <si>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</si>
  <si>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</si>
  <si>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</si>
  <si>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</si>
  <si>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</si>
  <si>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</si>
  <si>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</si>
  <si>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</si>
  <si>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</si>
  <si>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</si>
  <si>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</si>
  <si>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</si>
  <si>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</si>
  <si>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</si>
  <si>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</si>
  <si>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</si>
  <si>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</si>
  <si>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</si>
  <si>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</si>
  <si>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</si>
  <si>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</si>
  <si>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</si>
  <si>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</si>
  <si>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</si>
  <si>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</si>
  <si>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</si>
  <si>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</si>
  <si>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</si>
  <si>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</si>
  <si>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</si>
  <si>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</si>
  <si>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</si>
  <si>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</si>
  <si>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</si>
  <si>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</si>
  <si>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</si>
  <si>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</si>
  <si>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</si>
  <si>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</si>
  <si>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</si>
  <si>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</si>
  <si>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</si>
  <si>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</si>
  <si>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</si>
  <si>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</si>
  <si>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</si>
  <si>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</si>
  <si>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</si>
  <si>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</si>
  <si>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</si>
  <si>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</si>
  <si>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</si>
  <si>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</si>
  <si>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</si>
  <si>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</si>
  <si>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</si>
  <si>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</si>
  <si>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</si>
  <si>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</si>
  <si>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</si>
  <si>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</si>
  <si>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</si>
  <si>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</si>
  <si>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</si>
  <si>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</si>
  <si>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</si>
  <si>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</si>
  <si>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</si>
  <si>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</si>
  <si>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</si>
  <si>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</si>
  <si>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</si>
  <si>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</si>
  <si>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</si>
  <si>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</si>
  <si>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</si>
  <si>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</si>
  <si>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</si>
  <si>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</si>
  <si>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</si>
  <si>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</si>
  <si>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</si>
  <si>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</si>
  <si>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</si>
  <si>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</si>
  <si>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</si>
  <si>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</si>
  <si>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</si>
  <si>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</si>
  <si>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</si>
  <si>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</si>
  <si>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</si>
  <si>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</si>
  <si>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</si>
  <si>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</si>
  <si>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</si>
  <si>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</si>
  <si>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</si>
  <si>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</si>
  <si>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</si>
  <si>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</si>
  <si>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</si>
  <si>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</si>
  <si>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</si>
  <si>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</si>
  <si>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</si>
  <si>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</si>
  <si>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</si>
  <si>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</si>
  <si>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</si>
  <si>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</si>
  <si>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</si>
  <si>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</si>
  <si>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</si>
  <si>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</si>
  <si>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</si>
  <si>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</si>
  <si>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</si>
  <si>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</si>
  <si>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</si>
  <si>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</si>
  <si>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</si>
  <si>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</si>
  <si>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</si>
  <si>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</si>
  <si>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</si>
  <si>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</si>
  <si>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</si>
  <si>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</si>
  <si>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</si>
  <si>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</si>
  <si>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</si>
  <si>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</si>
  <si>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</si>
  <si>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</si>
  <si>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</si>
  <si>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</si>
  <si>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</si>
  <si>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</si>
  <si>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</si>
  <si>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</si>
  <si>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</si>
  <si>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</si>
  <si>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</si>
  <si>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</si>
  <si>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</si>
  <si>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</si>
  <si>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</si>
  <si>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</si>
  <si>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</si>
  <si>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</si>
  <si>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</si>
  <si>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</si>
  <si>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</si>
  <si>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</si>
  <si>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</si>
  <si>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</si>
  <si>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</si>
  <si>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</si>
  <si>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</si>
  <si>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</si>
  <si>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</si>
  <si>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</si>
  <si>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</si>
  <si>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</si>
  <si>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</si>
  <si>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</si>
  <si>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</si>
  <si>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</si>
  <si>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</si>
  <si>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</si>
  <si>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</si>
  <si>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</si>
  <si>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</si>
  <si>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</si>
  <si>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</si>
  <si>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</si>
  <si>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</si>
  <si>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</si>
  <si>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</si>
  <si>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</si>
  <si>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</si>
  <si>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</si>
  <si>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</si>
  <si>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</si>
  <si>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</si>
  <si>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</si>
  <si>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</si>
  <si>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</si>
  <si>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</si>
  <si>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</si>
  <si>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</si>
  <si>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</si>
  <si>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</si>
  <si>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</si>
  <si>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</si>
  <si>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</si>
  <si>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</si>
  <si>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</si>
  <si>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</si>
  <si>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</si>
  <si>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</si>
  <si>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</si>
  <si>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</si>
  <si>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</si>
  <si>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</si>
  <si>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</si>
  <si>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</si>
  <si>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</si>
  <si>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</si>
  <si>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</si>
  <si>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</si>
  <si>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</si>
  <si>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</si>
  <si>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</si>
  <si>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</si>
  <si>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</si>
  <si>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</si>
  <si>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</si>
  <si>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</si>
  <si>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</si>
  <si>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</si>
  <si>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</si>
  <si>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</si>
  <si>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</si>
  <si>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</si>
  <si>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</si>
  <si>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</si>
  <si>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</si>
  <si>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</si>
  <si>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</si>
  <si>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</si>
  <si>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</si>
  <si>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</si>
  <si>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</si>
  <si>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</si>
  <si>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</si>
  <si>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</si>
  <si>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</si>
  <si>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</si>
  <si>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</si>
  <si>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</si>
  <si>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</si>
  <si>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</si>
  <si>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</si>
  <si>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</si>
  <si>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</si>
  <si>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</si>
  <si>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</si>
  <si>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</si>
  <si>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</si>
  <si>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</si>
  <si>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</si>
  <si>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</si>
  <si>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</si>
  <si>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</si>
  <si>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</si>
  <si>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</si>
  <si>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</si>
  <si>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</si>
  <si>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</si>
  <si>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</si>
  <si>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</si>
  <si>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</si>
  <si>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</si>
  <si>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</si>
  <si>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</si>
  <si>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</si>
  <si>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</si>
  <si>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</si>
  <si>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</si>
  <si>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</si>
  <si>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</si>
  <si>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</si>
  <si>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</si>
  <si>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</si>
  <si>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</si>
  <si>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</si>
  <si>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</si>
  <si>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</si>
  <si>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</si>
  <si>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</si>
  <si>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</si>
  <si>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</si>
  <si>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</si>
  <si>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</si>
  <si>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</si>
  <si>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</si>
  <si>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</si>
  <si>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</si>
  <si>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</si>
  <si>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</si>
  <si>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</si>
  <si>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</si>
  <si>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</si>
  <si>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</si>
  <si>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</si>
  <si>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</si>
  <si>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</si>
  <si>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</si>
  <si>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</si>
  <si>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</si>
  <si>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</si>
  <si>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</si>
  <si>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</si>
  <si>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</si>
  <si>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</si>
  <si>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</si>
  <si>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</si>
  <si>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</si>
  <si>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</si>
  <si>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</si>
  <si>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</si>
  <si>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</si>
  <si>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</si>
  <si>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</si>
  <si>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</si>
  <si>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</si>
  <si>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</si>
  <si>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</si>
  <si>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</si>
  <si>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</si>
  <si>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</si>
  <si>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</si>
  <si>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</si>
  <si>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</si>
  <si>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</si>
  <si>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</si>
  <si>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</si>
  <si>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</si>
  <si>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</si>
  <si>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</si>
  <si>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</si>
  <si>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</si>
  <si>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</si>
  <si>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</si>
  <si>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</si>
  <si>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</si>
  <si>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</si>
  <si>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</si>
  <si>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</si>
  <si>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</si>
  <si>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</si>
  <si>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</si>
  <si>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</si>
  <si>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</si>
  <si>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</si>
  <si>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</si>
  <si>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</si>
  <si>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</si>
  <si>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</si>
  <si>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</si>
  <si>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</si>
  <si>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</si>
  <si>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</si>
  <si>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</si>
  <si>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</si>
  <si>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</si>
  <si>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</si>
  <si>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</si>
  <si>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</si>
  <si>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</si>
  <si>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</si>
  <si>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</si>
  <si>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</si>
  <si>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</si>
  <si>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</si>
  <si>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</si>
  <si>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</si>
  <si>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</si>
  <si>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</si>
  <si>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</si>
  <si>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</si>
  <si>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</si>
  <si>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</si>
  <si>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</si>
  <si>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</si>
  <si>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</si>
  <si>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</si>
  <si>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</si>
  <si>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</si>
  <si>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</si>
  <si>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</si>
  <si>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</si>
  <si>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</si>
  <si>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</si>
  <si>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</si>
  <si>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</si>
  <si>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</si>
  <si>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</si>
  <si>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</si>
  <si>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</si>
  <si>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</si>
  <si>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</si>
  <si>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</si>
  <si>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</si>
  <si>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</si>
  <si>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</si>
  <si>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</si>
  <si>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</si>
  <si>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</si>
  <si>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</si>
  <si>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</si>
  <si>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</si>
  <si>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</si>
  <si>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</si>
  <si>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</si>
  <si>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</si>
  <si>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</si>
  <si>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</si>
  <si>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</si>
  <si>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</si>
  <si>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</si>
  <si>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</si>
  <si>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</si>
  <si>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</si>
  <si>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</si>
  <si>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</si>
  <si>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</si>
  <si>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</si>
  <si>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</si>
  <si>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</si>
  <si>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</si>
  <si>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</si>
  <si>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</si>
  <si>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</si>
  <si>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</si>
  <si>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</si>
  <si>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</si>
  <si>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</si>
  <si>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</si>
  <si>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</si>
  <si>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</si>
  <si>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</si>
  <si>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</si>
  <si>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</si>
  <si>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</si>
  <si>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</si>
  <si>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</si>
  <si>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</si>
  <si>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</si>
  <si>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</si>
  <si>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</si>
  <si>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</si>
  <si>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</si>
  <si>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</si>
  <si>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</si>
  <si>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</si>
  <si>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</si>
  <si>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</si>
  <si>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</si>
  <si>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</si>
  <si>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</si>
  <si>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</si>
  <si>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</si>
  <si>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</si>
  <si>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</si>
  <si>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</si>
  <si>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</si>
  <si>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</si>
  <si>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</si>
  <si>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</si>
  <si>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</si>
  <si>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</si>
  <si>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</si>
  <si>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</si>
  <si>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</si>
  <si>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</si>
  <si>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</si>
  <si>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</si>
  <si>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</si>
  <si>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</si>
  <si>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</si>
  <si>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</si>
  <si>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</si>
  <si>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</si>
  <si>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</si>
  <si>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</si>
  <si>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</si>
  <si>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</si>
  <si>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</si>
  <si>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</si>
  <si>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</si>
  <si>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</si>
  <si>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</si>
  <si>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</si>
  <si>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</si>
  <si>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</si>
  <si>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</si>
  <si>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</si>
  <si>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</si>
  <si>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</si>
  <si>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</si>
  <si>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</si>
  <si>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</si>
  <si>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</si>
  <si>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</si>
  <si>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</si>
  <si>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</si>
  <si>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</si>
  <si>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</si>
  <si>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</si>
  <si>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</si>
  <si>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</si>
  <si>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</si>
  <si>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</si>
  <si>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</si>
  <si>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</si>
  <si>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</si>
  <si>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</si>
  <si>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</si>
  <si>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</si>
  <si>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</si>
  <si>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</si>
  <si>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</si>
  <si>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</si>
  <si>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</si>
  <si>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</si>
  <si>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</si>
  <si>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</si>
  <si>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</si>
  <si>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</si>
  <si>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</si>
  <si>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</si>
  <si>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</si>
  <si>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</si>
  <si>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</si>
  <si>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</si>
  <si>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</si>
  <si>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</si>
  <si>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</si>
  <si>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</si>
  <si>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</si>
  <si>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</si>
  <si>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</si>
  <si>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</si>
  <si>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</si>
  <si>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</si>
  <si>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</si>
  <si>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</si>
  <si>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</si>
  <si>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</si>
  <si>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</si>
  <si>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</si>
  <si>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</si>
  <si>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</si>
  <si>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</si>
  <si>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</si>
  <si>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</si>
  <si>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</si>
  <si>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</si>
  <si>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</si>
  <si>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</si>
  <si>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</si>
  <si>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</si>
  <si>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</si>
  <si>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</si>
  <si>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</si>
  <si>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</si>
  <si>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</si>
  <si>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</si>
  <si>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</si>
  <si>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</si>
  <si>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</si>
  <si>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</si>
  <si>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</si>
  <si>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</si>
  <si>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</si>
  <si>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</si>
  <si>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</si>
  <si>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</si>
  <si>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</si>
  <si>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</si>
  <si>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</si>
  <si>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</si>
  <si>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</si>
  <si>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</si>
  <si>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</si>
  <si>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</si>
  <si>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</si>
  <si>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</si>
  <si>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</si>
  <si>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</si>
  <si>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</si>
  <si>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</si>
  <si>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</si>
  <si>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</si>
  <si>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</si>
  <si>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</si>
  <si>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</si>
  <si>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</si>
  <si>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</si>
  <si>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</si>
  <si>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</si>
  <si>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</si>
  <si>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</si>
  <si>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</si>
  <si>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</si>
  <si>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</si>
  <si>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</si>
  <si>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</si>
  <si>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</si>
  <si>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</si>
  <si>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</si>
  <si>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</si>
  <si>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</si>
  <si>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</si>
  <si>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</si>
  <si>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</si>
  <si>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</si>
  <si>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</si>
  <si>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</si>
  <si>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</si>
  <si>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</si>
  <si>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</si>
  <si>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</si>
  <si>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</si>
  <si>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</si>
  <si>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</si>
  <si>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</si>
  <si>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</si>
  <si>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</si>
  <si>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</si>
  <si>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</si>
  <si>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</si>
  <si>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</si>
  <si>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</si>
  <si>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</si>
  <si>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</si>
  <si>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</si>
  <si>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</si>
  <si>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</si>
  <si>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</si>
  <si>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</si>
  <si>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</si>
  <si>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</si>
  <si>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</si>
  <si>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</si>
  <si>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</si>
  <si>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</si>
  <si>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</si>
  <si>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</si>
  <si>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</si>
  <si>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</si>
  <si>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</si>
  <si>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</si>
  <si>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</si>
  <si>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</si>
  <si>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</si>
  <si>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</si>
  <si>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</si>
  <si>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</si>
  <si>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</si>
  <si>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</si>
  <si>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</si>
  <si>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</si>
  <si>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</si>
  <si>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</si>
  <si>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</si>
  <si>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</si>
  <si>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</si>
  <si>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</si>
  <si>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</si>
  <si>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</si>
  <si>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</si>
  <si>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</si>
  <si>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</si>
  <si>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</si>
  <si>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</si>
  <si>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</si>
  <si>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</si>
  <si>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</si>
  <si>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</si>
  <si>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</si>
  <si>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</si>
  <si>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</si>
  <si>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</si>
  <si>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</si>
  <si>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</si>
  <si>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</si>
  <si>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</si>
  <si>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</si>
  <si>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</si>
  <si>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</si>
  <si>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</si>
  <si>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</si>
  <si>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</si>
  <si>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</si>
  <si>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</si>
  <si>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</si>
  <si>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</si>
  <si>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</si>
  <si>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</si>
  <si>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</si>
  <si>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</si>
  <si>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</si>
  <si>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</si>
  <si>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</si>
  <si>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</si>
  <si>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</si>
  <si>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</si>
  <si>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</si>
  <si>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</si>
  <si>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</si>
  <si>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</si>
  <si>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</si>
  <si>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</si>
  <si>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</si>
  <si>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</si>
  <si>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</si>
  <si>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</si>
  <si>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</si>
  <si>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</si>
  <si>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</si>
  <si>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</si>
  <si>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</si>
  <si>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</si>
  <si>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</si>
  <si>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</si>
  <si>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</si>
  <si>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</si>
  <si>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</si>
  <si>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</si>
  <si>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</si>
  <si>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</si>
  <si>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</si>
  <si>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</si>
  <si>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</si>
  <si>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</si>
  <si>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</si>
  <si>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</si>
  <si>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</si>
  <si>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</si>
  <si>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</si>
  <si>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</si>
  <si>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</si>
  <si>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</si>
  <si>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</si>
  <si>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</si>
  <si>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</si>
  <si>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</si>
  <si>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</si>
  <si>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</si>
  <si>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</si>
  <si>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</si>
  <si>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</si>
  <si>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</si>
  <si>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</si>
  <si>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</si>
  <si>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</si>
  <si>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</si>
  <si>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</si>
  <si>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</si>
  <si>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</si>
  <si>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</si>
  <si>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</si>
  <si>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</si>
  <si>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</si>
  <si>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</si>
  <si>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</si>
  <si>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</si>
  <si>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</si>
  <si>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</si>
  <si>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</si>
  <si>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</si>
  <si>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</si>
  <si>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</si>
  <si>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</si>
  <si>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</si>
  <si>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</si>
  <si>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</si>
  <si>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</si>
  <si>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</si>
  <si>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</si>
  <si>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</si>
  <si>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</si>
  <si>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</si>
  <si>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</si>
  <si>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</si>
  <si>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</si>
  <si>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</si>
  <si>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</si>
  <si>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</si>
  <si>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</si>
  <si>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</si>
  <si>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</si>
  <si>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</si>
  <si>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</si>
  <si>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</si>
  <si>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</si>
  <si>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</si>
  <si>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</si>
  <si>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</si>
  <si>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</si>
  <si>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</si>
  <si>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</si>
  <si>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</si>
  <si>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</si>
  <si>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</si>
  <si>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</si>
  <si>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</si>
  <si>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</si>
  <si>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</si>
  <si>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</si>
  <si>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</si>
  <si>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</si>
  <si>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</si>
  <si>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</si>
  <si>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</si>
  <si>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</si>
  <si>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</si>
  <si>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</si>
  <si>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</si>
  <si>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</si>
  <si>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</si>
  <si>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</si>
  <si>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</si>
  <si>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</si>
  <si>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</si>
  <si>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</si>
  <si>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</si>
  <si>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</si>
  <si>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</si>
  <si>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</si>
  <si>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</si>
  <si>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</si>
  <si>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</si>
  <si>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</si>
  <si>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</si>
  <si>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</si>
  <si>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</si>
  <si>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</si>
  <si>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</si>
  <si>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</si>
  <si>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</si>
  <si>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</si>
  <si>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</si>
  <si>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</si>
  <si>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</si>
  <si>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</si>
  <si>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</si>
  <si>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</si>
  <si>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</si>
  <si>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</si>
  <si>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</si>
  <si>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</si>
  <si>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</si>
  <si>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</si>
  <si>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</si>
  <si>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</si>
  <si>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</si>
  <si>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</si>
  <si>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</si>
  <si>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</si>
  <si>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</si>
  <si>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</si>
  <si>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</si>
  <si>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</si>
  <si>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</si>
  <si>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</si>
  <si>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</si>
  <si>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</si>
  <si>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</si>
  <si>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</si>
  <si>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</si>
  <si>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</si>
  <si>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</si>
  <si>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</si>
  <si>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</si>
  <si>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</si>
  <si>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</si>
  <si>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</si>
  <si>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</si>
  <si>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</si>
  <si>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</si>
  <si>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</si>
  <si>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</si>
  <si>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</si>
  <si>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</si>
  <si>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</si>
  <si>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</si>
  <si>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</si>
  <si>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</si>
  <si>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</si>
  <si>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</si>
  <si>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</si>
  <si>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</si>
  <si>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</si>
  <si>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</si>
  <si>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</si>
  <si>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</si>
  <si>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</si>
  <si>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</si>
  <si>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</si>
  <si>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</si>
  <si>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</si>
  <si>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</si>
  <si>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</si>
  <si>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</si>
  <si>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</si>
  <si>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</si>
  <si>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</si>
  <si>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</si>
  <si>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</si>
  <si>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</si>
  <si>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</si>
  <si>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</si>
  <si>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</si>
  <si>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</si>
  <si>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</si>
  <si>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</si>
  <si>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</si>
  <si>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</si>
  <si>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</si>
  <si>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</si>
  <si>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</si>
  <si>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</si>
  <si>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</si>
  <si>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</si>
  <si>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</si>
  <si>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</si>
  <si>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</si>
  <si>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</si>
  <si>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</si>
  <si>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</si>
  <si>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</si>
  <si>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</si>
  <si>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</si>
  <si>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</si>
  <si>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</si>
  <si>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</si>
  <si>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</si>
  <si>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</si>
  <si>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</si>
  <si>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</si>
  <si>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</si>
  <si>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</si>
  <si>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</si>
  <si>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</si>
  <si>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</si>
  <si>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</si>
  <si>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</si>
  <si>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</si>
  <si>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</si>
  <si>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</si>
  <si>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</si>
  <si>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</si>
  <si>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</si>
  <si>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</si>
  <si>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</si>
  <si>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</si>
  <si>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</si>
  <si>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</si>
  <si>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</si>
  <si>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</si>
  <si>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</si>
  <si>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</si>
  <si>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</si>
  <si>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</si>
  <si>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</si>
  <si>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</si>
  <si>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</si>
  <si>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</si>
  <si>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</si>
  <si>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</si>
  <si>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</si>
  <si>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</si>
  <si>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</si>
  <si>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</si>
  <si>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</si>
  <si>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</si>
  <si>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</si>
  <si>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</si>
  <si>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</si>
  <si>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</si>
  <si>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</si>
  <si>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</si>
  <si>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</si>
  <si>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</si>
  <si>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</si>
  <si>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</si>
  <si>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</si>
  <si>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</si>
  <si>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</si>
  <si>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</si>
  <si>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</si>
  <si>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</si>
  <si>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</si>
  <si>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</si>
  <si>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</si>
  <si>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</si>
  <si>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</si>
  <si>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</si>
  <si>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</si>
  <si>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</si>
  <si>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</si>
  <si>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</si>
  <si>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</si>
  <si>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</si>
  <si>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</si>
  <si>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</si>
  <si>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</si>
  <si>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</si>
  <si>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</si>
  <si>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</si>
  <si>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</si>
  <si>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</si>
  <si>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</si>
  <si>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</si>
  <si>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</si>
  <si>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</si>
  <si>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</si>
  <si>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</si>
  <si>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</si>
  <si>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</si>
  <si>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</si>
  <si>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</si>
  <si>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</si>
  <si>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</si>
  <si>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</si>
  <si>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</si>
  <si>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</si>
  <si>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</si>
  <si>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</si>
  <si>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</si>
  <si>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</si>
  <si>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</si>
  <si>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</si>
  <si>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</si>
  <si>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</si>
  <si>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</si>
  <si>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</si>
  <si>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</si>
  <si>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</si>
  <si>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</si>
  <si>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</si>
  <si>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</si>
  <si>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</si>
  <si>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</si>
  <si>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</si>
  <si>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</si>
  <si>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</si>
  <si>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</si>
  <si>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</si>
  <si>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</si>
  <si>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</si>
  <si>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</si>
  <si>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</si>
  <si>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</si>
  <si>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</si>
  <si>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</si>
  <si>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</si>
  <si>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</si>
  <si>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</si>
  <si>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</si>
  <si>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</si>
  <si>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</si>
  <si>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</si>
  <si>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</si>
  <si>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</si>
  <si>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</si>
  <si>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</si>
  <si>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</si>
  <si>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</si>
  <si>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</si>
  <si>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</si>
  <si>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</si>
  <si>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</si>
  <si>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</si>
  <si>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</si>
  <si>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</si>
  <si>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</si>
  <si>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</si>
  <si>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</si>
  <si>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</si>
  <si>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</si>
  <si>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</si>
  <si>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</si>
  <si>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</si>
  <si>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</si>
  <si>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</si>
  <si>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</si>
  <si>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</si>
  <si>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</si>
  <si>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</si>
  <si>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</si>
  <si>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</si>
  <si>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</si>
  <si>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</si>
  <si>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</si>
  <si>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</si>
  <si>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</si>
  <si>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</si>
  <si>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</si>
  <si>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</si>
  <si>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</si>
  <si>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</si>
  <si>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</si>
  <si>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</si>
  <si>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</si>
  <si>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</si>
  <si>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</si>
  <si>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</si>
  <si>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</si>
  <si>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</si>
  <si>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</si>
  <si>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</si>
  <si>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</si>
  <si>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</si>
  <si>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</si>
  <si>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</si>
  <si>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</si>
  <si>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</si>
  <si>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</si>
  <si>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</si>
  <si>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</si>
  <si>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</si>
  <si>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</si>
  <si>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</si>
  <si>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</si>
  <si>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</si>
  <si>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</si>
  <si>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</si>
  <si>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</si>
  <si>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</si>
  <si>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</si>
  <si>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</si>
  <si>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</si>
  <si>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</si>
  <si>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</si>
  <si>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</si>
  <si>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</si>
  <si>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</si>
  <si>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</si>
  <si>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</si>
  <si>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</si>
  <si>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</si>
  <si>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</si>
  <si>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</si>
  <si>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</si>
  <si>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</si>
  <si>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</si>
  <si>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</si>
  <si>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</si>
  <si>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</si>
  <si>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</si>
  <si>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</si>
  <si>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</si>
  <si>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</si>
  <si>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</si>
  <si>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</si>
  <si>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</si>
  <si>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</si>
  <si>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</si>
  <si>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</si>
  <si>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</si>
  <si>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</si>
  <si>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</si>
  <si>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</si>
  <si>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</si>
  <si>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</si>
  <si>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</si>
  <si>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</si>
  <si>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</si>
  <si>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</si>
  <si>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</si>
  <si>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</si>
  <si>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</si>
  <si>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</si>
  <si>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</si>
  <si>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</si>
  <si>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</si>
  <si>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</si>
  <si>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</si>
  <si>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</si>
  <si>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</si>
  <si>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</si>
  <si>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</si>
  <si>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</si>
  <si>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</si>
  <si>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</si>
  <si>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</si>
  <si>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</si>
  <si>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</si>
  <si>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</si>
  <si>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</si>
  <si>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</si>
  <si>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</si>
  <si>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</si>
  <si>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</si>
  <si>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</si>
  <si>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</si>
  <si>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</si>
  <si>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</si>
  <si>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</si>
  <si>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</si>
  <si>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</si>
  <si>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</si>
  <si>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</si>
  <si>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</si>
  <si>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</si>
  <si>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</si>
  <si>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</si>
  <si>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</si>
  <si>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</si>
  <si>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</si>
  <si>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</si>
  <si>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</si>
  <si>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</si>
  <si>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</si>
  <si>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</si>
  <si>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</si>
  <si>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</si>
  <si>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</si>
  <si>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</si>
  <si>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</si>
  <si>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</si>
  <si>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</si>
  <si>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</si>
  <si>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</si>
  <si>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</si>
  <si>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</si>
  <si>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</si>
  <si>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</si>
  <si>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</si>
  <si>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</si>
  <si>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</si>
  <si>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</si>
  <si>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</si>
  <si>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</si>
  <si>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</si>
  <si>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</si>
  <si>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</si>
  <si>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</si>
  <si>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</si>
  <si>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</si>
  <si>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</si>
  <si>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</si>
  <si>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</si>
  <si>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</si>
  <si>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</si>
  <si>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</si>
  <si>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</si>
  <si>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</si>
  <si>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</si>
  <si>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</si>
  <si>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</si>
  <si>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</si>
  <si>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</si>
  <si>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</si>
  <si>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</si>
  <si>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</si>
  <si>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</si>
  <si>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</si>
  <si>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</si>
  <si>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</si>
  <si>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</si>
  <si>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</si>
  <si>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</si>
  <si>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</si>
  <si>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</si>
  <si>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</si>
  <si>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</si>
  <si>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</si>
  <si>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</si>
  <si>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</si>
  <si>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</si>
  <si>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</si>
  <si>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</si>
  <si>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</si>
  <si>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</si>
  <si>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</si>
  <si>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</si>
  <si>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</si>
  <si>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</si>
  <si>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</si>
  <si>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</si>
  <si>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</si>
  <si>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</si>
  <si>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</si>
  <si>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</si>
  <si>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</si>
  <si>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</si>
  <si>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</si>
  <si>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</si>
  <si>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</si>
  <si>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</si>
  <si>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</si>
  <si>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</si>
  <si>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</si>
  <si>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</si>
  <si>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</si>
  <si>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</si>
  <si>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</si>
  <si>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</si>
  <si>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</si>
  <si>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</si>
  <si>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</si>
  <si>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</si>
  <si>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</si>
  <si>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</si>
  <si>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</si>
  <si>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</si>
  <si>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</si>
  <si>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</si>
  <si>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</si>
  <si>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</si>
  <si>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</si>
  <si>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</si>
  <si>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</si>
  <si>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</si>
  <si>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</si>
  <si>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</si>
  <si>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</si>
  <si>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</si>
  <si>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</si>
  <si>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</si>
  <si>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</si>
  <si>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</si>
  <si>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</si>
  <si>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</si>
  <si>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</si>
  <si>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</si>
  <si>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</si>
  <si>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</si>
  <si>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</si>
  <si>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</si>
  <si>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</si>
  <si>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</si>
  <si>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</si>
  <si>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</si>
  <si>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</si>
  <si>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</si>
  <si>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</si>
  <si>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</si>
  <si>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</si>
  <si>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</si>
  <si>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</si>
  <si>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</si>
  <si>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</si>
  <si>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</si>
  <si>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</si>
  <si>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</si>
  <si>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</si>
  <si>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</si>
  <si>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</si>
  <si>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</si>
  <si>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</si>
  <si>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</si>
  <si>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</si>
  <si>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</si>
  <si>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</si>
  <si>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</si>
  <si>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</si>
  <si>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</si>
  <si>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</si>
  <si>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</si>
  <si>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</si>
  <si>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</si>
  <si>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</si>
  <si>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</si>
  <si>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</si>
  <si>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</si>
  <si>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</si>
  <si>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</si>
  <si>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</si>
  <si>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</si>
  <si>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</si>
  <si>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</si>
  <si>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</si>
  <si>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</si>
  <si>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</si>
  <si>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</si>
  <si>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</si>
  <si>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</si>
  <si>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</si>
  <si>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</si>
  <si>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</si>
  <si>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</si>
  <si>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</si>
  <si>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</si>
  <si>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</si>
  <si>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</si>
  <si>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</si>
  <si>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</si>
  <si>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</si>
  <si>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</si>
  <si>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</si>
  <si>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</si>
  <si>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</si>
  <si>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</si>
  <si>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</si>
  <si>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</si>
  <si>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</si>
  <si>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</si>
  <si>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</si>
  <si>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</si>
  <si>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</si>
  <si>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</si>
  <si>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</si>
  <si>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</si>
  <si>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</si>
  <si>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</si>
  <si>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</si>
  <si>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</si>
  <si>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</si>
  <si>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</si>
  <si>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</si>
  <si>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</si>
  <si>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</si>
  <si>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</si>
  <si>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</si>
  <si>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</si>
  <si>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</si>
  <si>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</si>
  <si>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</si>
  <si>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</si>
  <si>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</si>
  <si>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</si>
  <si>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</si>
  <si>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</si>
  <si>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</si>
  <si>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</si>
  <si>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</si>
  <si>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</si>
  <si>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</si>
  <si>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</si>
  <si>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</si>
  <si>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</si>
  <si>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</si>
  <si>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</si>
  <si>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</si>
  <si>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</si>
  <si>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</si>
  <si>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</si>
  <si>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</si>
  <si>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</si>
  <si>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</si>
  <si>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</si>
  <si>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</si>
  <si>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</si>
  <si>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</si>
  <si>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</si>
  <si>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</si>
  <si>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</si>
  <si>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</si>
  <si>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</si>
  <si>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</si>
  <si>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</si>
  <si>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</si>
  <si>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</si>
  <si>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</si>
  <si>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</si>
  <si>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</si>
  <si>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</si>
  <si>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</si>
  <si>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</si>
  <si>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</si>
  <si>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</si>
  <si>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</si>
  <si>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</si>
  <si>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</si>
  <si>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</si>
  <si>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</si>
  <si>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</si>
  <si>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</si>
  <si>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</si>
  <si>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</si>
  <si>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</si>
  <si>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</si>
  <si>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</si>
  <si>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</si>
  <si>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</si>
  <si>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</si>
  <si>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</si>
  <si>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</si>
  <si>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</si>
  <si>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</si>
  <si>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</si>
  <si>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</si>
  <si>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</si>
  <si>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</si>
  <si>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</si>
  <si>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</si>
  <si>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</si>
  <si>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</si>
  <si>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</si>
  <si>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</si>
  <si>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</si>
  <si>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</si>
  <si>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</si>
  <si>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</si>
  <si>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</si>
  <si>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</si>
  <si>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</si>
  <si>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</si>
  <si>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</si>
  <si>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</si>
  <si>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</si>
  <si>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</si>
  <si>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</si>
  <si>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</si>
  <si>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</si>
  <si>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</si>
  <si>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</si>
  <si>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</si>
  <si>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</si>
  <si>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</si>
  <si>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</si>
  <si>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</si>
  <si>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</si>
  <si>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</si>
  <si>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</si>
  <si>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</si>
  <si>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</si>
  <si>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</si>
  <si>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</si>
  <si>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</si>
  <si>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</si>
  <si>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</si>
  <si>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</si>
  <si>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</si>
  <si>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</si>
  <si>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</si>
  <si>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</si>
  <si>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</si>
  <si>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</si>
  <si>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</si>
  <si>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</si>
  <si>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</si>
  <si>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</si>
  <si>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</si>
  <si>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</si>
  <si>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</si>
  <si>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</si>
  <si>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</si>
  <si>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</si>
  <si>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</si>
  <si>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</si>
  <si>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</si>
  <si>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</si>
  <si>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</si>
  <si>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</si>
  <si>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</si>
  <si>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</si>
  <si>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</si>
  <si>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</si>
  <si>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</si>
  <si>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</si>
  <si>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</si>
  <si>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</si>
  <si>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</si>
  <si>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</si>
  <si>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</si>
  <si>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</si>
  <si>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</si>
  <si>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</si>
  <si>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</si>
  <si>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</si>
  <si>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</si>
  <si>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</si>
  <si>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</si>
  <si>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</si>
  <si>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</si>
  <si>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</si>
  <si>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</si>
  <si>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</si>
  <si>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</si>
  <si>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</si>
  <si>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</si>
  <si>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</si>
  <si>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</si>
  <si>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</si>
  <si>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</si>
  <si>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</si>
  <si>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</si>
  <si>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</si>
  <si>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</si>
  <si>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</si>
  <si>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</si>
  <si>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</si>
  <si>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</si>
  <si>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</si>
  <si>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</si>
  <si>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</si>
  <si>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</si>
  <si>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</si>
  <si>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</si>
  <si>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</si>
  <si>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</si>
  <si>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</si>
  <si>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</si>
  <si>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</si>
  <si>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</si>
  <si>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</si>
  <si>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</si>
  <si>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</si>
  <si>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</si>
  <si>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</si>
  <si>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</si>
  <si>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</si>
  <si>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</si>
  <si>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</si>
  <si>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</si>
  <si>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</si>
  <si>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</si>
  <si>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</si>
  <si>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</si>
  <si>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</si>
  <si>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</si>
  <si>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</si>
  <si>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</si>
  <si>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</si>
  <si>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</si>
  <si>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</si>
  <si>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</si>
  <si>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</si>
  <si>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</si>
  <si>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</si>
  <si>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</si>
  <si>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</si>
  <si>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</si>
  <si>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</si>
  <si>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</si>
  <si>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</si>
  <si>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</si>
  <si>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</si>
  <si>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</si>
  <si>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</si>
  <si>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</si>
  <si>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</si>
  <si>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</si>
  <si>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</si>
  <si>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</si>
  <si>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</si>
  <si>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</si>
  <si>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</si>
  <si>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</si>
  <si>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</si>
  <si>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</si>
  <si>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</si>
  <si>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</si>
  <si>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</si>
  <si>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</si>
  <si>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</si>
  <si>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</si>
  <si>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</si>
  <si>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</si>
  <si>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</si>
  <si>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</si>
  <si>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</si>
  <si>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</si>
  <si>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</si>
  <si>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</si>
  <si>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</si>
  <si>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</si>
  <si>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</si>
  <si>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</si>
  <si>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</si>
  <si>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</si>
  <si>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</si>
  <si>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</si>
  <si>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</si>
  <si>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</si>
  <si>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</si>
  <si>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</si>
  <si>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</si>
  <si>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</si>
  <si>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</si>
  <si>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</si>
  <si>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</si>
  <si>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</si>
  <si>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</si>
  <si>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</si>
  <si>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</si>
  <si>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</si>
  <si>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</si>
  <si>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</si>
  <si>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</si>
  <si>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</si>
  <si>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</si>
  <si>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</si>
  <si>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</si>
  <si>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</si>
  <si>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</si>
  <si>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</si>
  <si>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</si>
  <si>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</si>
  <si>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</si>
  <si>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</si>
  <si>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</si>
  <si>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</si>
  <si>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</si>
  <si>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</si>
  <si>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</si>
  <si>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</si>
  <si>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</si>
  <si>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</si>
  <si>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</si>
  <si>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</si>
  <si>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</si>
  <si>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</si>
  <si>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</si>
  <si>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</si>
  <si>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</si>
  <si>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</si>
  <si>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</si>
  <si>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</si>
  <si>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</si>
  <si>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</si>
  <si>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</si>
  <si>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</si>
  <si>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</si>
  <si>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</si>
  <si>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</si>
  <si>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</si>
  <si>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</si>
  <si>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</si>
  <si>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</si>
  <si>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</si>
  <si>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</si>
  <si>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</si>
  <si>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</si>
  <si>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</si>
  <si>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</si>
  <si>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</si>
  <si>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</si>
  <si>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</si>
  <si>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</si>
  <si>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</si>
  <si>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</si>
  <si>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</si>
  <si>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</si>
  <si>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</si>
  <si>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</si>
  <si>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</si>
  <si>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</si>
  <si>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</si>
  <si>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</si>
  <si>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</si>
  <si>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</si>
  <si>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</si>
  <si>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</si>
  <si>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</si>
  <si>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</si>
  <si>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</si>
  <si>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</si>
  <si>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</si>
  <si>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</si>
  <si>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</si>
  <si>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</si>
  <si>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</si>
  <si>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</si>
  <si>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</si>
  <si>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</si>
  <si>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</si>
  <si>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</si>
  <si>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</si>
  <si>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</si>
  <si>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</si>
  <si>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</si>
  <si>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</si>
  <si>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</si>
  <si>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</si>
  <si>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</si>
  <si>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</si>
  <si>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</si>
  <si>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</si>
  <si>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</si>
  <si>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</si>
  <si>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</si>
  <si>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</si>
  <si>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</si>
  <si>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</si>
  <si>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</si>
  <si>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</si>
  <si>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</si>
  <si>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</si>
  <si>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</si>
  <si>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</si>
  <si>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</si>
  <si>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</si>
  <si>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</si>
  <si>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</si>
  <si>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</si>
  <si>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</si>
  <si>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</si>
  <si>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</si>
  <si>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</si>
  <si>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</si>
  <si>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</si>
  <si>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</si>
  <si>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</si>
  <si>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</si>
  <si>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</si>
  <si>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</si>
  <si>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</si>
  <si>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</si>
  <si>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</si>
  <si>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</si>
  <si>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</si>
  <si>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</si>
  <si>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</si>
  <si>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</si>
  <si>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</si>
  <si>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</si>
  <si>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</si>
  <si>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</si>
  <si>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</si>
  <si>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</si>
  <si>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</si>
  <si>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</si>
  <si>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</si>
  <si>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</si>
  <si>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</si>
  <si>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</si>
  <si>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</si>
  <si>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</si>
  <si>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</si>
  <si>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</si>
  <si>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</si>
  <si>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</si>
  <si>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</si>
  <si>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</si>
  <si>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</si>
  <si>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</si>
  <si>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</si>
  <si>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</si>
  <si>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</si>
  <si>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</si>
  <si>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</si>
  <si>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</si>
  <si>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</si>
  <si>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</si>
  <si>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</si>
  <si>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</si>
  <si>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</si>
  <si>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</si>
  <si>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</si>
  <si>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</si>
  <si>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</si>
  <si>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</si>
  <si>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</si>
  <si>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</si>
  <si>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</si>
  <si>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</si>
  <si>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</si>
  <si>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</si>
  <si>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</si>
  <si>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</si>
  <si>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</si>
  <si>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</si>
  <si>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</si>
  <si>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</si>
  <si>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</si>
  <si>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</si>
  <si>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</si>
  <si>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</si>
  <si>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</si>
  <si>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</si>
  <si>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</si>
  <si>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</si>
  <si>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</si>
  <si>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</si>
  <si>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</si>
  <si>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</si>
  <si>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</si>
  <si>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</si>
  <si>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</si>
  <si>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</si>
  <si>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</si>
  <si>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</si>
  <si>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</si>
  <si>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</si>
  <si>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</si>
  <si>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</si>
  <si>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</si>
  <si>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</si>
  <si>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</si>
  <si>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</si>
  <si>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</si>
  <si>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</si>
  <si>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</si>
  <si>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</si>
  <si>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</si>
  <si>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</si>
  <si>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</si>
  <si>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</si>
  <si>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</si>
  <si>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</si>
  <si>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</si>
  <si>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</si>
  <si>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</si>
  <si>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</si>
  <si>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</si>
  <si>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</si>
  <si>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</si>
  <si>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</si>
  <si>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</si>
  <si>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</si>
  <si>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</si>
  <si>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</si>
  <si>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</si>
  <si>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</si>
  <si>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</si>
  <si>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</si>
  <si>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</si>
  <si>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</si>
  <si>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</si>
  <si>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</si>
  <si>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</si>
  <si>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</si>
  <si>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</si>
  <si>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</si>
  <si>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</si>
  <si>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</si>
  <si>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</si>
  <si>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</si>
  <si>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</si>
  <si>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</si>
  <si>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</si>
  <si>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</si>
  <si>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</si>
  <si>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</si>
  <si>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</si>
  <si>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</si>
  <si>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</si>
  <si>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</si>
  <si>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</si>
  <si>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</si>
  <si>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</si>
  <si>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</si>
  <si>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</si>
  <si>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</si>
  <si>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</si>
  <si>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</si>
  <si>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</si>
  <si>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</si>
  <si>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</si>
  <si>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</si>
  <si>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</si>
  <si>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</si>
  <si>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</si>
  <si>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</si>
  <si>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</si>
  <si>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</si>
  <si>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</si>
  <si>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</si>
  <si>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</si>
  <si>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</si>
  <si>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</si>
  <si>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</si>
  <si>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</si>
  <si>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</si>
  <si>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</si>
  <si>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</si>
  <si>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</si>
  <si>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</si>
  <si>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</si>
  <si>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</si>
  <si>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</si>
  <si>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</si>
  <si>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</si>
  <si>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</si>
  <si>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</si>
  <si>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</si>
  <si>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</si>
  <si>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</si>
  <si>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</si>
  <si>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</si>
  <si>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</si>
  <si>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</si>
  <si>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</si>
  <si>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</si>
  <si>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</si>
  <si>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</si>
  <si>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</si>
  <si>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</si>
  <si>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</si>
  <si>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</si>
  <si>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</si>
  <si>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</si>
  <si>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</si>
  <si>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</si>
  <si>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</si>
  <si>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</si>
  <si>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</si>
  <si>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</si>
  <si>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</si>
  <si>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</si>
  <si>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</si>
  <si>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</si>
  <si>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</si>
  <si>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</si>
  <si>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</si>
  <si>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</si>
  <si>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</si>
  <si>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</si>
  <si>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</si>
  <si>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</si>
  <si>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</si>
  <si>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</si>
  <si>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</si>
  <si>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</si>
  <si>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</si>
  <si>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</si>
  <si>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</si>
  <si>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</si>
  <si>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</si>
  <si>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</si>
  <si>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</si>
  <si>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</si>
  <si>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</si>
  <si>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</si>
  <si>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</si>
  <si>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</si>
  <si>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</si>
  <si>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</si>
  <si>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</si>
  <si>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</si>
  <si>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</si>
  <si>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</si>
  <si>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</si>
  <si>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</si>
  <si>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</si>
  <si>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</si>
  <si>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</si>
  <si>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</si>
  <si>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</si>
  <si>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</si>
  <si>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</si>
  <si>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</si>
  <si>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</si>
  <si>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</si>
  <si>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</si>
  <si>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</si>
  <si>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</si>
  <si>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</si>
  <si>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</si>
  <si>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</si>
  <si>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</si>
  <si>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</si>
  <si>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</si>
  <si>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</si>
  <si>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</si>
  <si>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</si>
  <si>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</si>
  <si>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</si>
  <si>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</si>
  <si>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</si>
  <si>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</si>
  <si>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</si>
  <si>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</si>
  <si>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</si>
  <si>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</si>
  <si>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</si>
  <si>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</si>
  <si>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</si>
  <si>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</si>
  <si>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</si>
  <si>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</si>
  <si>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</si>
  <si>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</si>
  <si>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</si>
  <si>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</si>
  <si>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</si>
  <si>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</si>
  <si>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</si>
  <si>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</si>
  <si>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</si>
  <si>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</si>
  <si>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</si>
  <si>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</si>
  <si>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</si>
  <si>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</si>
  <si>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</si>
  <si>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</si>
  <si>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</si>
  <si>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</si>
  <si>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</si>
  <si>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</si>
  <si>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</si>
  <si>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</si>
  <si>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</si>
  <si>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</si>
  <si>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</si>
  <si>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</si>
  <si>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</si>
  <si>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</si>
  <si>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</si>
  <si>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</si>
  <si>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</si>
  <si>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</si>
  <si>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</si>
  <si>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</si>
  <si>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</si>
  <si>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</si>
  <si>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</si>
  <si>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</si>
  <si>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</si>
  <si>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</si>
  <si>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</si>
  <si>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</si>
  <si>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</si>
  <si>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</si>
  <si>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</si>
  <si>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</si>
  <si>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</si>
  <si>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</si>
  <si>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</si>
  <si>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</si>
  <si>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</si>
  <si>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</si>
  <si>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</si>
  <si>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</si>
  <si>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</si>
  <si>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</si>
  <si>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</si>
  <si>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</si>
  <si>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</si>
  <si>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</si>
  <si>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</si>
  <si>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</si>
  <si>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</si>
  <si>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</si>
  <si>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</si>
  <si>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</si>
  <si>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</si>
  <si>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</si>
  <si>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</si>
  <si>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</si>
  <si>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</si>
  <si>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</si>
  <si>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</si>
  <si>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</si>
  <si>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</si>
  <si>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</si>
  <si>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</si>
  <si>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</si>
  <si>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</si>
  <si>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</si>
  <si>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</si>
  <si>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</si>
  <si>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</si>
  <si>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</si>
  <si>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</si>
  <si>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</si>
  <si>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</si>
  <si>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</si>
  <si>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</si>
  <si>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</si>
  <si>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</si>
  <si>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</si>
  <si>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</si>
  <si>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</si>
  <si>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</si>
  <si>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</si>
  <si>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</si>
  <si>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</si>
  <si>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</si>
  <si>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</si>
  <si>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</si>
  <si>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</si>
  <si>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</si>
  <si>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</si>
  <si>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</si>
  <si>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</si>
  <si>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</si>
  <si>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</si>
  <si>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</si>
  <si>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</si>
  <si>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</si>
  <si>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</si>
  <si>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</si>
  <si>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</si>
  <si>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</si>
  <si>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</si>
  <si>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</si>
  <si>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</si>
  <si>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</si>
  <si>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</si>
  <si>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</si>
  <si>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</si>
  <si>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</si>
  <si>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</si>
  <si>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</si>
  <si>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</si>
  <si>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</si>
  <si>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</si>
  <si>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</si>
  <si>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</si>
  <si>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</si>
  <si>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</si>
  <si>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</si>
  <si>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</si>
  <si>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</si>
  <si>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</si>
  <si>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</si>
  <si>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</si>
  <si>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</si>
  <si>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</si>
  <si>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</si>
  <si>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</si>
  <si>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</si>
  <si>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</si>
  <si>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</si>
  <si>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</si>
  <si>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</si>
  <si>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</si>
  <si>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</si>
  <si>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</si>
  <si>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</si>
  <si>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</si>
  <si>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</si>
  <si>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</si>
  <si>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</si>
  <si>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</si>
  <si>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</si>
  <si>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</si>
  <si>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</si>
  <si>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</si>
  <si>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</si>
  <si>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</si>
  <si>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</si>
  <si>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</si>
  <si>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</si>
  <si>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</si>
  <si>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</si>
  <si>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</si>
  <si>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</si>
  <si>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</si>
  <si>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</si>
  <si>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</si>
  <si>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</si>
  <si>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</si>
  <si>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</si>
  <si>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</si>
  <si>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</si>
  <si>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</si>
  <si>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</si>
  <si>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</si>
  <si>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</si>
  <si>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</si>
  <si>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</si>
  <si>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</si>
  <si>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</si>
  <si>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</si>
  <si>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</si>
  <si>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</si>
  <si>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</si>
  <si>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</si>
  <si>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</si>
  <si>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</si>
  <si>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</si>
  <si>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</si>
  <si>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</si>
  <si>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</si>
  <si>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</si>
  <si>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</si>
  <si>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</si>
  <si>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</si>
  <si>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</si>
  <si>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</si>
  <si>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</si>
  <si>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</si>
  <si>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</si>
  <si>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</si>
  <si>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</si>
  <si>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</si>
  <si>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</si>
  <si>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</si>
  <si>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</si>
  <si>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</si>
  <si>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</si>
  <si>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</si>
  <si>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</si>
  <si>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</si>
  <si>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</si>
  <si>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</si>
  <si>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</si>
  <si>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</si>
  <si>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</si>
  <si>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</si>
  <si>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</si>
  <si>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</si>
  <si>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</si>
  <si>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</si>
  <si>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</si>
  <si>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</si>
  <si>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</si>
  <si>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</si>
  <si>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</si>
  <si>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</si>
  <si>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</si>
  <si>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</si>
  <si>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</si>
  <si>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</si>
  <si>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</si>
  <si>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</si>
  <si>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</si>
  <si>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</si>
  <si>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</si>
  <si>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</si>
  <si>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</si>
  <si>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</si>
  <si>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</si>
  <si>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</si>
  <si>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</si>
  <si>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</si>
  <si>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</si>
  <si>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</si>
  <si>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</si>
  <si>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</si>
  <si>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</si>
  <si>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</si>
  <si>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</si>
  <si>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</si>
  <si>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</si>
  <si>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</si>
  <si>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</si>
  <si>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</si>
  <si>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</si>
  <si>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</si>
  <si>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</si>
  <si>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</si>
  <si>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</si>
  <si>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</si>
  <si>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</si>
  <si>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</si>
  <si>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</si>
  <si>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</si>
  <si>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</si>
  <si>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</si>
  <si>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</si>
  <si>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</si>
  <si>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</si>
  <si>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</si>
  <si>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</si>
  <si>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</si>
  <si>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</si>
  <si>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</si>
  <si>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</si>
  <si>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</si>
  <si>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</si>
  <si>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</si>
  <si>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</si>
  <si>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</si>
  <si>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</si>
  <si>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</si>
  <si>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</si>
  <si>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</si>
  <si>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</si>
  <si>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</si>
  <si>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</si>
  <si>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</si>
  <si>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</si>
  <si>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</si>
  <si>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</si>
  <si>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</si>
  <si>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</si>
  <si>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</si>
  <si>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</si>
  <si>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</si>
  <si>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</si>
  <si>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</si>
  <si>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</si>
  <si>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</si>
  <si>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</si>
  <si>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</si>
  <si>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</si>
  <si>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</si>
  <si>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</si>
  <si>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</si>
  <si>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</si>
  <si>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</si>
  <si>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</si>
  <si>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</si>
  <si>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</si>
  <si>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</si>
  <si>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</si>
  <si>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</si>
  <si>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</si>
  <si>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</si>
  <si>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</si>
  <si>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</si>
  <si>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</si>
  <si>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</si>
  <si>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</si>
  <si>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</si>
  <si>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</si>
  <si>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</si>
  <si>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</si>
  <si>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</si>
  <si>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</si>
  <si>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</si>
  <si>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</si>
  <si>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</si>
  <si>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</si>
  <si>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</si>
  <si>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</si>
  <si>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</si>
  <si>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</si>
  <si>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</si>
  <si>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</si>
  <si>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</si>
  <si>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</si>
  <si>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</si>
  <si>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</si>
  <si>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</si>
  <si>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</si>
  <si>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</si>
  <si>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</si>
  <si>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</si>
  <si>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</si>
  <si>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</si>
  <si>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</si>
  <si>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</si>
  <si>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</si>
  <si>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</si>
  <si>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</si>
  <si>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</si>
  <si>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</si>
  <si>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</si>
  <si>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</si>
  <si>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</si>
  <si>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</si>
  <si>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</si>
  <si>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</si>
  <si>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</si>
  <si>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</si>
  <si>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</si>
  <si>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</si>
  <si>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</si>
  <si>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</si>
  <si>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</si>
  <si>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</si>
  <si>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</si>
  <si>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</si>
  <si>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</si>
  <si>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</si>
  <si>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</si>
  <si>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</si>
  <si>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</si>
  <si>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</si>
  <si>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</si>
  <si>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</si>
  <si>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</si>
  <si>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</si>
  <si>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</si>
  <si>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</si>
  <si>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</si>
  <si>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</si>
  <si>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</si>
  <si>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</si>
  <si>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</si>
  <si>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</si>
  <si>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</si>
  <si>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</si>
  <si>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</si>
  <si>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</si>
  <si>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</si>
  <si>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</si>
  <si>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</si>
  <si>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</si>
  <si>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</si>
  <si>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</si>
  <si>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</si>
  <si>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</si>
  <si>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</si>
  <si>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</si>
  <si>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</si>
  <si>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</si>
  <si>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</si>
  <si>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</si>
  <si>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</si>
  <si>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</si>
  <si>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</si>
  <si>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</si>
  <si>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</si>
  <si>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</si>
  <si>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</si>
  <si>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</si>
  <si>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</si>
  <si>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</si>
  <si>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</si>
  <si>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</si>
  <si>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</si>
  <si>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</si>
  <si>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</si>
  <si>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</si>
  <si>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</si>
  <si>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</si>
  <si>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</si>
  <si>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</si>
  <si>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</si>
  <si>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</si>
  <si>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</si>
  <si>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</si>
  <si>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</si>
  <si>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</si>
  <si>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</si>
  <si>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</si>
  <si>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</si>
  <si>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</si>
  <si>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</si>
  <si>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</si>
  <si>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</si>
  <si>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</si>
  <si>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</si>
  <si>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</si>
  <si>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</si>
  <si>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</si>
  <si>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</si>
  <si>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</si>
  <si>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</si>
  <si>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</si>
  <si>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</si>
  <si>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</si>
  <si>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</si>
  <si>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</si>
  <si>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</si>
  <si>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</si>
  <si>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</si>
  <si>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</si>
  <si>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</si>
  <si>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</si>
  <si>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</si>
  <si>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</si>
  <si>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</si>
  <si>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</si>
  <si>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</si>
  <si>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</si>
  <si>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</si>
  <si>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</si>
  <si>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</si>
  <si>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</si>
  <si>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</si>
  <si>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</si>
  <si>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</si>
  <si>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</si>
  <si>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</si>
  <si>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</si>
  <si>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</si>
  <si>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</si>
  <si>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</si>
  <si>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</si>
  <si>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</si>
  <si>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</si>
  <si>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</si>
  <si>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</si>
  <si>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</si>
  <si>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</si>
  <si>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</si>
  <si>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</si>
  <si>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</si>
  <si>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</si>
  <si>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</si>
  <si>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</si>
  <si>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</si>
  <si>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</si>
  <si>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</si>
  <si>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</si>
  <si>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</si>
  <si>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</si>
  <si>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</si>
  <si>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</si>
  <si>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</si>
  <si>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</si>
  <si>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</si>
  <si>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</si>
  <si>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</si>
  <si>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</si>
  <si>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</si>
  <si>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</si>
  <si>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</si>
  <si>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</si>
  <si>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</si>
  <si>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</si>
  <si>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</si>
  <si>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</si>
  <si>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</si>
  <si>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</si>
  <si>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</si>
  <si>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</si>
  <si>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</si>
  <si>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</si>
  <si>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</si>
  <si>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</si>
  <si>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</si>
  <si>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</si>
  <si>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</si>
  <si>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</si>
  <si>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</si>
  <si>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</si>
  <si>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</si>
  <si>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</si>
  <si>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</si>
  <si>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</si>
  <si>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</si>
  <si>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</si>
  <si>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</si>
  <si>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</si>
  <si>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</si>
  <si>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</si>
  <si>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</si>
  <si>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</si>
  <si>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</si>
  <si>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</si>
  <si>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</si>
  <si>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</si>
  <si>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</si>
  <si>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</si>
  <si>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</si>
  <si>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</si>
  <si>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</si>
  <si>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</si>
  <si>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</si>
  <si>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</si>
  <si>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</si>
  <si>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</si>
  <si>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</si>
  <si>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</si>
  <si>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</si>
  <si>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</si>
  <si>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</si>
  <si>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</si>
  <si>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</si>
  <si>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</si>
  <si>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</si>
  <si>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</si>
  <si>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</si>
  <si>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</si>
  <si>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</si>
  <si>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</si>
  <si>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</si>
  <si>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</si>
  <si>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</si>
  <si>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</si>
  <si>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</si>
  <si>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</si>
  <si>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</si>
  <si>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</si>
  <si>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</si>
  <si>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</si>
  <si>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</si>
  <si>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</si>
  <si>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</si>
  <si>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</si>
  <si>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</si>
  <si>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</si>
  <si>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</si>
  <si>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</si>
  <si>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</si>
  <si>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</si>
  <si>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</si>
  <si>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</si>
  <si>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</si>
  <si>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</si>
  <si>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</si>
  <si>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</si>
  <si>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</si>
  <si>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</si>
  <si>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</si>
  <si>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</si>
  <si>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</si>
  <si>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</si>
  <si>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</si>
  <si>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</si>
  <si>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</si>
  <si>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</si>
  <si>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</si>
  <si>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</si>
  <si>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</si>
  <si>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</si>
  <si>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</si>
  <si>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</si>
  <si>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</si>
  <si>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</si>
  <si>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</si>
  <si>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</si>
  <si>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</si>
  <si>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</si>
  <si>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</si>
  <si>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</si>
  <si>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</si>
  <si>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</si>
  <si>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</si>
  <si>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</si>
  <si>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</si>
  <si>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</si>
  <si>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</si>
  <si>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</si>
  <si>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</si>
  <si>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</si>
  <si>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</si>
  <si>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</si>
  <si>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</si>
  <si>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</si>
  <si>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</si>
  <si>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</si>
  <si>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</si>
  <si>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</si>
  <si>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</si>
  <si>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</si>
  <si>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</si>
  <si>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</si>
  <si>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</si>
  <si>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</si>
  <si>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</si>
  <si>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</si>
  <si>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</si>
  <si>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</si>
  <si>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</si>
  <si>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</si>
  <si>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</si>
  <si>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</si>
  <si>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</si>
  <si>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</si>
  <si>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</si>
  <si>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</si>
  <si>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</si>
  <si>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</si>
  <si>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</si>
  <si>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</si>
  <si>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</si>
  <si>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</si>
  <si>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</si>
  <si>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</si>
  <si>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</si>
  <si>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</si>
  <si>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</si>
  <si>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</si>
  <si>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</si>
  <si>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</si>
  <si>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</si>
  <si>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</si>
  <si>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</si>
  <si>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</si>
  <si>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</si>
  <si>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</si>
  <si>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</si>
  <si>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</si>
  <si>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</si>
  <si>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</si>
  <si>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</si>
  <si>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</si>
  <si>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</si>
  <si>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</si>
  <si>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</si>
  <si>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</si>
  <si>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</si>
  <si>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</si>
  <si>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</si>
  <si>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</si>
  <si>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</si>
  <si>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</si>
  <si>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</si>
  <si>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</si>
  <si>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</si>
  <si>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</si>
  <si>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</si>
  <si>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</si>
  <si>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</si>
  <si>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</si>
  <si>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</si>
  <si>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</si>
  <si>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</si>
  <si>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</si>
  <si>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</si>
  <si>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</si>
  <si>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</si>
  <si>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</si>
  <si>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</si>
  <si>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</si>
  <si>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</si>
  <si>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</si>
  <si>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</si>
  <si>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</si>
  <si>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</si>
  <si>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</si>
  <si>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</si>
  <si>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</si>
  <si>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</si>
  <si>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</si>
  <si>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</si>
  <si>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</si>
  <si>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</si>
  <si>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</si>
  <si>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</si>
  <si>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</si>
  <si>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</si>
  <si>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</si>
  <si>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</si>
  <si>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</si>
  <si>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</si>
  <si>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</si>
  <si>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</si>
  <si>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</si>
  <si>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</si>
  <si>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</si>
  <si>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</si>
  <si>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</si>
  <si>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</si>
  <si>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</si>
  <si>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</si>
  <si>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</si>
  <si>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</si>
  <si>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</si>
  <si>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</si>
  <si>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</si>
  <si>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</si>
  <si>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</si>
  <si>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</si>
  <si>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</si>
  <si>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</si>
  <si>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</si>
  <si>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</si>
  <si>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</si>
  <si>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</si>
  <si>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</si>
  <si>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</si>
  <si>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</si>
  <si>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</si>
  <si>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</si>
  <si>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</si>
  <si>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</si>
  <si>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</si>
  <si>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</si>
  <si>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</si>
  <si>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</si>
  <si>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</si>
  <si>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</si>
  <si>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</si>
  <si>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</si>
  <si>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</si>
  <si>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</si>
  <si>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</si>
  <si>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</si>
  <si>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</si>
  <si>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</si>
  <si>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</si>
  <si>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</si>
  <si>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</si>
  <si>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</si>
  <si>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</si>
  <si>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</si>
  <si>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</si>
  <si>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</si>
  <si>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</si>
  <si>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</si>
  <si>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</si>
  <si>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</si>
  <si>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</si>
  <si>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</si>
  <si>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</si>
  <si>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</si>
  <si>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</si>
  <si>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</si>
  <si>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</si>
  <si>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</si>
  <si>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</si>
  <si>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</si>
  <si>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</si>
  <si>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</si>
  <si>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</si>
  <si>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</si>
  <si>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</si>
  <si>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</si>
  <si>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</si>
  <si>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</si>
  <si>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</si>
  <si>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</si>
  <si>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</si>
  <si>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</si>
  <si>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</si>
  <si>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</si>
  <si>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</si>
  <si>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</si>
  <si>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</si>
  <si>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</si>
  <si>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</si>
  <si>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</si>
  <si>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</si>
  <si>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</si>
  <si>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</si>
  <si>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</si>
  <si>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</si>
  <si>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</si>
  <si>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</si>
  <si>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</si>
  <si>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</si>
  <si>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</si>
  <si>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</si>
  <si>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</si>
  <si>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</si>
  <si>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</si>
  <si>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</si>
  <si>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</si>
  <si>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</si>
  <si>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</si>
  <si>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</si>
  <si>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</si>
  <si>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</si>
  <si>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</si>
  <si>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</si>
  <si>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</si>
  <si>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</si>
  <si>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</si>
  <si>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</si>
  <si>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</si>
  <si>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</si>
  <si>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</si>
  <si>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</si>
  <si>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</si>
  <si>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</si>
  <si>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</si>
  <si>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</si>
  <si>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</si>
  <si>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</si>
  <si>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</si>
  <si>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</si>
  <si>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</si>
  <si>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</si>
  <si>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</si>
  <si>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</si>
  <si>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</si>
  <si>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</si>
  <si>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</si>
  <si>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</si>
  <si>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</si>
  <si>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</si>
  <si>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</si>
  <si>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</si>
  <si>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</si>
  <si>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</si>
  <si>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</si>
  <si>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</si>
  <si>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</si>
  <si>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</si>
  <si>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</si>
  <si>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</si>
  <si>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</si>
  <si>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</si>
  <si>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</si>
  <si>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</si>
  <si>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</si>
  <si>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</si>
  <si>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</si>
  <si>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</si>
  <si>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</si>
  <si>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</si>
  <si>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</si>
  <si>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</si>
  <si>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</si>
  <si>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</si>
  <si>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</si>
  <si>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</si>
  <si>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</si>
  <si>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</si>
  <si>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</si>
  <si>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</si>
  <si>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</si>
  <si>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</si>
  <si>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</si>
  <si>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</si>
  <si>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</si>
  <si>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</si>
  <si>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</si>
  <si>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</si>
  <si>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</si>
  <si>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</si>
  <si>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</si>
  <si>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</si>
  <si>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</si>
  <si>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</si>
  <si>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</si>
  <si>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</si>
  <si>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</si>
  <si>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</si>
  <si>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</si>
  <si>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</si>
  <si>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</si>
  <si>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</si>
  <si>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</si>
  <si>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</si>
  <si>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</si>
  <si>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</si>
  <si>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</si>
  <si>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</si>
  <si>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</si>
  <si>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</si>
  <si>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</si>
  <si>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</si>
  <si>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</si>
  <si>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</si>
  <si>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</si>
  <si>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</si>
  <si>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</si>
  <si>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</si>
  <si>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</si>
  <si>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</si>
  <si>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</si>
  <si>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</si>
  <si>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</si>
  <si>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</si>
  <si>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</si>
  <si>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</si>
  <si>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</si>
  <si>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</si>
  <si>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</si>
  <si>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</si>
  <si>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</si>
  <si>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</si>
  <si>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</si>
  <si>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</si>
  <si>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</si>
  <si>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</si>
  <si>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</si>
  <si>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</si>
  <si>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</si>
  <si>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</si>
  <si>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</si>
  <si>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</si>
  <si>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</si>
  <si>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</si>
  <si>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</si>
  <si>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</si>
  <si>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</si>
  <si>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</si>
  <si>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</si>
  <si>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</si>
  <si>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</si>
  <si>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</si>
  <si>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</si>
  <si>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</si>
  <si>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</si>
  <si>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</si>
  <si>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</si>
  <si>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</si>
  <si>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</si>
  <si>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</si>
  <si>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</si>
  <si>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</si>
  <si>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</si>
  <si>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</si>
  <si>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</si>
  <si>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</si>
  <si>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</si>
  <si>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</si>
  <si>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</si>
  <si>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</si>
  <si>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</si>
  <si>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</si>
  <si>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</si>
  <si>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</si>
  <si>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</si>
  <si>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</si>
  <si>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</si>
  <si>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</si>
  <si>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</si>
  <si>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</si>
  <si>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</si>
  <si>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</si>
  <si>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</si>
  <si>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</si>
  <si>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</si>
  <si>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</si>
  <si>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</si>
  <si>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</si>
  <si>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</si>
  <si>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</si>
  <si>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</si>
  <si>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</si>
  <si>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</si>
  <si>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</si>
  <si>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</si>
  <si>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</si>
  <si>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</si>
  <si>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</si>
  <si>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</si>
  <si>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</si>
  <si>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</si>
  <si>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</si>
  <si>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</si>
  <si>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</si>
  <si>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</si>
  <si>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</si>
  <si>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</si>
  <si>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</si>
  <si>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</si>
  <si>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</si>
  <si>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</si>
  <si>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</si>
  <si>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</si>
  <si>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</si>
  <si>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</si>
  <si>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</si>
  <si>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</si>
  <si>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</si>
  <si>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</si>
  <si>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</si>
  <si>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</si>
  <si>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</si>
  <si>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</si>
  <si>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</si>
  <si>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</si>
  <si>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</si>
  <si>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</si>
  <si>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</si>
  <si>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</si>
  <si>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</si>
  <si>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</si>
  <si>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</si>
  <si>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</si>
  <si>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</si>
  <si>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</si>
  <si>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</si>
  <si>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</si>
  <si>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</si>
  <si>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</si>
  <si>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</si>
  <si>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</si>
  <si>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</si>
  <si>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</si>
  <si>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</si>
  <si>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</si>
  <si>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</si>
  <si>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</si>
  <si>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</si>
  <si>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</si>
  <si>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</si>
  <si>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</si>
  <si>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</si>
  <si>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</si>
  <si>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</si>
  <si>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</si>
  <si>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</si>
  <si>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</si>
  <si>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</si>
  <si>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</si>
  <si>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</si>
  <si>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</si>
  <si>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</si>
  <si>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</si>
  <si>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</si>
  <si>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</si>
  <si>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</si>
  <si>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</si>
  <si>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</si>
  <si>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</si>
  <si>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</si>
  <si>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</si>
  <si>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</si>
  <si>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</si>
  <si>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</si>
  <si>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</si>
  <si>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</si>
  <si>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</si>
  <si>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</si>
  <si>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</si>
  <si>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</si>
  <si>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</si>
  <si>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</si>
  <si>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</si>
  <si>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</si>
  <si>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</si>
  <si>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</si>
  <si>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</si>
  <si>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</si>
  <si>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</si>
  <si>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</si>
  <si>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</si>
  <si>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</si>
  <si>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</si>
  <si>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</si>
  <si>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</si>
  <si>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</si>
  <si>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</si>
  <si>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</si>
  <si>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</si>
  <si>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</si>
  <si>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</si>
  <si>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</si>
  <si>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</si>
  <si>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</si>
  <si>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</si>
  <si>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</si>
  <si>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</si>
  <si>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</si>
  <si>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</si>
  <si>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</si>
  <si>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</si>
  <si>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</si>
  <si>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</si>
  <si>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</si>
  <si>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</si>
  <si>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</si>
  <si>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</si>
  <si>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</si>
  <si>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</si>
  <si>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</si>
  <si>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</si>
  <si>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</si>
  <si>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</si>
  <si>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</si>
  <si>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</si>
  <si>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</si>
  <si>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</si>
  <si>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</si>
  <si>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</si>
  <si>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</si>
  <si>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</si>
  <si>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</si>
  <si>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</si>
  <si>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</si>
  <si>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</si>
  <si>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</si>
  <si>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</si>
  <si>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</si>
  <si>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</si>
  <si>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</si>
  <si>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</si>
  <si>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</si>
  <si>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</si>
  <si>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</si>
  <si>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</si>
  <si>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</si>
  <si>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</si>
  <si>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</si>
  <si>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</si>
  <si>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</si>
  <si>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</si>
  <si>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</si>
  <si>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</si>
  <si>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</si>
  <si>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</si>
  <si>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</si>
  <si>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</si>
  <si>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</si>
  <si>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</si>
  <si>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</si>
  <si>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</si>
  <si>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</si>
  <si>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</si>
  <si>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</si>
  <si>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</si>
  <si>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</si>
  <si>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</si>
  <si>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</si>
  <si>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</si>
  <si>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</si>
  <si>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</si>
  <si>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</si>
  <si>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</si>
  <si>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</si>
  <si>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</si>
  <si>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</si>
  <si>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</si>
  <si>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</si>
  <si>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</si>
  <si>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</si>
  <si>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</si>
  <si>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</si>
  <si>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</si>
  <si>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</si>
  <si>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</si>
  <si>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</si>
  <si>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</si>
  <si>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</si>
  <si>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</si>
  <si>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</si>
  <si>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</si>
  <si>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</si>
  <si>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</si>
  <si>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</si>
  <si>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</si>
  <si>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</si>
  <si>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</si>
  <si>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</si>
  <si>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</si>
  <si>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</si>
  <si>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</si>
  <si>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</si>
  <si>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</si>
  <si>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</si>
  <si>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</si>
  <si>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</si>
  <si>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</si>
  <si>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</si>
  <si>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</si>
  <si>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</si>
  <si>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</si>
  <si>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</si>
  <si>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</si>
  <si>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</si>
  <si>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</si>
  <si>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</si>
  <si>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</si>
  <si>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</si>
  <si>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</si>
  <si>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</si>
  <si>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</si>
  <si>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</si>
  <si>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</si>
  <si>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</si>
  <si>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</si>
  <si>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</si>
  <si>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</si>
  <si>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</si>
  <si>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</si>
  <si>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</si>
  <si>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</si>
  <si>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</si>
  <si>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</si>
  <si>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</si>
  <si>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</si>
  <si>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</si>
  <si>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</si>
  <si>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</si>
  <si>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</si>
  <si>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</si>
  <si>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</si>
  <si>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</si>
  <si>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</si>
  <si>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</si>
  <si>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</si>
  <si>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</si>
  <si>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</si>
  <si>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</si>
  <si>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</si>
  <si>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</si>
  <si>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</si>
  <si>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</si>
  <si>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</si>
  <si>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</si>
  <si>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</si>
  <si>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</si>
  <si>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</si>
  <si>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</si>
  <si>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</si>
  <si>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</si>
  <si>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</si>
  <si>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</si>
  <si>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</si>
  <si>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</si>
  <si>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</si>
  <si>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</si>
  <si>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</si>
  <si>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</si>
  <si>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</si>
  <si>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</si>
  <si>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</si>
  <si>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</si>
  <si>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</si>
  <si>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</si>
  <si>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</si>
  <si>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</si>
  <si>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</si>
  <si>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</si>
  <si>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</si>
  <si>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</si>
  <si>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</si>
  <si>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</si>
  <si>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</si>
  <si>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</si>
  <si>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</si>
  <si>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</si>
  <si>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</si>
  <si>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</si>
  <si>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</si>
  <si>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</si>
  <si>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</si>
  <si>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</si>
  <si>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</si>
  <si>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</si>
  <si>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</si>
  <si>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</si>
  <si>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</si>
  <si>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</si>
  <si>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</si>
  <si>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</si>
  <si>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</si>
  <si>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</si>
  <si>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</si>
  <si>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</si>
  <si>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</si>
  <si>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</si>
  <si>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</si>
  <si>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</si>
  <si>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</si>
  <si>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</si>
  <si>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</si>
  <si>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</si>
  <si>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</si>
  <si>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</si>
  <si>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</si>
  <si>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</si>
  <si>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</si>
  <si>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</si>
  <si>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</si>
  <si>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</si>
  <si>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</si>
  <si>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</si>
  <si>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</si>
  <si>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</si>
  <si>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</si>
  <si>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</si>
  <si>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</si>
  <si>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</si>
  <si>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</si>
  <si>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</si>
  <si>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</si>
  <si>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</si>
  <si>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</si>
  <si>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</si>
  <si>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</si>
  <si>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</si>
  <si>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</si>
  <si>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</si>
  <si>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</si>
  <si>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</si>
  <si>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</si>
  <si>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</si>
  <si>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</si>
  <si>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</si>
  <si>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</si>
  <si>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</si>
  <si>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</si>
  <si>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</si>
  <si>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</si>
  <si>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</si>
  <si>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</si>
  <si>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</si>
  <si>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</si>
  <si>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</si>
  <si>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</si>
  <si>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</si>
  <si>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</si>
  <si>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</si>
  <si>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</si>
  <si>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</si>
  <si>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</si>
  <si>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</si>
  <si>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</si>
  <si>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</si>
  <si>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</si>
  <si>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</si>
  <si>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</si>
  <si>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</si>
  <si>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</si>
  <si>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</si>
  <si>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</si>
  <si>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</si>
  <si>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</si>
  <si>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</si>
  <si>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</si>
  <si>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</si>
  <si>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</si>
  <si>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</si>
  <si>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</si>
  <si>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</si>
  <si>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</si>
  <si>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</si>
  <si>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</si>
  <si>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</si>
  <si>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</si>
  <si>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</si>
  <si>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</si>
  <si>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</si>
  <si>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</si>
  <si>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</si>
  <si>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</si>
  <si>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</si>
  <si>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</si>
  <si>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</si>
  <si>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</si>
  <si>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</si>
  <si>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</si>
  <si>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</si>
  <si>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</si>
  <si>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</si>
  <si>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</si>
  <si>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</si>
  <si>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</si>
  <si>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</si>
  <si>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</si>
  <si>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</si>
  <si>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</si>
  <si>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</si>
  <si>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</si>
  <si>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</si>
  <si>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</si>
  <si>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</si>
  <si>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</si>
  <si>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</si>
  <si>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</si>
  <si>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</si>
  <si>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</si>
  <si>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</si>
  <si>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</si>
  <si>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</si>
  <si>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</si>
  <si>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</si>
  <si>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</si>
  <si>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</si>
  <si>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</si>
  <si>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</si>
  <si>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</si>
  <si>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</si>
  <si>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</si>
  <si>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</si>
  <si>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</si>
  <si>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</si>
  <si>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</si>
  <si>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</si>
  <si>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</si>
  <si>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</si>
  <si>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</si>
  <si>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</si>
  <si>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</si>
  <si>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</si>
  <si>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</si>
  <si>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</si>
  <si>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</si>
  <si>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</si>
  <si>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</si>
  <si>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</si>
  <si>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</si>
  <si>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</si>
  <si>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</si>
  <si>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</si>
  <si>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</si>
  <si>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</si>
  <si>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</si>
  <si>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</si>
  <si>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</si>
  <si>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</si>
  <si>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</si>
  <si>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</si>
  <si>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</si>
  <si>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</si>
  <si>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</si>
  <si>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</si>
  <si>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</si>
  <si>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</si>
  <si>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</si>
  <si>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</si>
  <si>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</si>
  <si>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</si>
  <si>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</si>
  <si>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</si>
  <si>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</si>
  <si>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</si>
  <si>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</si>
  <si>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</si>
  <si>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</si>
  <si>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</si>
  <si>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</si>
  <si>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</si>
  <si>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</si>
  <si>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</si>
  <si>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</si>
  <si>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</si>
  <si>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</si>
  <si>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</si>
  <si>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</si>
  <si>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</si>
  <si>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</si>
  <si>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</si>
  <si>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</si>
  <si>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</si>
  <si>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</si>
  <si>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</si>
  <si>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</si>
  <si>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</si>
  <si>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</si>
  <si>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</si>
  <si>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</si>
  <si>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</si>
  <si>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</si>
  <si>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</si>
  <si>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</si>
  <si>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</si>
  <si>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</si>
  <si>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</si>
  <si>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</si>
  <si>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</si>
  <si>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</si>
  <si>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</si>
  <si>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</si>
  <si>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</si>
  <si>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</si>
  <si>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</si>
  <si>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</si>
  <si>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</si>
  <si>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</si>
  <si>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</si>
  <si>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</si>
  <si>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</si>
  <si>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</si>
  <si>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</si>
  <si>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</si>
  <si>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</si>
  <si>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</si>
  <si>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</si>
  <si>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</si>
  <si>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</si>
  <si>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</si>
  <si>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</si>
  <si>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</si>
  <si>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</si>
  <si>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</si>
  <si>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</si>
  <si>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</si>
  <si>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</si>
  <si>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</si>
  <si>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</si>
  <si>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</si>
  <si>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</si>
  <si>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</si>
  <si>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</si>
  <si>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</si>
  <si>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</si>
  <si>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</si>
  <si>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</si>
  <si>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</si>
  <si>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</si>
  <si>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</si>
  <si>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</si>
  <si>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</si>
  <si>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</si>
  <si>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</si>
  <si>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</si>
  <si>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</si>
  <si>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</si>
  <si>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</si>
  <si>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</si>
  <si>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</si>
  <si>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</si>
  <si>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</si>
  <si>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</si>
  <si>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</si>
  <si>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</si>
  <si>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</si>
  <si>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</si>
  <si>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</si>
  <si>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</si>
  <si>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</si>
  <si>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</si>
  <si>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</si>
  <si>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</si>
  <si>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</si>
  <si>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</si>
  <si>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</si>
  <si>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</si>
  <si>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</si>
  <si>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</si>
  <si>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</si>
  <si>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</si>
  <si>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</si>
  <si>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</si>
  <si>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</si>
  <si>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</si>
  <si>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</si>
  <si>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</si>
  <si>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</si>
  <si>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</si>
  <si>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</si>
  <si>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</si>
  <si>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</si>
  <si>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</si>
  <si>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</si>
  <si>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</si>
  <si>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</si>
  <si>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</si>
  <si>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</si>
  <si>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</si>
  <si>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</si>
  <si>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</si>
  <si>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</si>
  <si>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</si>
  <si>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</si>
  <si>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</si>
  <si>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</si>
  <si>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</si>
  <si>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</si>
  <si>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</si>
  <si>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</si>
  <si>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</si>
  <si>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</si>
  <si>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</si>
  <si>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</si>
  <si>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</si>
  <si>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</si>
  <si>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</si>
  <si>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</si>
  <si>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</si>
  <si>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</si>
  <si>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</si>
  <si>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</si>
  <si>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</si>
  <si>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</si>
  <si>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</si>
  <si>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</si>
  <si>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</si>
  <si>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</si>
  <si>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</si>
  <si>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</si>
  <si>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</si>
  <si>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</si>
  <si>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</si>
  <si>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</si>
  <si>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</si>
  <si>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</si>
  <si>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</si>
  <si>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</si>
  <si>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</si>
  <si>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</si>
  <si>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</si>
  <si>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</si>
  <si>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</si>
  <si>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</si>
  <si>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</si>
  <si>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</si>
  <si>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</si>
  <si>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</si>
  <si>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</si>
  <si>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</si>
  <si>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</si>
  <si>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</si>
  <si>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</si>
  <si>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</si>
  <si>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</si>
  <si>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</si>
  <si>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</si>
  <si>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</si>
  <si>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</si>
  <si>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</si>
  <si>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</si>
  <si>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</si>
  <si>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</si>
  <si>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</si>
  <si>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</si>
  <si>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</si>
  <si>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</si>
  <si>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</si>
  <si>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</si>
  <si>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</si>
  <si>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</si>
  <si>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</si>
  <si>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</si>
  <si>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</si>
  <si>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</si>
  <si>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</si>
  <si>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</si>
  <si>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</si>
  <si>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</si>
  <si>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</si>
  <si>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</si>
  <si>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</si>
  <si>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</si>
  <si>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</si>
  <si>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</si>
  <si>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</si>
  <si>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</si>
  <si>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</si>
  <si>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</si>
  <si>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</si>
  <si>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</si>
  <si>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</si>
  <si>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</si>
  <si>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</si>
  <si>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</si>
  <si>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</si>
  <si>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</si>
  <si>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</si>
  <si>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</si>
  <si>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</si>
  <si>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</si>
  <si>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</si>
  <si>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</si>
  <si>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</si>
  <si>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</si>
  <si>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</si>
  <si>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</si>
  <si>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</si>
  <si>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</si>
  <si>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</si>
  <si>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</si>
  <si>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</si>
  <si>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</si>
  <si>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</si>
  <si>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</si>
  <si>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</si>
  <si>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</si>
  <si>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</si>
  <si>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</si>
  <si>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</si>
  <si>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</si>
  <si>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</si>
  <si>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</si>
  <si>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</si>
  <si>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</si>
  <si>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</si>
  <si>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</si>
  <si>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</si>
  <si>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</si>
  <si>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</si>
  <si>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</si>
  <si>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</si>
  <si>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</si>
  <si>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</si>
  <si>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</si>
  <si>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</si>
  <si>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</si>
  <si>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</si>
  <si>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</si>
  <si>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</si>
  <si>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</si>
  <si>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</si>
  <si>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</si>
  <si>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</si>
  <si>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</si>
  <si>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</si>
  <si>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</si>
  <si>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</si>
  <si>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</si>
  <si>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</si>
  <si>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</si>
  <si>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</si>
  <si>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</si>
  <si>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</si>
  <si>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</si>
  <si>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</si>
  <si>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</si>
  <si>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</si>
  <si>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</si>
  <si>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</si>
  <si>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</si>
  <si>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</si>
  <si>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</si>
  <si>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</si>
  <si>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</si>
  <si>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</si>
  <si>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</si>
  <si>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</si>
  <si>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</si>
  <si>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</si>
  <si>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</si>
  <si>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</si>
  <si>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</si>
  <si>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</si>
  <si>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</si>
  <si>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</si>
  <si>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</si>
  <si>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</si>
  <si>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</si>
  <si>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</si>
  <si>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</si>
  <si>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</si>
  <si>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</si>
  <si>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</si>
  <si>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</si>
  <si>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</si>
  <si>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</si>
  <si>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</si>
  <si>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</si>
  <si>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</si>
  <si>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</si>
  <si>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</si>
  <si>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</si>
  <si>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</si>
  <si>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</si>
  <si>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</si>
  <si>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</si>
  <si>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</si>
  <si>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</si>
  <si>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</si>
  <si>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</si>
  <si>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</si>
  <si>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</si>
  <si>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</si>
  <si>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</si>
  <si>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</si>
  <si>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</si>
  <si>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</si>
  <si>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</si>
  <si>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</si>
  <si>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</si>
  <si>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</si>
  <si>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</si>
  <si>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</si>
  <si>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</si>
  <si>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</si>
  <si>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</si>
  <si>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</si>
  <si>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</si>
  <si>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</si>
  <si>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</si>
  <si>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</si>
  <si>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</si>
  <si>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</si>
  <si>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</si>
  <si>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</si>
  <si>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</si>
  <si>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</si>
  <si>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</si>
  <si>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</si>
  <si>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</si>
  <si>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</si>
  <si>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</si>
  <si>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</si>
  <si>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</si>
  <si>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</si>
  <si>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</si>
  <si>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</si>
  <si>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</si>
  <si>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</si>
  <si>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</si>
  <si>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</si>
  <si>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</si>
  <si>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</si>
  <si>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</si>
  <si>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</si>
  <si>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</si>
  <si>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</si>
  <si>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</si>
  <si>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</si>
  <si>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</si>
  <si>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</si>
  <si>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</si>
  <si>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</si>
  <si>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</si>
  <si>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</si>
  <si>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</si>
  <si>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</si>
  <si>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</si>
  <si>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</si>
  <si>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</si>
  <si>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</si>
  <si>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</si>
  <si>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</si>
  <si>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</si>
  <si>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</si>
  <si>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</si>
  <si>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</si>
  <si>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</si>
  <si>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</si>
  <si>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</si>
  <si>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</si>
  <si>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</si>
  <si>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</si>
  <si>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</si>
  <si>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</si>
  <si>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</si>
  <si>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</si>
  <si>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</si>
  <si>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</si>
  <si>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</si>
  <si>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</si>
  <si>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</si>
  <si>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</si>
  <si>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</si>
  <si>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</si>
  <si>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</si>
  <si>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</si>
  <si>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</si>
  <si>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</si>
  <si>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</si>
  <si>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</si>
  <si>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</si>
  <si>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</si>
  <si>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</si>
  <si>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</si>
  <si>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</si>
  <si>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</si>
  <si>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</si>
  <si>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</si>
  <si>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</si>
  <si>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</si>
  <si>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</si>
  <si>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</si>
  <si>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</si>
  <si>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</si>
  <si>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</si>
  <si>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</si>
  <si>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</si>
  <si>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</si>
  <si>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</si>
  <si>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</si>
  <si>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</si>
  <si>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</si>
  <si>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</si>
  <si>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</si>
  <si>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</si>
  <si>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</si>
  <si>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</si>
  <si>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</si>
  <si>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</si>
  <si>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</si>
  <si>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</si>
  <si>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</si>
  <si>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</si>
  <si>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</si>
  <si>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</si>
  <si>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</si>
  <si>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</si>
  <si>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</si>
  <si>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</si>
  <si>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</si>
  <si>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</si>
  <si>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</si>
  <si>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</si>
  <si>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</si>
  <si>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</si>
  <si>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</si>
  <si>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</si>
  <si>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</si>
  <si>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</si>
  <si>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</si>
  <si>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</si>
  <si>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</si>
  <si>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</si>
  <si>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</si>
  <si>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</si>
  <si>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</si>
  <si>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</si>
  <si>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</si>
  <si>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</si>
  <si>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</si>
  <si>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</si>
  <si>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</si>
  <si>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</si>
  <si>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</si>
  <si>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</si>
  <si>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</si>
  <si>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</si>
  <si>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</si>
  <si>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</si>
  <si>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</si>
  <si>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</si>
  <si>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</si>
  <si>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</si>
  <si>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</si>
  <si>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</si>
  <si>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</si>
  <si>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</si>
  <si>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</si>
  <si>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</si>
  <si>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</si>
  <si>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</si>
  <si>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</si>
  <si>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</si>
  <si>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</si>
  <si>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</si>
  <si>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</si>
  <si>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</si>
  <si>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</si>
  <si>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</si>
  <si>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</si>
  <si>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</si>
  <si>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</si>
  <si>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</si>
  <si>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</si>
  <si>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</si>
  <si>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</si>
  <si>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</si>
  <si>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</si>
  <si>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</si>
  <si>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</si>
  <si>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</si>
  <si>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</si>
  <si>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</si>
  <si>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</si>
  <si>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</si>
  <si>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</si>
  <si>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</si>
  <si>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</si>
  <si>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</si>
  <si>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</si>
  <si>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</si>
  <si>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</si>
  <si>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</si>
  <si>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</si>
  <si>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</si>
  <si>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</si>
  <si>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</si>
  <si>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</si>
  <si>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</si>
  <si>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</si>
  <si>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</si>
  <si>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</si>
  <si>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</si>
  <si>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</si>
  <si>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</si>
  <si>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</si>
  <si>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</si>
  <si>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</si>
  <si>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</si>
  <si>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</si>
  <si>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</si>
  <si>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</si>
  <si>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</si>
  <si>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</si>
  <si>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</si>
  <si>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</si>
  <si>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</si>
  <si>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</si>
  <si>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</si>
  <si>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</si>
  <si>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</si>
  <si>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</si>
  <si>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</si>
  <si>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</si>
  <si>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</si>
  <si>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</si>
  <si>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</si>
  <si>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</si>
  <si>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</si>
  <si>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</si>
  <si>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</si>
  <si>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</si>
  <si>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</si>
  <si>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</si>
  <si>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</si>
  <si>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</si>
  <si>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</si>
  <si>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</si>
  <si>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</si>
  <si>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</si>
  <si>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</si>
  <si>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</si>
  <si>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</si>
  <si>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</si>
  <si>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</si>
  <si>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</si>
  <si>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</si>
  <si>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</si>
  <si>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</si>
  <si>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</si>
  <si>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</si>
  <si>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</si>
  <si>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</si>
  <si>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</si>
  <si>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</si>
  <si>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</si>
  <si>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</si>
  <si>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</si>
  <si>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</si>
  <si>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</si>
  <si>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</si>
  <si>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</si>
  <si>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</si>
  <si>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</si>
  <si>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</si>
  <si>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</si>
  <si>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</si>
  <si>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</si>
  <si>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</si>
  <si>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</si>
  <si>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</si>
  <si>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</si>
  <si>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</si>
  <si>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</si>
  <si>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</si>
  <si>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</si>
  <si>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</si>
  <si>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</si>
  <si>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</si>
  <si>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</si>
  <si>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</si>
  <si>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</si>
  <si>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</si>
  <si>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</si>
  <si>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</si>
  <si>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</si>
  <si>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</si>
  <si>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</si>
  <si>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</si>
  <si>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</si>
  <si>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</si>
  <si>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</si>
  <si>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</si>
  <si>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</si>
  <si>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</si>
  <si>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</si>
  <si>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</si>
  <si>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</si>
  <si>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</si>
  <si>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</si>
  <si>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</si>
  <si>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</si>
  <si>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</si>
  <si>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</si>
  <si>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</si>
  <si>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</si>
  <si>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</si>
  <si>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</si>
  <si>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</si>
  <si>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</si>
  <si>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</si>
  <si>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</si>
  <si>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</si>
  <si>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</si>
  <si>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</si>
  <si>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</si>
  <si>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</si>
  <si>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</si>
  <si>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</si>
  <si>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</si>
  <si>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</si>
  <si>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</si>
  <si>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</si>
  <si>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</si>
  <si>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</si>
  <si>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</si>
  <si>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</si>
  <si>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</si>
  <si>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</si>
  <si>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</si>
  <si>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</si>
  <si>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</si>
  <si>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</si>
  <si>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</si>
  <si>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</si>
  <si>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</si>
  <si>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</si>
  <si>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</si>
  <si>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</si>
  <si>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</si>
  <si>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</si>
  <si>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</si>
  <si>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</si>
  <si>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</si>
  <si>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</si>
  <si>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</si>
  <si>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</si>
  <si>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</si>
  <si>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</si>
  <si>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</si>
  <si>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</si>
  <si>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</si>
  <si>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</si>
  <si>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</si>
  <si>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</si>
  <si>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</si>
  <si>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</si>
  <si>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</si>
  <si>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</si>
  <si>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</si>
  <si>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</si>
  <si>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</si>
  <si>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</si>
  <si>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</si>
  <si>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</si>
  <si>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</si>
  <si>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</si>
  <si>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</si>
  <si>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</si>
  <si>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</si>
  <si>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</si>
  <si>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</si>
  <si>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</si>
  <si>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</si>
  <si>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</si>
  <si>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</si>
  <si>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</si>
  <si>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</si>
  <si>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</si>
  <si>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</si>
  <si>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</si>
  <si>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</si>
  <si>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</si>
  <si>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</si>
  <si>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</si>
  <si>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</si>
  <si>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</si>
  <si>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</si>
  <si>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</si>
  <si>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</si>
  <si>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</si>
  <si>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</si>
  <si>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</si>
  <si>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</si>
  <si>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</si>
  <si>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</si>
  <si>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</si>
  <si>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</si>
  <si>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</si>
  <si>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</si>
  <si>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</si>
  <si>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</si>
  <si>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</si>
  <si>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</si>
  <si>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</si>
  <si>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</si>
  <si>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</si>
  <si>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</si>
  <si>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</si>
  <si>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</si>
  <si>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</si>
  <si>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</si>
  <si>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</si>
  <si>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</si>
  <si>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</si>
  <si>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</si>
  <si>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</si>
  <si>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</si>
  <si>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</si>
  <si>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</si>
  <si>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</si>
  <si>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</si>
  <si>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</si>
  <si>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</si>
  <si>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</si>
  <si>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</si>
  <si>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</si>
  <si>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</si>
  <si>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</si>
  <si>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</si>
  <si>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</si>
  <si>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</si>
  <si>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</si>
  <si>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</si>
  <si>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</si>
  <si>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</si>
  <si>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</si>
  <si>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</si>
  <si>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</si>
  <si>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</si>
  <si>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</si>
  <si>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</si>
  <si>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</si>
  <si>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</si>
  <si>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</si>
  <si>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</si>
  <si>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</si>
  <si>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</si>
  <si>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</si>
  <si>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</si>
  <si>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</si>
  <si>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</si>
  <si>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</si>
  <si>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</si>
  <si>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</si>
  <si>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</si>
  <si>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</si>
  <si>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</si>
  <si>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</si>
  <si>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</si>
  <si>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</si>
  <si>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</si>
  <si>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</si>
  <si>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</si>
  <si>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</si>
  <si>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</si>
  <si>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</si>
  <si>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</si>
  <si>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</si>
  <si>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</si>
  <si>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</si>
  <si>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</si>
  <si>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</si>
  <si>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</si>
  <si>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</si>
  <si>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</si>
  <si>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</si>
  <si>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</si>
  <si>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</si>
  <si>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</si>
  <si>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</si>
  <si>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</si>
  <si>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</si>
  <si>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</si>
  <si>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</si>
  <si>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</si>
  <si>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</si>
  <si>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</si>
  <si>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</si>
  <si>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</si>
  <si>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</si>
  <si>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</si>
  <si>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</si>
  <si>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</si>
  <si>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</si>
  <si>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</si>
  <si>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</si>
  <si>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</si>
  <si>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</si>
  <si>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</si>
  <si>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</si>
  <si>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</si>
  <si>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</si>
  <si>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</si>
  <si>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</si>
  <si>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</si>
  <si>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</si>
  <si>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</si>
  <si>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</si>
  <si>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</si>
  <si>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</si>
  <si>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</si>
  <si>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</si>
  <si>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</si>
  <si>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</si>
  <si>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</si>
  <si>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</si>
  <si>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</si>
  <si>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</si>
  <si>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</si>
  <si>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</si>
  <si>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</si>
  <si>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</si>
  <si>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</si>
  <si>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</si>
  <si>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</si>
  <si>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</si>
  <si>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</si>
  <si>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</si>
  <si>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</si>
  <si>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</si>
  <si>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</si>
  <si>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</si>
  <si>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</si>
  <si>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</si>
  <si>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</si>
  <si>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</si>
  <si>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</si>
  <si>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</si>
  <si>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</si>
  <si>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</si>
  <si>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</si>
  <si>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</si>
  <si>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</si>
  <si>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</si>
  <si>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</si>
  <si>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</si>
  <si>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</si>
  <si>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</si>
  <si>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</si>
  <si>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</si>
  <si>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</si>
  <si>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</si>
  <si>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</si>
  <si>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</si>
  <si>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</si>
  <si>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</si>
  <si>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</si>
  <si>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</si>
  <si>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</si>
  <si>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</si>
  <si>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</si>
  <si>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</si>
  <si>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</si>
  <si>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</si>
  <si>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</si>
  <si>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</si>
  <si>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</si>
  <si>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</si>
  <si>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</si>
  <si>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</si>
  <si>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</si>
  <si>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</si>
  <si>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</si>
  <si>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</si>
  <si>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</si>
  <si>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</si>
  <si>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</si>
  <si>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</si>
  <si>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</si>
  <si>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</si>
  <si>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</si>
  <si>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</si>
  <si>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</si>
  <si>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</si>
  <si>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</si>
  <si>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</si>
  <si>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</si>
  <si>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</si>
  <si>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</si>
  <si>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</si>
  <si>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</si>
  <si>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</si>
  <si>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</si>
  <si>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</si>
  <si>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</si>
  <si>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</si>
  <si>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</si>
  <si>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</si>
  <si>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</si>
  <si>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</si>
  <si>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</si>
  <si>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</si>
  <si>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</si>
  <si>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</si>
  <si>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</si>
  <si>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</si>
  <si>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</si>
  <si>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</si>
  <si>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</si>
  <si>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</si>
  <si>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</si>
  <si>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</si>
  <si>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</si>
  <si>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</si>
  <si>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</si>
  <si>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</si>
  <si>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</si>
  <si>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</si>
  <si>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</si>
  <si>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</si>
  <si>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</si>
  <si>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</si>
  <si>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</si>
  <si>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</si>
  <si>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</si>
  <si>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</si>
  <si>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</si>
  <si>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</si>
  <si>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</si>
  <si>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</si>
  <si>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</si>
  <si>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</si>
  <si>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</si>
  <si>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</si>
  <si>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</si>
  <si>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</si>
  <si>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</si>
  <si>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</si>
  <si>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</si>
  <si>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</si>
  <si>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</si>
  <si>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</si>
  <si>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</si>
  <si>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</si>
  <si>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</si>
  <si>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</si>
  <si>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</si>
  <si>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</si>
  <si>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</si>
  <si>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</si>
  <si>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</si>
  <si>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</si>
  <si>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</si>
  <si>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</si>
  <si>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</si>
  <si>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</si>
  <si>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</si>
  <si>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</si>
  <si>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</si>
  <si>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</si>
  <si>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</si>
  <si>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</si>
  <si>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</si>
  <si>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</si>
  <si>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</si>
  <si>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</si>
  <si>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</si>
  <si>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</si>
  <si>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</si>
  <si>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</si>
  <si>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</si>
  <si>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</si>
  <si>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</si>
  <si>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</si>
  <si>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</si>
  <si>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</si>
  <si>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</si>
  <si>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</si>
  <si>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</si>
  <si>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</si>
  <si>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</si>
  <si>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</si>
  <si>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</si>
  <si>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</si>
  <si>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</si>
  <si>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</si>
  <si>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</si>
  <si>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</si>
  <si>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</si>
  <si>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</si>
  <si>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</si>
  <si>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</si>
  <si>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</si>
  <si>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</si>
  <si>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</si>
  <si>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</si>
  <si>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</si>
  <si>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</si>
  <si>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</si>
  <si>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</si>
  <si>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</si>
  <si>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</si>
  <si>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</si>
  <si>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</si>
  <si>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</si>
  <si>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</si>
  <si>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</si>
  <si>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</si>
  <si>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</si>
  <si>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</si>
  <si>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</si>
  <si>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</si>
  <si>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</si>
  <si>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</si>
  <si>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</si>
  <si>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</si>
  <si>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</si>
  <si>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</si>
  <si>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</si>
  <si>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</si>
  <si>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</si>
  <si>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</si>
  <si>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</si>
  <si>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</si>
  <si>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</si>
  <si>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</si>
  <si>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</si>
  <si>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</si>
  <si>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</si>
  <si>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</si>
  <si>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</si>
  <si>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</si>
  <si>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</si>
  <si>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</si>
  <si>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</si>
  <si>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</si>
  <si>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</si>
  <si>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</si>
  <si>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</si>
  <si>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</si>
  <si>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</si>
  <si>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</si>
  <si>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</si>
  <si>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</si>
  <si>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</si>
  <si>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</si>
  <si>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</si>
  <si>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</si>
  <si>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</si>
  <si>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</si>
  <si>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</si>
  <si>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</si>
  <si>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</si>
  <si>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</si>
  <si>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</si>
  <si>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</si>
  <si>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</si>
  <si>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</si>
  <si>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</si>
  <si>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</si>
  <si>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</si>
  <si>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</si>
  <si>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</si>
  <si>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</si>
  <si>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</si>
  <si>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</si>
  <si>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</si>
  <si>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</si>
  <si>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</si>
  <si>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</si>
  <si>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</si>
  <si>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</si>
  <si>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</si>
  <si>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</si>
  <si>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</si>
  <si>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</si>
  <si>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</si>
  <si>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</si>
  <si>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</si>
  <si>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</si>
  <si>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</si>
  <si>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</si>
  <si>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</si>
  <si>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</si>
  <si>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</si>
  <si>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</si>
  <si>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</si>
  <si>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</si>
  <si>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</si>
  <si>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</si>
  <si>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</si>
  <si>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</si>
  <si>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</si>
  <si>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</si>
  <si>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</si>
  <si>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</si>
  <si>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</si>
  <si>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</si>
  <si>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</si>
  <si>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</si>
  <si>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</si>
  <si>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</si>
  <si>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</si>
  <si>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</si>
  <si>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</si>
  <si>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</si>
  <si>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</si>
  <si>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</si>
  <si>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</si>
  <si>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</si>
  <si>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</si>
  <si>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</si>
  <si>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</si>
  <si>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</si>
  <si>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</si>
  <si>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</si>
  <si>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</si>
  <si>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</si>
  <si>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</si>
  <si>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</si>
  <si>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</si>
  <si>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</si>
  <si>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</si>
  <si>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</si>
  <si>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</si>
  <si>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</si>
  <si>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</si>
  <si>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</si>
  <si>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</si>
  <si>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</si>
  <si>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</si>
  <si>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</si>
  <si>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</si>
  <si>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</si>
  <si>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</si>
  <si>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</si>
  <si>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</si>
  <si>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</si>
  <si>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</si>
  <si>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</si>
  <si>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</si>
  <si>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</si>
  <si>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</si>
  <si>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</si>
  <si>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</si>
  <si>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</si>
  <si>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</si>
  <si>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</si>
  <si>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</si>
  <si>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</si>
  <si>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</si>
  <si>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</si>
  <si>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</si>
  <si>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</si>
  <si>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</si>
  <si>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</si>
  <si>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</si>
  <si>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</si>
  <si>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</si>
  <si>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</si>
  <si>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</si>
  <si>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</si>
  <si>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</si>
  <si>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</si>
  <si>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</si>
  <si>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</si>
  <si>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</si>
  <si>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</si>
  <si>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</si>
  <si>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</si>
  <si>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</si>
  <si>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</si>
  <si>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</si>
  <si>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</si>
  <si>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</si>
  <si>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</si>
  <si>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</si>
  <si>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</si>
  <si>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</si>
  <si>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</si>
  <si>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</si>
  <si>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</si>
  <si>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</si>
  <si>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</si>
  <si>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</si>
  <si>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</si>
  <si>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</si>
  <si>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</si>
  <si>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</si>
  <si>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</si>
  <si>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</si>
  <si>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</si>
  <si>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</si>
  <si>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</si>
  <si>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</si>
  <si>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</si>
  <si>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</si>
  <si>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</si>
  <si>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</si>
  <si>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</si>
  <si>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</si>
  <si>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</si>
  <si>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</si>
  <si>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</si>
  <si>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</si>
  <si>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</si>
  <si>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</si>
  <si>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</si>
  <si>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</si>
  <si>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</si>
  <si>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</si>
  <si>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</si>
  <si>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</si>
  <si>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</si>
  <si>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</si>
  <si>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</si>
  <si>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</si>
  <si>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</si>
  <si>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</si>
  <si>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</si>
  <si>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</si>
  <si>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</si>
  <si>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</si>
  <si>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</si>
  <si>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</si>
  <si>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</si>
  <si>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</si>
  <si>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</si>
  <si>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</si>
  <si>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</si>
  <si>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</si>
  <si>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</si>
  <si>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</si>
  <si>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</si>
  <si>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</si>
  <si>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</si>
  <si>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</si>
  <si>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</si>
  <si>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</si>
  <si>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</si>
  <si>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</si>
  <si>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</si>
  <si>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</si>
  <si>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</si>
  <si>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</si>
  <si>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</si>
  <si>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</si>
  <si>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</si>
  <si>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</si>
  <si>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</si>
  <si>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</si>
  <si>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</si>
  <si>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</si>
  <si>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</si>
  <si>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</si>
  <si>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</si>
  <si>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</si>
  <si>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</si>
  <si>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</si>
  <si>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</si>
  <si>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</si>
  <si>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</si>
  <si>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</si>
  <si>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</si>
  <si>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</si>
  <si>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</si>
  <si>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</si>
  <si>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</si>
  <si>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</si>
  <si>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</si>
  <si>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</si>
  <si>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</si>
  <si>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</si>
  <si>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</si>
  <si>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</si>
  <si>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</si>
  <si>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</si>
  <si>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</si>
  <si>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</si>
  <si>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</si>
  <si>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</si>
  <si>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</si>
  <si>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</si>
  <si>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</si>
  <si>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</si>
  <si>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</si>
  <si>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</si>
  <si>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</si>
  <si>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</si>
  <si>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</si>
  <si>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</si>
  <si>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</si>
  <si>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</si>
  <si>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</si>
  <si>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</si>
  <si>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</si>
  <si>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</si>
  <si>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</si>
  <si>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</si>
  <si>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</si>
  <si>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</si>
  <si>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</si>
  <si>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</si>
  <si>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</si>
  <si>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</si>
  <si>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</si>
  <si>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</si>
  <si>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</si>
  <si>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</si>
  <si>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</si>
  <si>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</si>
  <si>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</si>
  <si>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</si>
  <si>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</si>
  <si>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</si>
  <si>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</si>
  <si>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</si>
  <si>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</si>
  <si>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</si>
  <si>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</si>
  <si>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</si>
  <si>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</si>
  <si>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</si>
  <si>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</si>
  <si>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</si>
  <si>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</si>
  <si>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</si>
  <si>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</si>
  <si>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</si>
  <si>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</si>
  <si>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</si>
  <si>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</si>
  <si>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</si>
  <si>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</si>
  <si>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</si>
  <si>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</si>
  <si>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</si>
  <si>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</si>
  <si>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</si>
  <si>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</si>
  <si>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</si>
  <si>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</si>
  <si>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</si>
  <si>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</si>
  <si>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</si>
  <si>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</si>
  <si>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</si>
  <si>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</si>
  <si>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</si>
  <si>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</si>
  <si>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</si>
  <si>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</si>
  <si>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</si>
  <si>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</si>
  <si>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</si>
  <si>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</si>
  <si>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</si>
  <si>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</si>
  <si>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</si>
  <si>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</si>
  <si>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</si>
  <si>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</si>
  <si>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</si>
  <si>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</si>
  <si>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</si>
  <si>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</si>
  <si>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</si>
  <si>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</si>
  <si>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</si>
  <si>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</si>
  <si>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</si>
  <si>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</si>
  <si>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</si>
  <si>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</si>
  <si>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</si>
  <si>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</si>
  <si>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</si>
  <si>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</si>
  <si>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</si>
  <si>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</si>
  <si>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</si>
  <si>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</si>
  <si>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</si>
  <si>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</si>
  <si>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</si>
  <si>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</si>
  <si>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</si>
  <si>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</si>
  <si>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</si>
  <si>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</si>
  <si>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</si>
  <si>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</si>
  <si>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</si>
  <si>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</si>
  <si>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</si>
  <si>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</si>
  <si>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</si>
  <si>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</si>
  <si>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</si>
  <si>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</si>
  <si>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</si>
  <si>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</si>
  <si>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</si>
  <si>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</si>
  <si>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</si>
  <si>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</si>
  <si>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</si>
  <si>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</si>
  <si>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</si>
  <si>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</si>
  <si>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</si>
  <si>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</si>
  <si>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</si>
  <si>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</si>
  <si>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</si>
  <si>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</si>
  <si>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</si>
  <si>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</si>
  <si>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</si>
  <si>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</si>
  <si>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</si>
  <si>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</si>
  <si>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</si>
  <si>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</si>
  <si>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</si>
  <si>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</si>
  <si>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</si>
  <si>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</si>
  <si>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</si>
  <si>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</si>
  <si>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</si>
  <si>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</si>
  <si>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</si>
  <si>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</si>
  <si>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</si>
  <si>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</si>
  <si>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</si>
  <si>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</si>
  <si>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</si>
  <si>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</si>
  <si>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</si>
  <si>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</si>
  <si>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</si>
  <si>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</si>
  <si>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</si>
  <si>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</si>
  <si>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</si>
  <si>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</si>
  <si>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</si>
  <si>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</si>
  <si>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</si>
  <si>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</si>
  <si>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</si>
  <si>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</si>
  <si>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</si>
  <si>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</si>
  <si>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</si>
  <si>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</si>
  <si>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</si>
  <si>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</si>
  <si>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</si>
  <si>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</si>
  <si>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</si>
  <si>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</si>
  <si>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</si>
  <si>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</si>
  <si>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</si>
  <si>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</si>
  <si>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</si>
  <si>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</si>
  <si>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</si>
  <si>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</si>
  <si>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</si>
  <si>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</si>
  <si>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</si>
  <si>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</si>
  <si>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</si>
  <si>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</si>
  <si>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</si>
  <si>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</si>
  <si>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</si>
  <si>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</si>
  <si>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</si>
  <si>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</si>
  <si>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</si>
  <si>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</si>
  <si>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</si>
  <si>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</si>
  <si>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</si>
  <si>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</si>
  <si>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</si>
  <si>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</si>
  <si>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</si>
  <si>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</si>
  <si>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</si>
  <si>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</si>
  <si>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</si>
  <si>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</si>
  <si>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</si>
  <si>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</si>
  <si>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</si>
  <si>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</si>
  <si>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</si>
  <si>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</si>
  <si>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</si>
  <si>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</si>
  <si>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</si>
  <si>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</si>
  <si>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</si>
  <si>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</si>
  <si>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</si>
  <si>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</si>
  <si>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</si>
  <si>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</si>
  <si>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</si>
  <si>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</si>
  <si>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</si>
  <si>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</si>
  <si>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</si>
  <si>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</si>
  <si>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</si>
  <si>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</si>
  <si>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</si>
  <si>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</si>
  <si>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</si>
  <si>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</si>
  <si>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</si>
  <si>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</si>
  <si>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</si>
  <si>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</si>
  <si>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</si>
  <si>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</si>
  <si>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</si>
  <si>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</si>
  <si>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</si>
  <si>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</si>
  <si>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</si>
  <si>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</si>
  <si>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</si>
  <si>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</si>
  <si>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</si>
  <si>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</si>
  <si>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</si>
  <si>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</si>
  <si>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</si>
  <si>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</si>
  <si>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</si>
  <si>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</si>
  <si>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</si>
  <si>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</si>
  <si>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</si>
  <si>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</si>
  <si>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</si>
  <si>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</si>
  <si>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</si>
  <si>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</si>
  <si>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</si>
  <si>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</si>
  <si>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</si>
  <si>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</si>
  <si>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</si>
  <si>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</si>
  <si>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</si>
  <si>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</si>
  <si>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</si>
  <si>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</si>
  <si>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</si>
  <si>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</si>
  <si>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</si>
  <si>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</si>
  <si>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</si>
  <si>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</si>
  <si>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</si>
  <si>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</si>
  <si>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</si>
  <si>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</si>
  <si>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</si>
  <si>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</si>
  <si>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</si>
  <si>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</si>
  <si>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</si>
  <si>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</si>
  <si>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</si>
  <si>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</si>
  <si>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</si>
  <si>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</si>
  <si>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</si>
  <si>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</si>
  <si>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</si>
  <si>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</si>
  <si>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</si>
  <si>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</si>
  <si>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</si>
  <si>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</si>
  <si>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</si>
  <si>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</si>
  <si>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</si>
  <si>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</si>
  <si>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</si>
  <si>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</si>
  <si>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</si>
  <si>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</si>
  <si>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</si>
  <si>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</si>
  <si>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</si>
  <si>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</si>
  <si>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</si>
  <si>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</si>
  <si>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</si>
  <si>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</si>
  <si>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</si>
  <si>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</si>
  <si>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</si>
  <si>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</si>
  <si>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</si>
  <si>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</si>
  <si>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</si>
  <si>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</si>
  <si>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</si>
  <si>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</si>
  <si>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</si>
  <si>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</si>
  <si>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</si>
  <si>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</si>
  <si>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</si>
  <si>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</si>
  <si>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</si>
  <si>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</si>
  <si>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</si>
  <si>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</si>
  <si>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</si>
  <si>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</si>
  <si>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</si>
  <si>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</si>
  <si>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</si>
  <si>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</si>
  <si>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</si>
  <si>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</si>
  <si>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</si>
  <si>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</si>
  <si>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</si>
  <si>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</si>
  <si>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</si>
  <si>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</si>
  <si>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</si>
  <si>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</si>
  <si>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</si>
  <si>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</si>
  <si>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</si>
  <si>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</si>
  <si>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</si>
  <si>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</si>
  <si>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</si>
  <si>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</si>
  <si>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</si>
  <si>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</si>
  <si>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</si>
  <si>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</si>
  <si>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</si>
  <si>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</si>
  <si>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</si>
  <si>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</si>
  <si>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</si>
  <si>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</si>
  <si>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</si>
  <si>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</si>
  <si>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</si>
  <si>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</si>
  <si>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</si>
  <si>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</si>
  <si>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</si>
  <si>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</si>
  <si>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</si>
  <si>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</si>
  <si>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</si>
  <si>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</si>
  <si>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</si>
  <si>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</si>
  <si>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</si>
  <si>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</si>
  <si>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</si>
  <si>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</si>
  <si>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</si>
  <si>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</si>
  <si>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</si>
  <si>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</si>
  <si>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</si>
  <si>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</si>
  <si>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</si>
  <si>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</si>
  <si>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</si>
  <si>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</si>
  <si>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</si>
  <si>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</si>
  <si>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</si>
  <si>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</si>
  <si>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</si>
  <si>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</si>
  <si>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</si>
  <si>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</si>
  <si>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</si>
  <si>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</si>
  <si>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</si>
  <si>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</si>
  <si>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</si>
  <si>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</si>
  <si>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</si>
  <si>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</si>
  <si>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</si>
  <si>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</si>
  <si>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</si>
  <si>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</si>
  <si>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</si>
  <si>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</si>
  <si>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</si>
  <si>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</si>
  <si>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</si>
  <si>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</si>
  <si>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</si>
  <si>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</si>
  <si>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</si>
  <si>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</si>
  <si>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</si>
  <si>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</si>
  <si>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</si>
  <si>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</si>
  <si>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</si>
  <si>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</si>
  <si>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</si>
  <si>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</si>
  <si>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</si>
  <si>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</si>
  <si>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</si>
  <si>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</si>
  <si>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</si>
  <si>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</si>
  <si>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</si>
  <si>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</si>
  <si>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</si>
  <si>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</si>
  <si>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</si>
  <si>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</si>
  <si>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</si>
  <si>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</si>
  <si>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</si>
  <si>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</si>
  <si>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</si>
  <si>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</si>
  <si>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</si>
  <si>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</si>
  <si>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</si>
  <si>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</si>
  <si>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</si>
  <si>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</si>
  <si>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</si>
  <si>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</si>
  <si>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</si>
  <si>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</si>
  <si>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</si>
  <si>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</si>
  <si>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</si>
  <si>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</si>
  <si>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</si>
  <si>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</si>
  <si>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</si>
  <si>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</si>
  <si>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</si>
  <si>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</si>
  <si>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</si>
  <si>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</si>
  <si>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</si>
  <si>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</si>
  <si>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</si>
  <si>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</si>
  <si>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</si>
  <si>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</si>
  <si>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</si>
  <si>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</si>
  <si>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</si>
  <si>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</si>
  <si>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</si>
  <si>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</si>
  <si>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</si>
  <si>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</si>
  <si>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</si>
  <si>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</si>
  <si>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</si>
  <si>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</si>
  <si>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</si>
  <si>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</si>
  <si>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</si>
  <si>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</si>
  <si>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</si>
  <si>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</si>
  <si>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</si>
  <si>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</si>
  <si>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</si>
  <si>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</si>
  <si>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</si>
  <si>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</si>
  <si>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</si>
  <si>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</si>
  <si>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</si>
  <si>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</si>
  <si>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</si>
  <si>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</si>
  <si>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</si>
  <si>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</si>
  <si>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</si>
  <si>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</si>
  <si>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</si>
  <si>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</si>
  <si>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</si>
  <si>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</si>
  <si>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</si>
  <si>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</si>
  <si>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</si>
  <si>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</si>
  <si>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</si>
  <si>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</si>
  <si>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</si>
  <si>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</si>
  <si>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</si>
  <si>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</si>
  <si>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</si>
  <si>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</si>
  <si>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</si>
  <si>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</si>
  <si>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</si>
  <si>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</si>
  <si>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</si>
  <si>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</si>
  <si>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</si>
  <si>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</si>
  <si>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</si>
  <si>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</si>
  <si>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</si>
  <si>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</si>
  <si>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</si>
  <si>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</si>
  <si>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</si>
  <si>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</si>
  <si>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</si>
  <si>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</si>
  <si>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</si>
  <si>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</si>
  <si>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</si>
  <si>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</si>
  <si>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</si>
  <si>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</si>
  <si>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</si>
  <si>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</si>
  <si>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</si>
  <si>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</si>
  <si>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</si>
  <si>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</si>
  <si>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</si>
  <si>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</si>
  <si>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</si>
  <si>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</si>
  <si>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</si>
  <si>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</si>
  <si>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</si>
  <si>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</si>
  <si>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</si>
  <si>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</si>
  <si>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</si>
  <si>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</si>
  <si>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</si>
  <si>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</si>
  <si>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</si>
  <si>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</si>
  <si>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</si>
  <si>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</si>
  <si>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</si>
  <si>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</si>
  <si>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</si>
  <si>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</si>
  <si>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</si>
  <si>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</si>
  <si>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</si>
  <si>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</si>
  <si>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</si>
  <si>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</si>
  <si>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</si>
  <si>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</si>
  <si>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</si>
  <si>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</si>
  <si>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</si>
  <si>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</si>
  <si>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</si>
  <si>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</si>
  <si>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</si>
  <si>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</si>
  <si>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</si>
  <si>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</si>
  <si>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</si>
  <si>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</si>
  <si>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</si>
  <si>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</si>
  <si>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</si>
  <si>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</si>
  <si>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</si>
  <si>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</si>
  <si>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</si>
  <si>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</si>
  <si>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</si>
  <si>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</si>
  <si>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</si>
  <si>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</si>
  <si>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</si>
  <si>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</si>
  <si>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</si>
  <si>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</si>
  <si>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</si>
  <si>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</si>
  <si>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</si>
  <si>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</si>
  <si>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</si>
  <si>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</si>
  <si>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</si>
  <si>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</si>
  <si>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</si>
  <si>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</si>
  <si>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</si>
  <si>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</si>
  <si>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</si>
  <si>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</si>
  <si>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</si>
  <si>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</si>
  <si>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</si>
  <si>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</si>
  <si>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</si>
  <si>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</si>
  <si>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</si>
  <si>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</si>
  <si>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</si>
  <si>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</si>
  <si>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</si>
  <si>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</si>
  <si>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</si>
  <si>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</si>
  <si>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</si>
  <si>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</si>
  <si>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</si>
  <si>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</si>
  <si>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</si>
  <si>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</si>
  <si>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</si>
  <si>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</si>
  <si>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</si>
  <si>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</si>
  <si>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</si>
  <si>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</si>
  <si>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</si>
  <si>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</si>
  <si>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</si>
  <si>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</si>
  <si>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</si>
  <si>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</si>
  <si>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</si>
  <si>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</si>
  <si>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</si>
  <si>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</si>
  <si>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</si>
  <si>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</si>
  <si>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</si>
  <si>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</si>
  <si>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</si>
  <si>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</si>
  <si>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</si>
  <si>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</si>
  <si>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</si>
  <si>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</si>
  <si>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</si>
  <si>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</si>
  <si>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</si>
  <si>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</si>
  <si>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</si>
  <si>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</si>
  <si>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</si>
  <si>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</si>
  <si>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</si>
  <si>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</si>
  <si>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</si>
  <si>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</si>
  <si>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</si>
  <si>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</si>
  <si>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</si>
  <si>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</si>
  <si>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</si>
  <si>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</si>
  <si>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</si>
  <si>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</si>
  <si>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</si>
  <si>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</si>
  <si>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</si>
  <si>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</si>
  <si>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</si>
  <si>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</si>
  <si>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</si>
  <si>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</si>
  <si>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</si>
  <si>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</si>
  <si>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</si>
  <si>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</si>
  <si>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</si>
  <si>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</si>
  <si>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</si>
  <si>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</si>
  <si>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</si>
  <si>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</si>
  <si>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</si>
  <si>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</si>
  <si>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</si>
  <si>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</si>
  <si>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</si>
  <si>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</si>
  <si>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</si>
  <si>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</si>
  <si>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</si>
  <si>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</si>
  <si>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</si>
  <si>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</si>
  <si>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</si>
  <si>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</si>
  <si>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</si>
  <si>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</si>
  <si>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</si>
  <si>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</si>
  <si>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</si>
  <si>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</si>
  <si>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</si>
  <si>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</si>
  <si>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</si>
  <si>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</si>
  <si>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</si>
  <si>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</si>
  <si>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</si>
  <si>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</si>
  <si>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</si>
  <si>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</si>
  <si>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</si>
  <si>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</si>
  <si>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</si>
  <si>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</si>
  <si>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</si>
  <si>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</si>
  <si>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</si>
  <si>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</si>
  <si>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</si>
  <si>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</si>
  <si>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</si>
  <si>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</si>
  <si>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</si>
  <si>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</si>
  <si>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</si>
  <si>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</si>
  <si>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</si>
  <si>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</si>
  <si>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</si>
  <si>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</si>
  <si>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</si>
  <si>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</si>
  <si>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</si>
  <si>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</si>
  <si>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</si>
  <si>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</si>
  <si>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</si>
  <si>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</si>
  <si>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</si>
  <si>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</si>
  <si>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</si>
  <si>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</si>
  <si>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</si>
  <si>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</si>
  <si>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</si>
  <si>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</si>
  <si>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</si>
  <si>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</si>
  <si>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</si>
  <si>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</si>
  <si>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</si>
  <si>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</si>
  <si>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</si>
  <si>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</si>
  <si>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</si>
  <si>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</si>
  <si>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</si>
  <si>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</si>
  <si>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</si>
  <si>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</si>
  <si>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</si>
  <si>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</si>
  <si>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</si>
  <si>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</si>
  <si>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</si>
  <si>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</si>
  <si>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</si>
  <si>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</si>
  <si>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</si>
  <si>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</si>
  <si>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</si>
  <si>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</si>
  <si>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</si>
  <si>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</si>
  <si>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</si>
  <si>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</si>
  <si>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</si>
  <si>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</si>
  <si>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</si>
  <si>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</si>
  <si>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</si>
  <si>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</si>
  <si>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</si>
  <si>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</si>
  <si>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</si>
  <si>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</si>
  <si>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</si>
  <si>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</si>
  <si>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</si>
  <si>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</si>
  <si>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</si>
  <si>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</si>
  <si>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</si>
  <si>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</si>
  <si>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</si>
  <si>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</si>
  <si>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</si>
  <si>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</si>
  <si>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</si>
  <si>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</si>
  <si>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</si>
  <si>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</si>
  <si>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</si>
  <si>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</si>
  <si>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</si>
  <si>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</si>
  <si>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</si>
  <si>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</si>
  <si>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</si>
  <si>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</si>
  <si>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</si>
  <si>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</si>
  <si>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</si>
  <si>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</si>
  <si>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</si>
  <si>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</si>
  <si>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</si>
  <si>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</si>
  <si>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</si>
  <si>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</si>
  <si>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</si>
  <si>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</si>
  <si>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</si>
  <si>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</si>
  <si>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</si>
  <si>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</si>
  <si>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</si>
  <si>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</si>
  <si>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</si>
  <si>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</si>
  <si>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</si>
  <si>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</si>
  <si>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</si>
  <si>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</si>
  <si>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</si>
  <si>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</si>
  <si>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</si>
  <si>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</si>
  <si>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</si>
  <si>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</si>
  <si>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</si>
  <si>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</si>
  <si>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</si>
  <si>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</si>
  <si>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</si>
  <si>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</si>
  <si>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</si>
  <si>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</si>
  <si>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</si>
  <si>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</si>
  <si>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</si>
  <si>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</si>
  <si>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</si>
  <si>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</si>
  <si>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</si>
  <si>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</si>
  <si>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</si>
  <si>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</si>
  <si>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</si>
  <si>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</si>
  <si>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</si>
  <si>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</si>
  <si>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</si>
  <si>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</si>
  <si>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</si>
  <si>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</si>
  <si>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</si>
  <si>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</si>
  <si>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</si>
  <si>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</si>
  <si>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</si>
  <si>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</si>
  <si>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</si>
  <si>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</si>
  <si>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</si>
  <si>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</si>
  <si>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</si>
  <si>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</si>
  <si>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</si>
  <si>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</si>
  <si>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</si>
  <si>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</si>
  <si>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</si>
  <si>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</si>
  <si>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</si>
  <si>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</si>
  <si>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</si>
  <si>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</si>
  <si>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</si>
  <si>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</si>
  <si>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</si>
  <si>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</si>
  <si>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</si>
  <si>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</si>
  <si>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</si>
  <si>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</si>
  <si>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</si>
  <si>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</si>
  <si>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</si>
  <si>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</si>
  <si>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</si>
  <si>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</si>
  <si>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</si>
  <si>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</si>
  <si>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</si>
  <si>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</si>
  <si>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</si>
  <si>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</si>
  <si>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</si>
  <si>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</si>
  <si>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</si>
  <si>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</si>
  <si>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</si>
  <si>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</si>
  <si>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</si>
  <si>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</si>
  <si>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</si>
  <si>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</si>
  <si>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</si>
  <si>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</si>
  <si>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</si>
  <si>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</si>
  <si>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</si>
  <si>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</si>
  <si>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</si>
  <si>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</si>
  <si>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</si>
  <si>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</si>
  <si>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</si>
  <si>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</si>
  <si>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</si>
  <si>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</si>
  <si>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</si>
  <si>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</si>
  <si>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</si>
  <si>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</si>
  <si>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</si>
  <si>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</si>
  <si>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</si>
  <si>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</si>
  <si>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</si>
  <si>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</si>
  <si>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</si>
  <si>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</si>
  <si>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</si>
  <si>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</si>
  <si>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</si>
  <si>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</si>
  <si>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</si>
  <si>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</si>
  <si>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</si>
  <si>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</si>
  <si>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</si>
  <si>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</si>
  <si>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</si>
  <si>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</si>
  <si>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</si>
  <si>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</si>
  <si>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</si>
  <si>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</si>
  <si>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</si>
  <si>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</si>
  <si>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</si>
  <si>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</si>
  <si>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</si>
  <si>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</si>
  <si>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</si>
  <si>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</si>
  <si>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</si>
  <si>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</si>
  <si>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</si>
  <si>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</si>
  <si>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</si>
  <si>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</si>
  <si>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</si>
  <si>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</si>
  <si>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</si>
  <si>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</si>
  <si>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</si>
  <si>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</si>
  <si>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</si>
  <si>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</si>
  <si>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</si>
  <si>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</si>
  <si>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</si>
  <si>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</si>
  <si>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</si>
  <si>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</si>
  <si>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</si>
  <si>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</si>
  <si>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</si>
  <si>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</si>
  <si>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</si>
  <si>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</si>
  <si>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</si>
  <si>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</si>
  <si>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</si>
  <si>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</si>
  <si>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</si>
  <si>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</si>
  <si>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</si>
  <si>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</si>
  <si>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</si>
  <si>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</si>
  <si>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</si>
  <si>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</si>
  <si>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</si>
  <si>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</si>
  <si>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</si>
  <si>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</si>
  <si>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</si>
  <si>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</si>
  <si>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</si>
  <si>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</si>
  <si>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</si>
  <si>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</si>
  <si>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</si>
  <si>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</si>
  <si>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</si>
  <si>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</si>
  <si>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</si>
  <si>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</si>
  <si>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</si>
  <si>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</si>
  <si>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</si>
  <si>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</si>
  <si>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</si>
  <si>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</si>
  <si>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</si>
  <si>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</si>
  <si>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</si>
  <si>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</si>
  <si>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</si>
  <si>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</si>
  <si>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</si>
  <si>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</si>
  <si>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</si>
  <si>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</si>
  <si>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</si>
  <si>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</si>
  <si>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</si>
  <si>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</si>
  <si>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</si>
  <si>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</si>
  <si>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</si>
  <si>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</si>
  <si>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</si>
  <si>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</si>
  <si>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</si>
  <si>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</si>
  <si>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</si>
  <si>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</si>
  <si>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</si>
  <si>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</si>
  <si>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</si>
  <si>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</si>
  <si>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</si>
  <si>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</si>
  <si>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</si>
  <si>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</si>
  <si>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</si>
  <si>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</si>
  <si>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</si>
  <si>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</si>
  <si>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</si>
  <si>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</si>
  <si>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</si>
  <si>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</si>
  <si>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</si>
  <si>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</si>
  <si>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</si>
  <si>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</si>
  <si>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</si>
  <si>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</si>
  <si>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</si>
  <si>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</si>
  <si>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</si>
  <si>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</si>
  <si>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</si>
  <si>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</si>
  <si>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</si>
  <si>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</si>
  <si>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</si>
  <si>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</si>
  <si>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</si>
  <si>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</si>
  <si>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</si>
  <si>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</si>
  <si>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</si>
  <si>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</si>
  <si>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</si>
  <si>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</si>
  <si>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</si>
  <si>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</si>
  <si>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</si>
  <si>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</si>
  <si>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</si>
  <si>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</si>
  <si>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</si>
  <si>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</si>
  <si>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</si>
  <si>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</si>
  <si>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</si>
  <si>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</si>
  <si>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</si>
  <si>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</si>
  <si>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</si>
  <si>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</si>
  <si>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</si>
  <si>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</si>
  <si>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</si>
  <si>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</si>
  <si>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</si>
  <si>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</si>
  <si>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</si>
  <si>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</si>
  <si>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</si>
  <si>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</si>
  <si>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</si>
  <si>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</si>
  <si>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</si>
  <si>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</si>
  <si>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</si>
  <si>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</si>
  <si>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</si>
  <si>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</si>
  <si>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</si>
  <si>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</si>
  <si>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</si>
  <si>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</si>
  <si>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</si>
  <si>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</si>
  <si>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</si>
  <si>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</si>
  <si>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</si>
  <si>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</si>
  <si>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</si>
  <si>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</si>
  <si>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</si>
  <si>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</si>
  <si>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</si>
  <si>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</si>
  <si>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</si>
  <si>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</si>
  <si>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</si>
  <si>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</si>
  <si>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</si>
  <si>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</si>
  <si>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</si>
  <si>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</si>
  <si>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</si>
  <si>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</si>
  <si>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</si>
  <si>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</si>
  <si>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</si>
  <si>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</si>
  <si>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</si>
  <si>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</si>
  <si>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</si>
  <si>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</si>
  <si>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</si>
  <si>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</si>
  <si>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</si>
  <si>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</si>
  <si>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</si>
  <si>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</si>
  <si>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</si>
  <si>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</si>
  <si>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</si>
  <si>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</si>
  <si>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</si>
  <si>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</si>
  <si>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</si>
  <si>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</si>
  <si>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</si>
  <si>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</si>
  <si>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</si>
  <si>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</si>
  <si>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</si>
  <si>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</si>
  <si>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</si>
  <si>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</si>
  <si>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</si>
  <si>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</si>
  <si>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</si>
  <si>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</si>
  <si>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</si>
  <si>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</si>
  <si>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</si>
  <si>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</si>
  <si>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</si>
  <si>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</si>
  <si>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</si>
  <si>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</si>
  <si>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</si>
  <si>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</si>
  <si>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</si>
  <si>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</si>
  <si>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</si>
  <si>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</si>
  <si>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</si>
  <si>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</si>
  <si>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</si>
  <si>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</si>
  <si>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</si>
  <si>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</si>
  <si>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</si>
  <si>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</si>
  <si>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</si>
  <si>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</si>
  <si>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</si>
  <si>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</si>
  <si>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</si>
  <si>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</si>
  <si>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</si>
  <si>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</si>
  <si>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</si>
  <si>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</si>
  <si>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</si>
  <si>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</si>
  <si>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</si>
  <si>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</si>
  <si>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</si>
  <si>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</si>
  <si>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</si>
  <si>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</si>
  <si>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</si>
  <si>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</si>
  <si>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</si>
  <si>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</si>
  <si>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</si>
  <si>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</si>
  <si>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</si>
  <si>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</si>
  <si>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</si>
  <si>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</si>
  <si>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</si>
  <si>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</si>
  <si>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</si>
  <si>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</si>
  <si>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</si>
  <si>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</si>
  <si>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</si>
  <si>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</si>
  <si>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</si>
  <si>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</si>
  <si>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</si>
  <si>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</si>
  <si>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</si>
  <si>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</si>
  <si>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</si>
  <si>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</si>
  <si>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</si>
  <si>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</si>
  <si>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</si>
  <si>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</si>
  <si>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</si>
  <si>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</si>
  <si>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</si>
  <si>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</si>
  <si>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</si>
  <si>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</si>
  <si>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</si>
  <si>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</si>
  <si>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</si>
  <si>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</si>
  <si>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</si>
  <si>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</si>
  <si>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</si>
  <si>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</si>
  <si>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</si>
  <si>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</si>
  <si>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</si>
  <si>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</si>
  <si>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</si>
  <si>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</si>
  <si>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</si>
  <si>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</si>
  <si>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</si>
  <si>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</si>
  <si>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</si>
  <si>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</si>
  <si>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</si>
  <si>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</si>
  <si>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</si>
  <si>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</si>
  <si>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</si>
  <si>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</si>
  <si>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</si>
  <si>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</si>
  <si>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</si>
  <si>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</si>
  <si>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</si>
  <si>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</si>
  <si>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</si>
  <si>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</si>
  <si>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</si>
  <si>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</si>
  <si>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</si>
  <si>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</si>
  <si>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</si>
  <si>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</si>
  <si>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</si>
  <si>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</si>
  <si>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</si>
  <si>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</si>
  <si>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</si>
  <si>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</si>
  <si>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</si>
  <si>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</si>
  <si>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</si>
  <si>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</si>
  <si>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</si>
  <si>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</si>
  <si>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</si>
  <si>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</si>
  <si>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</si>
  <si>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</si>
  <si>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</si>
  <si>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</si>
  <si>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</si>
  <si>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</si>
  <si>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</si>
  <si>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</si>
  <si>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</si>
  <si>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</si>
  <si>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</si>
  <si>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</si>
  <si>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</si>
  <si>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</si>
  <si>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</si>
  <si>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</si>
  <si>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</si>
  <si>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</si>
  <si>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</si>
  <si>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</si>
  <si>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</si>
  <si>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</si>
  <si>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</si>
  <si>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</si>
  <si>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</si>
  <si>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</si>
  <si>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</si>
  <si>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</si>
  <si>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</si>
  <si>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</si>
  <si>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</si>
  <si>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</si>
  <si>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</si>
  <si>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</si>
  <si>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</si>
  <si>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</si>
  <si>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</si>
  <si>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</si>
  <si>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</si>
  <si>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</si>
  <si>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</si>
  <si>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</si>
  <si>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</si>
  <si>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</si>
  <si>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</si>
  <si>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</si>
  <si>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</si>
  <si>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</si>
  <si>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</si>
  <si>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</si>
  <si>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</si>
  <si>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</si>
  <si>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</si>
  <si>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</si>
  <si>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</si>
  <si>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</si>
  <si>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</si>
  <si>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</si>
  <si>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</si>
  <si>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</si>
  <si>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</si>
  <si>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</si>
  <si>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</si>
  <si>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</si>
  <si>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</si>
  <si>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</si>
  <si>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</si>
  <si>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</si>
  <si>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</si>
  <si>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</si>
  <si>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</si>
  <si>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</si>
  <si>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</si>
  <si>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</si>
  <si>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</si>
  <si>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</si>
  <si>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</si>
  <si>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</si>
  <si>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</si>
  <si>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</si>
  <si>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</si>
  <si>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</si>
  <si>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</si>
  <si>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</si>
  <si>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</si>
  <si>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</si>
  <si>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</si>
  <si>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</si>
  <si>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</si>
  <si>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</si>
  <si>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</si>
  <si>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</si>
  <si>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</si>
  <si>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</si>
  <si>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</si>
  <si>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</si>
  <si>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</si>
  <si>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</si>
  <si>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</si>
  <si>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</si>
  <si>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</si>
  <si>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</si>
  <si>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</si>
  <si>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</si>
  <si>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</si>
  <si>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</si>
  <si>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</si>
  <si>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</si>
  <si>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</si>
  <si>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</si>
  <si>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</si>
  <si>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</si>
  <si>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</si>
  <si>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</si>
  <si>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</si>
  <si>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</si>
  <si>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</si>
  <si>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</si>
  <si>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</si>
  <si>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</si>
  <si>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</si>
  <si>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</si>
  <si>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</si>
  <si>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</si>
  <si>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</si>
  <si>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</si>
  <si>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</si>
  <si>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</si>
  <si>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</si>
  <si>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</si>
  <si>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</si>
  <si>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</si>
  <si>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</si>
  <si>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</si>
  <si>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</si>
  <si>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</si>
  <si>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</si>
  <si>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</si>
  <si>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</si>
  <si>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</si>
  <si>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</si>
  <si>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</si>
  <si>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</si>
  <si>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</si>
  <si>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</si>
  <si>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</si>
  <si>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</si>
  <si>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</si>
  <si>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</si>
  <si>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</si>
  <si>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</si>
  <si>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</si>
  <si>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</si>
  <si>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</si>
  <si>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</si>
  <si>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</si>
  <si>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</si>
  <si>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</si>
  <si>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</si>
  <si>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</si>
  <si>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</si>
  <si>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</si>
  <si>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</si>
  <si>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</si>
  <si>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</si>
  <si>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</si>
  <si>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</si>
  <si>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</si>
  <si>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</si>
  <si>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</si>
  <si>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</si>
  <si>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</si>
  <si>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</si>
  <si>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</si>
  <si>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</si>
  <si>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</si>
  <si>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</si>
  <si>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</si>
  <si>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</si>
  <si>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</si>
  <si>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</si>
  <si>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</si>
  <si>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</si>
  <si>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</si>
  <si>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</si>
  <si>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</si>
  <si>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</si>
  <si>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</si>
  <si>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</si>
  <si>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</si>
  <si>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</si>
  <si>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</si>
  <si>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</si>
  <si>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</si>
  <si>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</si>
  <si>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</si>
  <si>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</si>
  <si>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</si>
  <si>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</si>
  <si>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</si>
  <si>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</si>
  <si>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</si>
  <si>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</si>
  <si>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</si>
  <si>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</si>
  <si>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</si>
  <si>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</si>
  <si>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</si>
  <si>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</si>
  <si>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</si>
  <si>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</si>
  <si>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</si>
  <si>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</si>
  <si>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</si>
  <si>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</si>
  <si>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</si>
  <si>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</si>
  <si>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</si>
  <si>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</si>
  <si>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</si>
  <si>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</si>
  <si>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</si>
  <si>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</si>
  <si>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</si>
  <si>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</si>
  <si>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</si>
  <si>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</si>
  <si>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</si>
  <si>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</si>
  <si>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</si>
  <si>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</si>
  <si>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</si>
  <si>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</si>
  <si>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</si>
  <si>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</si>
  <si>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</si>
  <si>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</si>
  <si>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</si>
  <si>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</si>
  <si>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</si>
  <si>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</si>
  <si>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</si>
  <si>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</si>
  <si>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</si>
  <si>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</si>
  <si>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</si>
  <si>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</si>
  <si>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</si>
  <si>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</si>
  <si>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</si>
  <si>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</si>
  <si>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</si>
  <si>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</si>
  <si>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</si>
  <si>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</si>
  <si>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</si>
  <si>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</si>
  <si>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</si>
  <si>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</si>
  <si>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</si>
  <si>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</si>
  <si>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</si>
  <si>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</si>
  <si>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</si>
  <si>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</si>
  <si>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</si>
  <si>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</si>
  <si>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</si>
  <si>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</si>
  <si>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</si>
  <si>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</si>
  <si>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</si>
  <si>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</si>
  <si>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</si>
  <si>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</si>
  <si>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</si>
  <si>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</si>
  <si>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</si>
  <si>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</si>
  <si>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</si>
  <si>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</si>
  <si>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</si>
  <si>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</si>
  <si>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</si>
  <si>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</si>
  <si>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</si>
  <si>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</si>
  <si>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</si>
  <si>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</si>
  <si>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</si>
  <si>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</si>
  <si>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</si>
  <si>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</si>
  <si>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</si>
  <si>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</si>
  <si>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</si>
  <si>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</si>
  <si>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</si>
  <si>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</si>
  <si>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</si>
  <si>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</si>
  <si>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</si>
  <si>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</si>
  <si>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</si>
  <si>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</si>
  <si>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</si>
  <si>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</si>
  <si>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</si>
  <si>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</si>
  <si>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</si>
  <si>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</si>
  <si>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</si>
  <si>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</si>
  <si>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</si>
  <si>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</si>
  <si>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</si>
  <si>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</si>
  <si>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</si>
  <si>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</si>
  <si>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</si>
  <si>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</si>
  <si>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</si>
  <si>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</si>
  <si>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</si>
  <si>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</si>
  <si>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</si>
  <si>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</si>
  <si>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</si>
  <si>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</si>
  <si>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</si>
  <si>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</si>
  <si>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</si>
  <si>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</si>
  <si>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</si>
  <si>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</si>
  <si>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</si>
  <si>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</si>
  <si>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</si>
  <si>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</si>
  <si>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</si>
  <si>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</si>
  <si>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</si>
  <si>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</si>
  <si>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</si>
  <si>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</si>
  <si>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</si>
  <si>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</si>
  <si>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</si>
  <si>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</si>
  <si>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</si>
  <si>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</si>
  <si>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</si>
  <si>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</si>
  <si>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</si>
  <si>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</si>
  <si>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</si>
  <si>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</si>
  <si>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</si>
  <si>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</si>
  <si>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</si>
  <si>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</si>
  <si>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</si>
  <si>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</si>
  <si>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</si>
  <si>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</si>
  <si>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</si>
  <si>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</si>
  <si>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</si>
  <si>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</si>
  <si>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</si>
  <si>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</si>
  <si>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</si>
  <si>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</si>
  <si>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</si>
  <si>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</si>
  <si>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</si>
  <si>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</si>
  <si>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</si>
  <si>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</si>
  <si>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</si>
  <si>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</si>
  <si>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</si>
  <si>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</si>
  <si>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</si>
  <si>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</si>
  <si>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</si>
  <si>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</si>
  <si>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</si>
  <si>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</si>
  <si>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</si>
  <si>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</si>
  <si>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</si>
  <si>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</si>
  <si>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</si>
  <si>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</si>
  <si>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</si>
  <si>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</si>
  <si>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</si>
  <si>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</si>
  <si>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</si>
  <si>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</si>
  <si>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</si>
  <si>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</si>
  <si>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</si>
  <si>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</si>
  <si>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</si>
  <si>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</si>
  <si>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</si>
  <si>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</si>
  <si>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</si>
  <si>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</si>
  <si>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</si>
  <si>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</si>
  <si>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</si>
  <si>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</si>
  <si>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</si>
  <si>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</si>
  <si>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</si>
  <si>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</si>
  <si>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</si>
  <si>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</si>
  <si>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</si>
  <si>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</si>
  <si>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</si>
  <si>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</si>
  <si>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</si>
  <si>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</si>
  <si>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</si>
  <si>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</si>
  <si>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</si>
  <si>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</si>
  <si>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</si>
  <si>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</si>
  <si>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</si>
  <si>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</si>
  <si>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</si>
  <si>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</si>
  <si>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</si>
  <si>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</si>
  <si>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</si>
  <si>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</si>
  <si>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</si>
  <si>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</si>
  <si>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</si>
  <si>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</si>
  <si>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</si>
  <si>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</si>
  <si>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</si>
  <si>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</si>
  <si>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</si>
  <si>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</si>
  <si>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</si>
  <si>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</si>
  <si>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</si>
  <si>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</si>
  <si>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</si>
  <si>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</si>
  <si>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</si>
  <si>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</si>
  <si>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</si>
  <si>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</si>
  <si>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</si>
  <si>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</si>
  <si>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</si>
  <si>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</si>
  <si>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</si>
  <si>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</si>
  <si>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</si>
  <si>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</si>
  <si>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</si>
  <si>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</si>
  <si>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</si>
  <si>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</si>
  <si>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</si>
  <si>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</si>
  <si>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</si>
  <si>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</si>
  <si>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</si>
  <si>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</si>
  <si>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</si>
  <si>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</si>
  <si>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</si>
  <si>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</si>
  <si>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</si>
  <si>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</si>
  <si>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</si>
  <si>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</si>
  <si>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</si>
  <si>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</si>
  <si>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</si>
  <si>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</si>
  <si>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</si>
  <si>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</si>
  <si>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</si>
  <si>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</si>
  <si>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</si>
  <si>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</si>
  <si>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</si>
  <si>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</si>
  <si>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</si>
  <si>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</si>
  <si>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</si>
  <si>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</si>
  <si>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</si>
  <si>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</si>
  <si>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</si>
  <si>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</si>
  <si>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</si>
  <si>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</si>
  <si>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</si>
  <si>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</si>
  <si>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</si>
  <si>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</si>
  <si>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</si>
  <si>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</si>
  <si>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</si>
  <si>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</si>
  <si>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</si>
  <si>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</si>
  <si>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</si>
  <si>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</si>
  <si>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</si>
  <si>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</si>
  <si>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</si>
  <si>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</si>
  <si>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</si>
  <si>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</si>
  <si>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</si>
  <si>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</si>
  <si>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</si>
  <si>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</si>
  <si>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</si>
  <si>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</si>
  <si>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</si>
  <si>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</si>
  <si>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</si>
  <si>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</si>
  <si>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</si>
  <si>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</si>
  <si>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</si>
  <si>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</si>
  <si>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</si>
  <si>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</si>
  <si>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</si>
  <si>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</si>
  <si>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</si>
  <si>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</si>
  <si>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</si>
  <si>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</si>
  <si>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</si>
  <si>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</si>
  <si>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</si>
  <si>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</si>
  <si>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</si>
  <si>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</si>
  <si>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</si>
  <si>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</si>
  <si>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</si>
  <si>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</si>
  <si>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</si>
  <si>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</si>
  <si>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</si>
  <si>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</si>
  <si>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</si>
  <si>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</si>
  <si>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</si>
  <si>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</si>
  <si>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</si>
  <si>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</si>
  <si>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</si>
  <si>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</si>
  <si>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</si>
  <si>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</si>
  <si>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</si>
  <si>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</si>
  <si>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</si>
  <si>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</si>
  <si>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</si>
  <si>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</si>
  <si>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</si>
  <si>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</si>
  <si>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</si>
  <si>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</si>
  <si>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</si>
  <si>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</si>
  <si>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</si>
  <si>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</si>
  <si>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</si>
  <si>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</si>
  <si>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</si>
  <si>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</si>
  <si>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</si>
  <si>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</si>
  <si>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</si>
  <si>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</si>
  <si>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</si>
  <si>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</si>
  <si>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</si>
  <si>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</si>
  <si>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</si>
  <si>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</si>
  <si>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</si>
  <si>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</si>
  <si>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</si>
  <si>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</si>
  <si>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</si>
  <si>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</si>
  <si>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</si>
  <si>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</si>
  <si>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</si>
  <si>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</si>
  <si>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</si>
  <si>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</si>
  <si>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</si>
  <si>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</si>
  <si>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</si>
  <si>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</si>
  <si>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</si>
  <si>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</si>
  <si>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</si>
  <si>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</si>
  <si>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</si>
  <si>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</si>
  <si>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</si>
  <si>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</si>
  <si>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</si>
  <si>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</si>
  <si>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</si>
  <si>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</si>
  <si>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</si>
  <si>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</si>
  <si>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</si>
  <si>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</si>
  <si>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</si>
  <si>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</si>
  <si>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</si>
  <si>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</si>
  <si>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</si>
  <si>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</si>
  <si>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</si>
  <si>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</si>
  <si>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</si>
  <si>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</si>
  <si>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</si>
  <si>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</si>
  <si>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</si>
  <si>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</si>
  <si>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</si>
  <si>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</si>
  <si>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</si>
  <si>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</si>
  <si>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</si>
  <si>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</si>
  <si>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</si>
  <si>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</si>
  <si>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</si>
  <si>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</si>
  <si>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</si>
  <si>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</si>
  <si>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</si>
  <si>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</si>
  <si>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</si>
  <si>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</si>
  <si>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</si>
  <si>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</si>
  <si>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</si>
  <si>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</si>
  <si>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</si>
  <si>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</si>
  <si>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</si>
  <si>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</si>
  <si>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</si>
  <si>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</si>
  <si>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</si>
  <si>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</si>
  <si>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</si>
  <si>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</si>
  <si>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</si>
  <si>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</si>
  <si>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</si>
  <si>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</si>
  <si>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</si>
  <si>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</si>
  <si>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</si>
  <si>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</si>
  <si>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</si>
  <si>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</si>
  <si>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</si>
  <si>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</si>
  <si>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</si>
  <si>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</si>
  <si>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</si>
  <si>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</si>
  <si>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</si>
  <si>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</si>
  <si>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</si>
  <si>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</si>
  <si>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</si>
  <si>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</si>
  <si>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</si>
  <si>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</si>
  <si>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</si>
  <si>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</si>
  <si>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</si>
  <si>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</si>
  <si>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</si>
  <si>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</si>
  <si>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</si>
  <si>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</si>
  <si>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</si>
  <si>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</si>
  <si>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</si>
  <si>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</si>
  <si>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</si>
  <si>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</si>
  <si>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</si>
  <si>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</si>
  <si>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</si>
  <si>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</si>
  <si>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</si>
  <si>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</si>
  <si>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</si>
  <si>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</si>
  <si>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</si>
  <si>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</si>
  <si>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</si>
  <si>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</si>
  <si>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</si>
  <si>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</si>
  <si>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</si>
  <si>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</si>
  <si>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</si>
  <si>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</si>
  <si>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</si>
  <si>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</si>
  <si>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</si>
  <si>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</si>
  <si>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</si>
  <si>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</si>
  <si>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</si>
  <si>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</si>
  <si>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</si>
  <si>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</si>
  <si>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</si>
  <si>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</si>
  <si>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</si>
  <si>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</si>
  <si>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</si>
  <si>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</si>
  <si>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</si>
  <si>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</si>
  <si>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</si>
  <si>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</si>
  <si>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</si>
  <si>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</si>
  <si>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</si>
  <si>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</si>
  <si>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</si>
  <si>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</si>
  <si>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</si>
  <si>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</si>
  <si>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</si>
  <si>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</si>
  <si>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</si>
  <si>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</si>
  <si>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</si>
  <si>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</si>
  <si>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</si>
  <si>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</si>
  <si>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</si>
  <si>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</si>
  <si>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</si>
  <si>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</si>
  <si>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</si>
  <si>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</si>
  <si>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</si>
  <si>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</si>
  <si>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</si>
  <si>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</si>
  <si>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</si>
  <si>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</si>
  <si>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</si>
  <si>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</si>
  <si>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</si>
  <si>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</si>
  <si>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</si>
  <si>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</si>
  <si>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</si>
  <si>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</si>
  <si>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</si>
  <si>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</si>
  <si>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</si>
  <si>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</si>
  <si>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</si>
  <si>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</si>
  <si>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</si>
  <si>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</si>
  <si>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</si>
  <si>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</si>
  <si>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</si>
  <si>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</si>
  <si>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</si>
  <si>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</si>
  <si>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</si>
  <si>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</si>
  <si>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</si>
  <si>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</si>
  <si>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</si>
  <si>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</si>
  <si>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</si>
  <si>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</si>
  <si>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</si>
  <si>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</si>
  <si>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</si>
  <si>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</si>
  <si>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</si>
  <si>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</si>
  <si>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</si>
  <si>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</si>
  <si>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</si>
  <si>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</si>
  <si>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</si>
  <si>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</si>
  <si>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</si>
  <si>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</si>
  <si>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</si>
  <si>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</si>
  <si>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</si>
  <si>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</si>
  <si>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</si>
  <si>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</si>
  <si>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</si>
  <si>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</si>
  <si>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</si>
  <si>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</si>
  <si>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</si>
  <si>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</si>
  <si>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</si>
  <si>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</si>
  <si>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</si>
  <si>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</si>
  <si>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</si>
  <si>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</si>
  <si>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</si>
  <si>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</si>
  <si>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</si>
  <si>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</si>
  <si>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</si>
  <si>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</si>
  <si>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</si>
  <si>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</si>
  <si>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</si>
  <si>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</si>
  <si>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</si>
  <si>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</si>
  <si>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</si>
  <si>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</si>
  <si>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</si>
  <si>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</si>
  <si>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</si>
  <si>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</si>
  <si>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</si>
  <si>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</si>
  <si>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</si>
  <si>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</si>
  <si>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</si>
  <si>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</si>
  <si>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</si>
  <si>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</si>
  <si>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</si>
  <si>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</si>
  <si>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</si>
  <si>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</si>
  <si>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</si>
  <si>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</si>
  <si>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</si>
  <si>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</si>
  <si>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</si>
  <si>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</si>
  <si>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</si>
  <si>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</si>
  <si>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</si>
  <si>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</si>
  <si>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</si>
  <si>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</si>
  <si>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</si>
  <si>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</si>
  <si>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</si>
  <si>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</si>
  <si>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</si>
  <si>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</si>
  <si>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</si>
  <si>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</si>
  <si>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</si>
  <si>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</si>
  <si>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</si>
  <si>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</si>
  <si>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</si>
  <si>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</si>
  <si>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</si>
  <si>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</si>
  <si>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</si>
  <si>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</si>
  <si>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</si>
  <si>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</si>
  <si>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</si>
  <si>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</si>
  <si>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</si>
  <si>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</si>
  <si>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</si>
  <si>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</si>
  <si>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</si>
  <si>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</si>
  <si>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</si>
  <si>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</si>
  <si>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</si>
  <si>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</si>
  <si>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</si>
  <si>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</si>
  <si>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</si>
  <si>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</si>
  <si>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</si>
  <si>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</si>
  <si>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</si>
  <si>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</si>
  <si>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</si>
  <si>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</si>
  <si>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</si>
  <si>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</si>
  <si>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</si>
  <si>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</si>
  <si>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</si>
  <si>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</si>
  <si>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</si>
  <si>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</si>
  <si>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</si>
  <si>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</si>
  <si>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</si>
  <si>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</si>
  <si>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</si>
  <si>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</si>
  <si>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</si>
  <si>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</si>
  <si>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</si>
  <si>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</si>
  <si>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</si>
  <si>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</si>
  <si>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</si>
  <si>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</si>
  <si>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</si>
  <si>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</si>
  <si>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</si>
  <si>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</si>
  <si>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</si>
  <si>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</si>
  <si>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</si>
  <si>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</si>
  <si>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</si>
  <si>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</si>
  <si>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</si>
  <si>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</si>
  <si>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</si>
  <si>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</si>
  <si>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</si>
  <si>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</si>
  <si>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</si>
  <si>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</si>
  <si>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</si>
  <si>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</si>
  <si>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</si>
  <si>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</si>
  <si>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</si>
  <si>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</si>
  <si>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</si>
  <si>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</si>
  <si>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</si>
  <si>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</si>
  <si>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</si>
  <si>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</si>
  <si>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</si>
  <si>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</si>
  <si>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</si>
  <si>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</si>
  <si>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</si>
  <si>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</si>
  <si>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</si>
  <si>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</si>
  <si>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</si>
  <si>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</si>
  <si>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</si>
  <si>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</si>
  <si>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</si>
  <si>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</si>
  <si>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</si>
  <si>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</si>
  <si>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</si>
  <si>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</si>
  <si>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</si>
  <si>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</si>
  <si>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</si>
  <si>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</si>
  <si>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</si>
  <si>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</si>
  <si>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</si>
  <si>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</si>
  <si>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</si>
  <si>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</si>
  <si>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</si>
  <si>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</si>
  <si>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</si>
  <si>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</si>
  <si>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</si>
  <si>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</si>
  <si>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</si>
  <si>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</si>
  <si>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</si>
  <si>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</si>
  <si>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</si>
  <si>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</si>
  <si>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</si>
  <si>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</si>
  <si>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</si>
  <si>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</si>
  <si>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</si>
  <si>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</si>
  <si>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</si>
  <si>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</si>
  <si>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</si>
  <si>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</si>
  <si>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</si>
  <si>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</si>
  <si>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</si>
  <si>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</si>
  <si>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</si>
  <si>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</si>
  <si>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</si>
  <si>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</si>
  <si>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</si>
  <si>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</si>
  <si>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</si>
  <si>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</si>
  <si>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</si>
  <si>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</si>
  <si>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</si>
  <si>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</si>
  <si>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</si>
  <si>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</si>
  <si>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</si>
  <si>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</si>
  <si>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</si>
  <si>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</si>
  <si>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</si>
  <si>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</si>
  <si>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</si>
  <si>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</si>
  <si>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</si>
  <si>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</si>
  <si>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</si>
  <si>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</si>
  <si>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</si>
  <si>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</si>
  <si>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</si>
  <si>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</si>
  <si>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</si>
  <si>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</si>
  <si>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</si>
  <si>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</si>
  <si>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</si>
  <si>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</si>
  <si>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</si>
  <si>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</si>
  <si>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</si>
  <si>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</si>
  <si>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</si>
  <si>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</si>
  <si>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</si>
  <si>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</si>
  <si>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</si>
  <si>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</si>
  <si>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</si>
  <si>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</si>
  <si>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</si>
  <si>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</si>
  <si>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</si>
  <si>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</si>
  <si>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</si>
  <si>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</si>
  <si>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</si>
  <si>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</si>
  <si>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</si>
  <si>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</si>
  <si>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</si>
  <si>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</si>
  <si>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</si>
  <si>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</si>
  <si>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</si>
  <si>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</si>
  <si>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</si>
  <si>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</si>
  <si>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</si>
  <si>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</si>
  <si>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</si>
  <si>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</si>
  <si>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</si>
  <si>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</si>
  <si>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</si>
  <si>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</si>
  <si>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</si>
  <si>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</si>
  <si>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</si>
  <si>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</si>
  <si>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</si>
  <si>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</si>
  <si>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</si>
  <si>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</si>
  <si>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</si>
  <si>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</si>
  <si>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</si>
  <si>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</si>
  <si>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</si>
  <si>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</si>
  <si>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</si>
  <si>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</si>
  <si>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</si>
  <si>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</si>
  <si>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</si>
  <si>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</si>
  <si>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</si>
  <si>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</si>
  <si>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</si>
  <si>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</si>
  <si>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</si>
  <si>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</si>
  <si>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</si>
  <si>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</si>
  <si>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</si>
  <si>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</si>
  <si>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</si>
  <si>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</si>
  <si>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</si>
  <si>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</si>
  <si>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</si>
  <si>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</si>
  <si>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</si>
  <si>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</si>
  <si>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</si>
  <si>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</si>
  <si>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</si>
  <si>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</si>
  <si>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</si>
  <si>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</si>
  <si>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</si>
  <si>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</si>
  <si>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</si>
  <si>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</si>
  <si>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</si>
  <si>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</si>
  <si>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</si>
  <si>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</si>
  <si>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</si>
  <si>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</si>
  <si>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</si>
  <si>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</si>
  <si>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</si>
  <si>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</si>
  <si>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</si>
  <si>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</si>
  <si>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</si>
  <si>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</si>
  <si>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</si>
  <si>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</si>
  <si>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</si>
  <si>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</si>
  <si>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</si>
  <si>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</si>
  <si>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</si>
  <si>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</si>
  <si>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</si>
  <si>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</si>
  <si>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</si>
  <si>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</si>
  <si>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</si>
  <si>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</si>
  <si>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</si>
  <si>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</si>
  <si>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</si>
  <si>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</si>
  <si>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</si>
  <si>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</si>
  <si>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</si>
  <si>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</si>
  <si>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</si>
  <si>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</si>
  <si>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</si>
  <si>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</si>
  <si>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</si>
  <si>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</si>
  <si>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</si>
  <si>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</si>
  <si>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</si>
  <si>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</si>
  <si>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</si>
  <si>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</si>
  <si>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</si>
  <si>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</si>
  <si>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</si>
  <si>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</si>
  <si>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</si>
  <si>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</si>
  <si>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</si>
  <si>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</si>
  <si>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</si>
  <si>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</si>
  <si>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</si>
  <si>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</si>
  <si>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</si>
  <si>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</si>
  <si>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</si>
  <si>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</si>
  <si>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</si>
  <si>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</si>
  <si>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</si>
  <si>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</si>
  <si>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</si>
  <si>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</si>
  <si>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</si>
  <si>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</si>
  <si>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</si>
  <si>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</si>
  <si>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</si>
  <si>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</si>
  <si>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</si>
  <si>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</si>
  <si>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</si>
  <si>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</si>
  <si>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</si>
  <si>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</si>
  <si>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</si>
  <si>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</si>
  <si>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</si>
  <si>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</si>
  <si>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</si>
  <si>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</si>
  <si>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</si>
  <si>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</si>
  <si>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</si>
  <si>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</si>
  <si>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</si>
  <si>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</si>
  <si>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</si>
  <si>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</si>
  <si>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</si>
  <si>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</si>
  <si>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</si>
  <si>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</si>
  <si>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</si>
  <si>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</si>
  <si>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</si>
  <si>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</si>
  <si>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</si>
  <si>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</si>
  <si>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</si>
  <si>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</si>
  <si>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</si>
  <si>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</si>
  <si>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</si>
  <si>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</si>
  <si>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</si>
  <si>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</si>
  <si>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</si>
  <si>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</si>
  <si>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</si>
  <si>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</si>
  <si>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</si>
  <si>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</si>
  <si>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</si>
  <si>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</si>
  <si>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</si>
  <si>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</si>
  <si>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</si>
  <si>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</si>
  <si>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</si>
  <si>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</si>
  <si>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</si>
  <si>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</si>
  <si>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</si>
  <si>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</si>
  <si>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</si>
  <si>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</si>
  <si>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</si>
  <si>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</si>
  <si>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</si>
  <si>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</si>
  <si>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</si>
  <si>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</si>
  <si>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</si>
  <si>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</si>
  <si>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</si>
  <si>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</si>
  <si>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</si>
  <si>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</si>
  <si>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</si>
  <si>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</si>
  <si>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</si>
  <si>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</si>
  <si>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</si>
  <si>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</si>
  <si>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</si>
  <si>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</si>
  <si>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</si>
  <si>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</si>
  <si>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</si>
  <si>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</si>
  <si>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</si>
  <si>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</si>
  <si>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</si>
  <si>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</si>
  <si>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</si>
  <si>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</si>
  <si>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</si>
  <si>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</si>
  <si>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</si>
  <si>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</si>
  <si>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</si>
  <si>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</si>
  <si>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</si>
  <si>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</si>
  <si>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</si>
  <si>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</si>
  <si>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</si>
  <si>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</si>
  <si>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</si>
  <si>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</si>
  <si>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</si>
  <si>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</si>
  <si>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</si>
  <si>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</si>
  <si>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</si>
  <si>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</si>
  <si>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</si>
  <si>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</si>
  <si>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</si>
  <si>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</si>
  <si>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</si>
  <si>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</si>
  <si>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</si>
  <si>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</si>
  <si>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</si>
  <si>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</si>
  <si>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</si>
  <si>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</si>
  <si>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</si>
  <si>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</si>
  <si>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</si>
  <si>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</si>
  <si>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</si>
  <si>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</si>
  <si>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</si>
  <si>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</si>
  <si>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</si>
  <si>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</si>
  <si>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</si>
  <si>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</si>
  <si>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</si>
  <si>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</si>
  <si>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</si>
  <si>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</si>
  <si>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</si>
  <si>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</si>
  <si>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</si>
  <si>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</si>
  <si>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</si>
  <si>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</si>
  <si>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</si>
  <si>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</si>
  <si>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</si>
  <si>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</si>
  <si>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</si>
  <si>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</si>
  <si>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</si>
  <si>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</si>
  <si>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</si>
  <si>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</si>
  <si>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</si>
  <si>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</si>
  <si>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</si>
  <si>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</si>
  <si>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</si>
  <si>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</si>
  <si>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</si>
  <si>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</si>
  <si>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</si>
  <si>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</si>
  <si>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</si>
  <si>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</si>
  <si>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</si>
  <si>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</si>
  <si>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</si>
  <si>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</si>
  <si>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</si>
  <si>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</si>
  <si>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</si>
  <si>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</si>
  <si>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</si>
  <si>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</si>
  <si>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</si>
  <si>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</si>
  <si>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</si>
  <si>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</si>
  <si>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</si>
  <si>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</si>
  <si>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</si>
  <si>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</si>
  <si>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</si>
  <si>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</si>
  <si>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</si>
  <si>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</si>
  <si>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</si>
  <si>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</si>
  <si>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</si>
  <si>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</si>
  <si>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</si>
  <si>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</si>
  <si>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</si>
  <si>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</si>
  <si>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</si>
  <si>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</si>
  <si>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</si>
  <si>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</si>
  <si>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</si>
  <si>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</si>
  <si>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</si>
  <si>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</si>
  <si>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</si>
  <si>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</si>
  <si>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</si>
  <si>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</si>
  <si>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</si>
  <si>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</si>
  <si>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</si>
  <si>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</si>
  <si>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</si>
  <si>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</si>
  <si>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</si>
  <si>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</si>
  <si>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</si>
  <si>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</si>
  <si>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</si>
  <si>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</si>
  <si>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</si>
  <si>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</si>
  <si>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</si>
  <si>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</si>
  <si>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</si>
  <si>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</si>
  <si>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</si>
  <si>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</si>
  <si>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</si>
  <si>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</si>
  <si>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</si>
  <si>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</si>
  <si>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</si>
  <si>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</si>
  <si>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</si>
  <si>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</si>
  <si>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</si>
  <si>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</si>
  <si>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</si>
  <si>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</si>
  <si>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</si>
  <si>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</si>
  <si>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</si>
  <si>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</si>
  <si>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</si>
  <si>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</si>
  <si>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</si>
  <si>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</si>
  <si>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</si>
  <si>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</si>
  <si>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</si>
  <si>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</si>
  <si>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</si>
  <si>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</si>
  <si>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</si>
  <si>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</si>
  <si>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</si>
  <si>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</si>
  <si>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</si>
  <si>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</si>
  <si>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</si>
  <si>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</si>
  <si>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</si>
  <si>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</si>
  <si>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</si>
  <si>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</si>
  <si>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</si>
  <si>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</si>
  <si>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</si>
  <si>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</si>
  <si>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</si>
  <si>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</si>
  <si>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</si>
  <si>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</si>
  <si>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</si>
  <si>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</si>
  <si>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</si>
  <si>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</si>
  <si>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</si>
  <si>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</si>
  <si>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</si>
  <si>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</si>
  <si>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</si>
  <si>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</si>
  <si>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</si>
  <si>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</si>
  <si>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</si>
  <si>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</si>
  <si>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</si>
  <si>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</si>
  <si>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</si>
  <si>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</si>
  <si>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</si>
  <si>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</si>
  <si>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</si>
  <si>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</si>
  <si>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</si>
  <si>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</si>
  <si>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</si>
  <si>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</si>
  <si>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</si>
  <si>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</si>
  <si>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</si>
  <si>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</si>
  <si>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</si>
  <si>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</si>
  <si>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</si>
  <si>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</si>
  <si>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</si>
  <si>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</si>
  <si>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</si>
  <si>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</si>
  <si>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</si>
  <si>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</si>
  <si>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</si>
  <si>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</si>
  <si>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</si>
  <si>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</si>
  <si>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</si>
  <si>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</si>
  <si>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</si>
  <si>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</si>
  <si>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</si>
  <si>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</si>
  <si>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</si>
  <si>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</si>
  <si>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</si>
  <si>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</si>
  <si>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</si>
  <si>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</si>
  <si>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</si>
  <si>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</si>
  <si>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</si>
  <si>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</si>
  <si>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</si>
  <si>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</si>
  <si>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</si>
  <si>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</si>
  <si>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</si>
  <si>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</si>
  <si>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</si>
  <si>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</si>
  <si>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</si>
  <si>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</si>
  <si>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</si>
  <si>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</si>
  <si>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</si>
  <si>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</si>
  <si>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</si>
  <si>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</si>
  <si>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</si>
  <si>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</si>
  <si>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</si>
  <si>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</si>
  <si>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</si>
  <si>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</si>
  <si>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</si>
  <si>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</si>
  <si>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</si>
  <si>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</si>
  <si>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</si>
  <si>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</si>
  <si>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</si>
  <si>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</si>
  <si>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</si>
  <si>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</si>
  <si>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</si>
  <si>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</si>
  <si>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</si>
  <si>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</si>
  <si>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</si>
  <si>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</si>
  <si>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</si>
  <si>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</si>
  <si>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</si>
  <si>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</si>
  <si>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</si>
  <si>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</si>
  <si>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</si>
  <si>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</si>
  <si>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</si>
  <si>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</si>
  <si>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</si>
  <si>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</si>
  <si>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</si>
  <si>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</si>
  <si>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</si>
  <si>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</si>
  <si>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</si>
  <si>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</si>
  <si>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</si>
  <si>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</si>
  <si>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</si>
  <si>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</si>
  <si>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</si>
  <si>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</si>
  <si>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</si>
  <si>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</si>
  <si>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</si>
  <si>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</si>
  <si>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</si>
  <si>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</si>
  <si>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</si>
  <si>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</si>
  <si>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</si>
  <si>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</si>
  <si>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</si>
  <si>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</si>
  <si>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</si>
  <si>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</si>
  <si>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</si>
  <si>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</si>
  <si>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</si>
  <si>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</si>
  <si>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</si>
  <si>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</si>
  <si>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</si>
  <si>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</si>
  <si>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</si>
  <si>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</si>
  <si>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</si>
  <si>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</si>
  <si>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</si>
  <si>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</si>
  <si>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</si>
  <si>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</si>
  <si>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</si>
  <si>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</si>
  <si>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</si>
  <si>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</si>
  <si>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</si>
  <si>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</si>
  <si>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</si>
  <si>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</si>
  <si>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</si>
  <si>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</si>
  <si>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</si>
  <si>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</si>
  <si>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</si>
  <si>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</si>
  <si>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</si>
  <si>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</si>
  <si>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</si>
  <si>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</si>
  <si>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</si>
  <si>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</si>
  <si>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</si>
  <si>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</si>
  <si>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</si>
  <si>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</si>
  <si>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</si>
  <si>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</si>
  <si>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</si>
  <si>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</si>
  <si>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</si>
  <si>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</si>
  <si>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</si>
  <si>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</si>
  <si>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</si>
  <si>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</si>
  <si>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</si>
  <si>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</si>
  <si>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</si>
  <si>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</si>
  <si>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</si>
  <si>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</si>
  <si>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</si>
  <si>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</si>
  <si>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</si>
  <si>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</si>
  <si>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</si>
  <si>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</si>
  <si>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</si>
  <si>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</si>
  <si>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</si>
  <si>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</si>
  <si>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</si>
  <si>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</si>
  <si>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</si>
  <si>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</si>
  <si>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</si>
  <si>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</si>
  <si>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</si>
  <si>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</si>
  <si>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</si>
  <si>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</si>
  <si>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</si>
  <si>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</si>
  <si>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</si>
  <si>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</si>
  <si>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</si>
  <si>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</si>
  <si>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</si>
  <si>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</si>
  <si>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</si>
  <si>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</si>
  <si>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</si>
  <si>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</si>
  <si>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</si>
  <si>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</si>
  <si>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</si>
  <si>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</si>
  <si>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</si>
  <si>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</si>
  <si>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</si>
  <si>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</si>
  <si>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</si>
  <si>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</si>
  <si>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</si>
  <si>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</si>
  <si>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</si>
  <si>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</si>
  <si>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</si>
  <si>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</si>
  <si>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</si>
  <si>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</si>
  <si>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</si>
  <si>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</si>
  <si>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</si>
  <si>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</si>
  <si>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</si>
  <si>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</si>
  <si>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</si>
  <si>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</si>
  <si>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</si>
  <si>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</si>
  <si>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</si>
  <si>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</si>
  <si>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</si>
  <si>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</si>
  <si>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</si>
  <si>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</si>
  <si>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</si>
  <si>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</si>
  <si>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</si>
  <si>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</si>
  <si>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</si>
  <si>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</si>
  <si>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</si>
  <si>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</si>
  <si>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</si>
  <si>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</si>
  <si>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</si>
  <si>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</si>
  <si>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</si>
  <si>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</si>
  <si>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</si>
  <si>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</si>
  <si>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</si>
  <si>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</si>
  <si>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</si>
  <si>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</si>
  <si>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</si>
  <si>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</si>
  <si>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</si>
  <si>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</si>
  <si>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</si>
  <si>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</si>
  <si>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</si>
  <si>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</si>
  <si>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</si>
  <si>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</si>
  <si>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</si>
  <si>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</si>
  <si>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</si>
  <si>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</si>
  <si>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</si>
  <si>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</si>
  <si>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</si>
  <si>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</si>
  <si>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</si>
  <si>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</si>
  <si>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</si>
  <si>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</si>
  <si>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</si>
  <si>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</si>
  <si>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</si>
  <si>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</si>
  <si>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</si>
  <si>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</si>
  <si>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</si>
  <si>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</si>
  <si>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</si>
  <si>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</si>
  <si>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</si>
  <si>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</si>
  <si>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</si>
  <si>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</si>
  <si>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</si>
  <si>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</si>
  <si>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</si>
  <si>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</si>
  <si>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</si>
  <si>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</si>
  <si>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</si>
  <si>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</si>
  <si>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</si>
  <si>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</si>
  <si>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</si>
  <si>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</si>
  <si>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</si>
  <si>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</si>
  <si>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</si>
  <si>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</si>
  <si>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</si>
  <si>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</si>
  <si>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</si>
  <si>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</si>
  <si>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</si>
  <si>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</si>
  <si>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</si>
  <si>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</si>
  <si>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</si>
  <si>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</si>
  <si>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</si>
  <si>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</si>
  <si>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</si>
  <si>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</si>
  <si>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</si>
  <si>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</si>
  <si>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</si>
  <si>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</si>
  <si>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</si>
  <si>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</si>
  <si>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</si>
  <si>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</si>
  <si>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</si>
  <si>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</si>
  <si>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</si>
  <si>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</si>
  <si>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</si>
  <si>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</si>
  <si>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</si>
  <si>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</si>
  <si>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</si>
  <si>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</si>
  <si>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</si>
  <si>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</si>
  <si>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</si>
  <si>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</si>
  <si>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</si>
  <si>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</si>
  <si>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</si>
  <si>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</si>
  <si>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</si>
  <si>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</si>
  <si>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</si>
  <si>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</si>
  <si>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</si>
  <si>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</si>
  <si>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</si>
  <si>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</si>
  <si>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</si>
  <si>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</si>
  <si>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</si>
  <si>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</si>
  <si>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</si>
  <si>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</si>
  <si>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</si>
  <si>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</si>
  <si>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</si>
  <si>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</si>
  <si>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</si>
  <si>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</si>
  <si>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</si>
  <si>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</si>
  <si>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</si>
  <si>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</si>
  <si>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</si>
  <si>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</si>
  <si>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</si>
  <si>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</si>
  <si>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</si>
  <si>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</si>
  <si>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</si>
  <si>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</si>
  <si>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</si>
  <si>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</si>
  <si>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</si>
  <si>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</si>
  <si>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</si>
  <si>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</si>
  <si>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</si>
  <si>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</si>
  <si>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</si>
  <si>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</si>
  <si>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</si>
  <si>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</si>
  <si>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</si>
  <si>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</si>
  <si>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</si>
  <si>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</si>
  <si>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</si>
  <si>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</si>
  <si>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</si>
  <si>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</si>
  <si>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</si>
  <si>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</si>
  <si>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</si>
  <si>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</si>
  <si>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</si>
  <si>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</si>
  <si>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</si>
  <si>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</si>
  <si>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</si>
  <si>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</si>
  <si>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</si>
  <si>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</si>
  <si>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</si>
  <si>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</si>
  <si>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</si>
  <si>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</si>
  <si>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</si>
  <si>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</si>
  <si>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</si>
  <si>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</si>
  <si>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</si>
  <si>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</si>
  <si>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</si>
  <si>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</si>
  <si>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</si>
  <si>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</si>
  <si>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</si>
  <si>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</si>
  <si>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</si>
  <si>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</si>
  <si>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</si>
  <si>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</si>
  <si>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</si>
  <si>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</si>
  <si>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</si>
  <si>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</si>
  <si>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</si>
  <si>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</si>
  <si>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</si>
  <si>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</si>
  <si>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</si>
  <si>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</si>
  <si>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</si>
  <si>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</si>
  <si>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</si>
  <si>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</si>
  <si>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</si>
  <si>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</si>
  <si>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</si>
  <si>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</si>
  <si>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</si>
  <si>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</si>
  <si>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</si>
  <si>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</si>
  <si>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</si>
  <si>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</si>
  <si>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</si>
  <si>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</si>
  <si>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</si>
  <si>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</si>
  <si>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</si>
  <si>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</si>
  <si>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</si>
  <si>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</si>
  <si>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</si>
  <si>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</si>
  <si>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</si>
  <si>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</si>
  <si>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</si>
  <si>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</si>
  <si>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</si>
  <si>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</si>
  <si>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</si>
  <si>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</si>
  <si>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</si>
  <si>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</si>
  <si>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</si>
  <si>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</si>
  <si>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</si>
  <si>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</si>
  <si>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</si>
  <si>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</si>
  <si>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</si>
  <si>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</si>
  <si>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</si>
  <si>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</si>
  <si>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</si>
  <si>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</si>
  <si>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</si>
  <si>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</si>
  <si>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</si>
  <si>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</si>
  <si>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</si>
  <si>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</si>
  <si>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</si>
  <si>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</si>
  <si>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</si>
  <si>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</si>
  <si>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</si>
  <si>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</si>
  <si>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</si>
  <si>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</si>
  <si>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</si>
  <si>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</si>
  <si>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</si>
  <si>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</si>
  <si>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</si>
  <si>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</si>
  <si>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</si>
  <si>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</si>
  <si>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</si>
  <si>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</si>
  <si>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</si>
  <si>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</si>
  <si>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</si>
  <si>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</si>
  <si>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</si>
  <si>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</si>
  <si>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</si>
  <si>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</si>
  <si>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</si>
  <si>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</si>
  <si>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</si>
  <si>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</si>
  <si>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</si>
  <si>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</si>
  <si>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</si>
  <si>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</si>
  <si>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</si>
  <si>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</si>
  <si>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</si>
  <si>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</si>
  <si>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</si>
  <si>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</si>
  <si>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</si>
  <si>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</si>
  <si>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</si>
  <si>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</si>
  <si>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</si>
  <si>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</si>
  <si>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</si>
  <si>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</si>
  <si>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</si>
  <si>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</si>
  <si>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</si>
  <si>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</si>
  <si>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</si>
  <si>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</si>
  <si>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</si>
  <si>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</si>
  <si>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</si>
  <si>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</si>
  <si>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</si>
  <si>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</si>
  <si>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</si>
  <si>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</si>
  <si>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</si>
  <si>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</si>
  <si>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</si>
  <si>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</si>
  <si>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</si>
  <si>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</si>
  <si>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</si>
  <si>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</si>
  <si>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</si>
  <si>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</si>
  <si>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</si>
  <si>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</si>
  <si>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</si>
  <si>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</si>
  <si>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</si>
  <si>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</si>
  <si>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</si>
  <si>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</si>
  <si>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</si>
  <si>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</si>
  <si>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</si>
  <si>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</si>
  <si>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</si>
  <si>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</si>
  <si>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</si>
  <si>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</si>
  <si>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</si>
  <si>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</si>
  <si>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</si>
  <si>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</si>
  <si>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</si>
  <si>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</si>
  <si>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</si>
  <si>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</si>
  <si>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</si>
  <si>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</si>
  <si>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</si>
  <si>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</si>
  <si>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</si>
  <si>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</si>
  <si>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</si>
  <si>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</si>
  <si>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</si>
  <si>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</si>
  <si>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</si>
  <si>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</si>
  <si>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</si>
  <si>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</si>
  <si>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</si>
  <si>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</si>
  <si>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</si>
  <si>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</si>
  <si>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</si>
  <si>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</si>
  <si>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</si>
  <si>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</si>
  <si>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</si>
  <si>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</si>
  <si>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</si>
  <si>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</si>
  <si>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</si>
  <si>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</si>
  <si>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</si>
  <si>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</si>
  <si>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</si>
  <si>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</si>
  <si>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</si>
  <si>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</si>
  <si>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</si>
  <si>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</si>
  <si>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</si>
  <si>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</si>
  <si>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</si>
  <si>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</si>
  <si>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</si>
  <si>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</si>
  <si>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</si>
  <si>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</si>
  <si>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</si>
  <si>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</si>
  <si>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</si>
  <si>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</si>
  <si>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</si>
  <si>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</si>
  <si>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</si>
  <si>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</si>
  <si>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</si>
  <si>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</si>
  <si>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</si>
  <si>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</si>
  <si>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</si>
  <si>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</si>
  <si>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</si>
  <si>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</si>
  <si>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</si>
  <si>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</si>
  <si>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</si>
  <si>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</si>
  <si>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</si>
  <si>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</si>
  <si>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</si>
  <si>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</si>
  <si>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</si>
  <si>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</si>
  <si>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</si>
  <si>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</si>
  <si>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</si>
  <si>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</si>
  <si>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</si>
  <si>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</si>
  <si>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</si>
  <si>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</si>
  <si>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</si>
  <si>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</si>
  <si>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</si>
  <si>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</si>
  <si>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</si>
  <si>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</si>
  <si>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</si>
  <si>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</si>
  <si>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</si>
  <si>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</si>
  <si>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</si>
  <si>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</si>
  <si>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</si>
  <si>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</si>
  <si>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</si>
  <si>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</si>
  <si>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</si>
  <si>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</si>
  <si>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</si>
  <si>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</si>
  <si>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</si>
  <si>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</si>
  <si>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</si>
  <si>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</si>
  <si>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</si>
  <si>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</si>
  <si>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</si>
  <si>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</si>
  <si>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</si>
  <si>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</si>
  <si>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</si>
  <si>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</si>
  <si>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</si>
  <si>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</si>
  <si>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</si>
  <si>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</si>
  <si>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</si>
  <si>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</si>
  <si>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</si>
  <si>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</si>
  <si>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</si>
  <si>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</si>
  <si>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</si>
  <si>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</si>
  <si>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</si>
  <si>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</si>
  <si>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</si>
  <si>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</si>
  <si>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</si>
  <si>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</si>
  <si>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</si>
  <si>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</si>
  <si>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</si>
  <si>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</si>
  <si>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</si>
  <si>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</si>
  <si>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</si>
  <si>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</si>
  <si>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</si>
  <si>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</si>
  <si>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</si>
  <si>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</si>
  <si>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</si>
  <si>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</si>
  <si>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</si>
  <si>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</si>
  <si>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</si>
  <si>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</si>
  <si>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</si>
  <si>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</si>
  <si>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</si>
  <si>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</si>
  <si>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</si>
  <si>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</si>
  <si>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</si>
  <si>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</si>
  <si>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</si>
  <si>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</si>
  <si>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</si>
  <si>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</si>
  <si>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</si>
  <si>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</si>
  <si>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</si>
  <si>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</si>
  <si>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</si>
  <si>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</si>
  <si>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</si>
  <si>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</si>
  <si>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</si>
  <si>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</si>
  <si>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</si>
  <si>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</si>
  <si>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</si>
  <si>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</si>
  <si>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</si>
  <si>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</si>
  <si>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</si>
  <si>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</si>
  <si>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</si>
  <si>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</si>
  <si>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</si>
  <si>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</si>
  <si>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</si>
  <si>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</si>
  <si>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</si>
  <si>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</si>
  <si>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</si>
  <si>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</si>
  <si>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</si>
  <si>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</si>
  <si>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</si>
  <si>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</si>
  <si>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</si>
  <si>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</si>
  <si>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</si>
  <si>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</si>
  <si>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</si>
  <si>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</si>
  <si>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</si>
  <si>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</si>
  <si>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</si>
  <si>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</si>
  <si>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</si>
  <si>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</si>
  <si>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</si>
  <si>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</si>
  <si>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</si>
  <si>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</si>
  <si>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</si>
  <si>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</si>
  <si>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</si>
  <si>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</si>
  <si>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</si>
  <si>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</si>
  <si>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</si>
  <si>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</si>
  <si>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</si>
  <si>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</si>
  <si>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</si>
  <si>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</si>
  <si>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</si>
  <si>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</si>
  <si>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</si>
  <si>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</si>
  <si>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</si>
  <si>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</si>
  <si>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</si>
  <si>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</si>
  <si>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</si>
  <si>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</si>
  <si>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</si>
  <si>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</si>
  <si>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</si>
  <si>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</si>
  <si>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</si>
  <si>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</si>
  <si>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</si>
  <si>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</si>
  <si>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</si>
  <si>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</si>
  <si>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</si>
  <si>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</si>
  <si>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</si>
  <si>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</si>
  <si>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</si>
  <si>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</si>
  <si>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</si>
  <si>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</si>
  <si>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</si>
  <si>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</si>
  <si>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</si>
  <si>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</si>
  <si>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</si>
  <si>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</si>
  <si>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</si>
  <si>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</si>
  <si>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</si>
  <si>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</si>
  <si>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</si>
  <si>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</si>
  <si>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</si>
  <si>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</si>
  <si>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</si>
  <si>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</si>
  <si>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</si>
  <si>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</si>
  <si>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</si>
  <si>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</si>
  <si>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</si>
  <si>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</si>
  <si>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</si>
  <si>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</si>
  <si>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</si>
  <si>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</si>
  <si>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</si>
  <si>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</si>
  <si>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</si>
  <si>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</si>
  <si>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</si>
  <si>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</si>
  <si>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</si>
  <si>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</si>
  <si>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</si>
  <si>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</si>
  <si>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</si>
  <si>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</si>
  <si>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</si>
  <si>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</si>
  <si>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</si>
  <si>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</si>
  <si>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</si>
  <si>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</si>
  <si>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</si>
  <si>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</si>
  <si>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</si>
  <si>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</si>
  <si>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</si>
  <si>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</si>
  <si>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</si>
  <si>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</si>
  <si>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</si>
  <si>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</si>
  <si>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</si>
  <si>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</si>
  <si>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</si>
  <si>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</si>
  <si>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</si>
  <si>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</si>
  <si>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</si>
  <si>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</si>
  <si>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</si>
  <si>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</si>
  <si>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</si>
  <si>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</si>
  <si>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</si>
  <si>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</si>
  <si>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</si>
  <si>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</si>
  <si>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</si>
  <si>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</si>
  <si>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</si>
  <si>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</si>
  <si>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</si>
  <si>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</si>
  <si>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</si>
  <si>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</si>
  <si>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</si>
  <si>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</si>
  <si>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</si>
  <si>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</si>
  <si>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</si>
  <si>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</si>
  <si>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</si>
  <si>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</si>
  <si>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</si>
  <si>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</si>
  <si>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</si>
  <si>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</si>
  <si>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</si>
  <si>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</si>
  <si>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</si>
  <si>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</si>
  <si>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</si>
  <si>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</si>
  <si>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</si>
  <si>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</si>
  <si>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</si>
  <si>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</si>
  <si>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</si>
  <si>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</si>
  <si>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</si>
  <si>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</si>
  <si>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</si>
  <si>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</si>
  <si>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</si>
  <si>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</si>
  <si>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</si>
  <si>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</si>
  <si>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</si>
  <si>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</si>
  <si>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</si>
  <si>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</si>
  <si>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</si>
  <si>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</si>
  <si>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</si>
  <si>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</si>
  <si>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</si>
  <si>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</si>
  <si>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</si>
  <si>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</si>
  <si>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</si>
  <si>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</si>
  <si>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</si>
  <si>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</si>
  <si>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</si>
  <si>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</si>
  <si>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</si>
  <si>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</si>
  <si>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</si>
  <si>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</si>
  <si>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</si>
  <si>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</si>
  <si>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</si>
  <si>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</si>
  <si>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</si>
  <si>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</si>
  <si>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</si>
  <si>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</si>
  <si>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</si>
  <si>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</si>
  <si>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</si>
  <si>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</si>
  <si>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</si>
  <si>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</si>
  <si>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</si>
  <si>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</si>
  <si>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</si>
  <si>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</si>
  <si>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</si>
  <si>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</si>
  <si>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</si>
  <si>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</si>
  <si>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</si>
  <si>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</si>
  <si>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</si>
  <si>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</si>
  <si>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</si>
  <si>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</si>
  <si>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</si>
  <si>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</si>
  <si>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</si>
  <si>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</si>
  <si>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</si>
  <si>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</si>
  <si>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</si>
  <si>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</si>
  <si>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</si>
  <si>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</si>
  <si>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</si>
  <si>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</si>
  <si>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</si>
  <si>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</si>
  <si>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</si>
  <si>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</si>
  <si>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</si>
  <si>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</si>
  <si>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</si>
  <si>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</si>
  <si>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</si>
  <si>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</si>
  <si>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</si>
  <si>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</si>
  <si>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</si>
  <si>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</si>
  <si>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</si>
  <si>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</si>
  <si>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</si>
  <si>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</si>
  <si>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</si>
  <si>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</si>
  <si>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</si>
  <si>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</si>
  <si>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</si>
  <si>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</si>
  <si>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</si>
  <si>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</si>
  <si>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</si>
  <si>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</si>
  <si>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</si>
  <si>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</si>
  <si>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</si>
  <si>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</si>
  <si>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</si>
  <si>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</si>
  <si>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</si>
  <si>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</si>
  <si>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</si>
  <si>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</si>
  <si>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</si>
  <si>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</si>
  <si>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</si>
  <si>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</si>
  <si>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</si>
  <si>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</si>
  <si>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</si>
  <si>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</si>
  <si>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</si>
  <si>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</si>
  <si>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</si>
  <si>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</si>
  <si>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</si>
  <si>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</si>
  <si>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</si>
  <si>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</si>
  <si>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</si>
  <si>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</si>
  <si>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</si>
  <si>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</si>
  <si>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</si>
  <si>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</si>
  <si>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</si>
  <si>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</si>
  <si>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</si>
  <si>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</si>
  <si>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</si>
  <si>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</si>
  <si>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</si>
  <si>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</si>
  <si>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</si>
  <si>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</si>
  <si>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</si>
  <si>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</si>
  <si>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</si>
  <si>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</si>
  <si>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</si>
  <si>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</si>
  <si>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</si>
  <si>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</si>
  <si>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</si>
  <si>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</si>
  <si>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</si>
  <si>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</si>
  <si>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</si>
  <si>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</si>
  <si>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</si>
  <si>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</si>
  <si>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</si>
  <si>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</si>
  <si>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</si>
  <si>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</si>
  <si>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</si>
  <si>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</si>
  <si>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</si>
  <si>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</si>
  <si>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</si>
  <si>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</si>
  <si>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</si>
  <si>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</si>
  <si>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</si>
  <si>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</si>
  <si>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</si>
  <si>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</si>
  <si>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</si>
  <si>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</si>
  <si>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</si>
  <si>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</si>
  <si>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</si>
  <si>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</si>
  <si>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</si>
  <si>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</si>
  <si>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</si>
  <si>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</si>
  <si>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</si>
  <si>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</si>
  <si>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</si>
  <si>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</si>
  <si>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</si>
  <si>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</si>
  <si>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</si>
  <si>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</si>
  <si>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</si>
  <si>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</si>
  <si>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</si>
  <si>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</si>
  <si>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</si>
  <si>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</si>
  <si>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</si>
  <si>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</si>
  <si>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</si>
  <si>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</si>
  <si>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</si>
  <si>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</si>
  <si>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</si>
  <si>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</si>
  <si>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</si>
  <si>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</si>
  <si>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</si>
  <si>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</si>
  <si>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</si>
  <si>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</si>
  <si>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</si>
  <si>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</si>
  <si>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</si>
  <si>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</si>
  <si>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</si>
  <si>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</si>
  <si>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</si>
  <si>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</si>
  <si>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</si>
  <si>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</si>
  <si>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</si>
  <si>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</si>
  <si>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</si>
  <si>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</si>
  <si>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</si>
  <si>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</si>
  <si>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</si>
  <si>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</si>
  <si>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</si>
  <si>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</si>
  <si>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</si>
  <si>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</si>
  <si>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</si>
  <si>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</si>
  <si>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</si>
  <si>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</si>
  <si>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</si>
  <si>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</si>
  <si>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</si>
  <si>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</si>
  <si>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</si>
  <si>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</si>
  <si>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</si>
  <si>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</si>
  <si>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</si>
  <si>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</si>
  <si>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</si>
  <si>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</si>
  <si>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</si>
  <si>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</si>
  <si>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</si>
  <si>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</si>
  <si>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</si>
  <si>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</si>
  <si>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</si>
  <si>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</si>
  <si>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</si>
  <si>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</si>
  <si>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</si>
  <si>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</si>
  <si>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</si>
  <si>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</si>
  <si>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</si>
  <si>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</si>
  <si>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</si>
  <si>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</si>
  <si>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</si>
  <si>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</si>
  <si>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</si>
  <si>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</si>
  <si>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</si>
  <si>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</si>
  <si>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</si>
  <si>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</si>
  <si>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</si>
  <si>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</si>
  <si>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</si>
  <si>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</si>
  <si>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</si>
  <si>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</si>
  <si>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</si>
  <si>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</si>
  <si>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</si>
  <si>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</si>
  <si>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</si>
  <si>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</si>
  <si>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</si>
  <si>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</si>
  <si>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</si>
  <si>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</si>
  <si>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</si>
  <si>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</si>
  <si>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</si>
  <si>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</si>
  <si>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</si>
  <si>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</si>
  <si>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</si>
  <si>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</si>
  <si>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</si>
  <si>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</si>
  <si>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</si>
  <si>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</si>
  <si>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</si>
  <si>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</si>
  <si>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</si>
  <si>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</si>
  <si>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</si>
  <si>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</si>
  <si>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</si>
  <si>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</si>
  <si>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</si>
  <si>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</si>
  <si>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</si>
  <si>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</si>
  <si>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</si>
  <si>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</si>
  <si>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</si>
  <si>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</si>
  <si>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</si>
  <si>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</si>
  <si>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</si>
  <si>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</si>
  <si>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</si>
  <si>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</si>
  <si>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</si>
  <si>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</si>
  <si>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</si>
  <si>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</si>
  <si>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</si>
  <si>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</si>
  <si>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</si>
  <si>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</si>
  <si>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</si>
  <si>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</si>
  <si>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</si>
  <si>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</si>
  <si>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</si>
  <si>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</si>
  <si>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</si>
  <si>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</si>
  <si>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</si>
  <si>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</si>
  <si>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</si>
  <si>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</si>
  <si>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</si>
  <si>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</si>
  <si>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</si>
  <si>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</si>
  <si>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</si>
  <si>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</si>
  <si>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</si>
  <si>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</si>
  <si>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</si>
  <si>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</si>
  <si>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</si>
  <si>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</si>
  <si>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</si>
  <si>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</si>
  <si>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</si>
  <si>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</si>
  <si>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</si>
  <si>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</si>
  <si>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</si>
  <si>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</si>
  <si>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</si>
  <si>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</si>
  <si>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</si>
  <si>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</si>
  <si>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</si>
  <si>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</si>
  <si>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</si>
  <si>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</si>
  <si>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</si>
  <si>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</si>
  <si>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</si>
  <si>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</si>
  <si>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</si>
  <si>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</si>
  <si>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</si>
  <si>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</si>
  <si>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</si>
  <si>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</si>
  <si>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</si>
  <si>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</si>
  <si>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</si>
  <si>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</si>
  <si>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</si>
  <si>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</si>
  <si>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</si>
  <si>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</si>
  <si>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</si>
  <si>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</si>
  <si>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</si>
  <si>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</si>
  <si>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</si>
  <si>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</si>
  <si>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</si>
  <si>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</si>
  <si>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</si>
  <si>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</si>
  <si>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</si>
  <si>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</si>
  <si>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</si>
  <si>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</si>
  <si>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</si>
  <si>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</si>
  <si>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</si>
  <si>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</si>
  <si>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</si>
  <si>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</si>
  <si>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</si>
  <si>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</si>
  <si>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</si>
  <si>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</si>
  <si>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</si>
  <si>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</si>
  <si>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</si>
  <si>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</si>
  <si>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</si>
  <si>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</si>
  <si>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</si>
  <si>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</si>
  <si>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</si>
  <si>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</si>
  <si>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</si>
  <si>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</si>
  <si>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</si>
  <si>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</si>
  <si>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</si>
  <si>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</si>
  <si>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</si>
  <si>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</si>
  <si>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</si>
  <si>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</si>
  <si>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</si>
  <si>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</si>
  <si>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</si>
  <si>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</si>
  <si>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</si>
  <si>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</si>
  <si>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</si>
  <si>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</si>
  <si>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</si>
  <si>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</si>
  <si>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</si>
  <si>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</si>
  <si>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</si>
  <si>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</si>
  <si>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</si>
  <si>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</si>
  <si>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</si>
  <si>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</si>
  <si>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</si>
  <si>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</si>
  <si>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</si>
  <si>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</si>
  <si>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</si>
  <si>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</si>
  <si>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</si>
  <si>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</si>
  <si>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</si>
  <si>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</si>
  <si>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</si>
  <si>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</si>
  <si>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</si>
  <si>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</si>
  <si>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</si>
  <si>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</si>
  <si>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</si>
  <si>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</si>
  <si>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</si>
  <si>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</si>
  <si>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</si>
  <si>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</si>
  <si>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</si>
  <si>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</si>
  <si>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</si>
  <si>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</si>
  <si>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</si>
  <si>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</si>
  <si>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</si>
  <si>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</si>
  <si>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</si>
  <si>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</si>
  <si>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</si>
  <si>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</si>
  <si>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</si>
  <si>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</si>
  <si>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</si>
  <si>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</si>
  <si>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</si>
  <si>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</si>
  <si>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</si>
  <si>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</si>
  <si>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</si>
  <si>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</si>
  <si>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</si>
  <si>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</si>
  <si>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</si>
  <si>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</si>
  <si>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</si>
  <si>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</si>
  <si>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</si>
  <si>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</si>
  <si>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</si>
  <si>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</si>
  <si>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</si>
  <si>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</si>
  <si>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</si>
  <si>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</si>
  <si>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</si>
  <si>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</si>
  <si>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</si>
  <si>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</si>
  <si>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</si>
  <si>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</si>
  <si>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</si>
  <si>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</si>
  <si>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</si>
  <si>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</si>
  <si>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</si>
  <si>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</si>
  <si>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</si>
  <si>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</si>
  <si>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</si>
  <si>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</si>
  <si>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</si>
  <si>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</si>
  <si>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</si>
  <si>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</si>
  <si>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</si>
  <si>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</si>
  <si>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</si>
  <si>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</si>
  <si>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</si>
  <si>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</si>
  <si>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</si>
  <si>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</si>
  <si>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</si>
  <si>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</si>
  <si>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</si>
  <si>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</si>
  <si>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</si>
  <si>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</si>
  <si>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</si>
  <si>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</si>
  <si>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</si>
  <si>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</si>
  <si>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</si>
  <si>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</si>
  <si>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</si>
  <si>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</si>
  <si>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</si>
  <si>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</si>
  <si>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</si>
  <si>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</si>
  <si>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</si>
  <si>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</si>
  <si>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</si>
  <si>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</si>
  <si>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</si>
  <si>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</si>
  <si>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</si>
  <si>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</si>
  <si>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</si>
  <si>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</si>
  <si>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</si>
  <si>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</si>
  <si>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</si>
  <si>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</si>
  <si>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</si>
  <si>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</si>
  <si>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</si>
  <si>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</si>
  <si>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</si>
  <si>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</si>
  <si>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</si>
  <si>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</si>
  <si>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</si>
  <si>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</si>
  <si>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</si>
  <si>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</si>
  <si>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</si>
  <si>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</si>
  <si>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</si>
  <si>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</si>
  <si>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</si>
  <si>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</si>
  <si>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</si>
  <si>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</si>
  <si>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</si>
  <si>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</si>
  <si>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</si>
  <si>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</si>
  <si>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</si>
  <si>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</si>
  <si>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</si>
  <si>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</si>
  <si>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</si>
  <si>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</si>
  <si>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</si>
  <si>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</si>
  <si>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</si>
  <si>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</si>
  <si>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</si>
  <si>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</si>
  <si>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</si>
  <si>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</si>
  <si>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</si>
  <si>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</si>
  <si>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</si>
  <si>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</si>
  <si>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</si>
  <si>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</si>
  <si>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</si>
  <si>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</si>
  <si>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</si>
  <si>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</si>
  <si>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</si>
  <si>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</si>
  <si>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</si>
  <si>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</si>
  <si>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</si>
  <si>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</si>
  <si>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</si>
  <si>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</si>
  <si>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</si>
  <si>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</si>
  <si>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</si>
  <si>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</si>
  <si>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</si>
  <si>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</si>
  <si>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</si>
  <si>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</si>
  <si>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</si>
  <si>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</si>
  <si>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</si>
  <si>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</si>
  <si>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</si>
  <si>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</si>
  <si>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</si>
  <si>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</si>
  <si>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</si>
  <si>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</si>
  <si>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</si>
  <si>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</si>
  <si>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</si>
  <si>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</si>
  <si>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</si>
  <si>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</si>
  <si>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</si>
  <si>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</si>
  <si>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</si>
  <si>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</si>
  <si>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</si>
  <si>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</si>
  <si>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</si>
  <si>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</si>
  <si>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</si>
  <si>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</si>
  <si>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</si>
  <si>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</si>
  <si>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</si>
  <si>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</si>
  <si>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</si>
  <si>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</si>
  <si>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</si>
  <si>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</si>
  <si>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</si>
  <si>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</si>
  <si>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</si>
  <si>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</si>
  <si>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</si>
  <si>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</si>
  <si>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</si>
  <si>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</si>
  <si>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</si>
  <si>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</si>
  <si>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</si>
  <si>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</si>
  <si>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</si>
  <si>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</si>
  <si>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</si>
  <si>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</si>
  <si>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</si>
  <si>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</si>
  <si>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</si>
  <si>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</si>
  <si>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</si>
  <si>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</si>
  <si>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</si>
  <si>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</si>
  <si>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</si>
  <si>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</si>
  <si>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</si>
  <si>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</si>
  <si>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</si>
  <si>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</si>
  <si>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</si>
  <si>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</si>
  <si>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</si>
  <si>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</si>
  <si>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</si>
  <si>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</si>
  <si>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</si>
  <si>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</si>
  <si>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</si>
  <si>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</si>
  <si>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</si>
  <si>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</si>
  <si>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</si>
  <si>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</si>
  <si>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</si>
  <si>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</si>
  <si>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</si>
  <si>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</si>
  <si>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</si>
  <si>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</si>
  <si>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</si>
  <si>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</si>
  <si>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</si>
  <si>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</si>
  <si>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</si>
  <si>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</si>
  <si>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</si>
  <si>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</si>
  <si>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</si>
  <si>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</si>
  <si>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</si>
  <si>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</si>
  <si>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</si>
  <si>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</si>
  <si>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</si>
  <si>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</si>
  <si>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</si>
  <si>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</si>
  <si>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</si>
  <si>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</si>
  <si>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</si>
  <si>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</si>
  <si>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</si>
  <si>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</si>
  <si>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</si>
  <si>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</si>
  <si>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</si>
  <si>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</si>
  <si>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</si>
  <si>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</si>
  <si>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</si>
  <si>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</si>
  <si>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</si>
  <si>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</si>
  <si>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</si>
  <si>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</si>
  <si>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</si>
  <si>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</si>
  <si>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</si>
  <si>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</si>
  <si>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</si>
  <si>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</si>
  <si>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</si>
  <si>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</si>
  <si>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</si>
  <si>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</si>
  <si>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</si>
  <si>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</si>
  <si>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</si>
  <si>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</si>
  <si>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</si>
  <si>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</si>
  <si>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</si>
  <si>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</si>
  <si>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</si>
  <si>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</si>
  <si>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</si>
  <si>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</si>
  <si>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</si>
  <si>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</si>
  <si>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</si>
  <si>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</si>
  <si>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</si>
  <si>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</si>
  <si>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</si>
  <si>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</si>
  <si>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</si>
  <si>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</si>
  <si>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</si>
  <si>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</si>
  <si>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</si>
  <si>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</si>
  <si>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</si>
  <si>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</si>
  <si>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</si>
  <si>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</si>
  <si>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</si>
  <si>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</si>
  <si>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</si>
  <si>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</si>
  <si>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</si>
  <si>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</si>
  <si>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</si>
  <si>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</si>
  <si>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</si>
  <si>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</si>
  <si>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</si>
  <si>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</si>
  <si>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</si>
  <si>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</si>
  <si>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</si>
  <si>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</si>
  <si>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</si>
  <si>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</si>
  <si>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</si>
  <si>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</si>
  <si>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</si>
  <si>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</si>
  <si>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</si>
  <si>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</si>
  <si>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</si>
  <si>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</si>
  <si>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</si>
  <si>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</si>
  <si>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</si>
  <si>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</si>
  <si>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</si>
  <si>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</si>
  <si>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</si>
  <si>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</si>
  <si>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</si>
  <si>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</si>
  <si>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</si>
  <si>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</si>
  <si>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</si>
  <si>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</si>
  <si>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</si>
  <si>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</si>
  <si>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</si>
  <si>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</si>
  <si>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</si>
  <si>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</si>
  <si>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</si>
  <si>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</si>
  <si>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</si>
  <si>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</si>
  <si>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</si>
  <si>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</si>
  <si>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</si>
  <si>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</si>
  <si>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</si>
  <si>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</si>
  <si>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</si>
  <si>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</si>
  <si>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</si>
  <si>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</si>
  <si>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</si>
  <si>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</si>
  <si>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</si>
  <si>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</si>
  <si>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</si>
  <si>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</si>
  <si>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</si>
  <si>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</si>
  <si>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</si>
  <si>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</si>
  <si>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</si>
  <si>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</si>
  <si>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</si>
  <si>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</si>
  <si>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</si>
  <si>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</si>
  <si>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</si>
  <si>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</si>
  <si>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</si>
  <si>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</si>
  <si>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</si>
  <si>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</si>
  <si>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</si>
  <si>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</si>
  <si>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</si>
  <si>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</si>
  <si>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</si>
  <si>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</si>
  <si>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</si>
  <si>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</si>
  <si>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</si>
  <si>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</si>
  <si>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</si>
  <si>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</si>
  <si>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</si>
  <si>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</si>
  <si>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</si>
  <si>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</si>
  <si>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</si>
  <si>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</si>
  <si>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</si>
  <si>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</si>
  <si>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</si>
  <si>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</si>
  <si>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</si>
  <si>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</si>
  <si>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</si>
  <si>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</si>
  <si>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</si>
  <si>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</si>
  <si>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</si>
  <si>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</si>
  <si>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</si>
  <si>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</si>
  <si>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</si>
  <si>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</si>
  <si>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</si>
  <si>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</si>
  <si>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</si>
  <si>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</si>
  <si>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</si>
  <si>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</si>
  <si>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</si>
  <si>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</si>
  <si>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</si>
  <si>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</si>
  <si>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</si>
  <si>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</si>
  <si>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</si>
  <si>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</si>
  <si>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</si>
  <si>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</si>
  <si>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</si>
  <si>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</si>
  <si>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</si>
  <si>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</si>
  <si>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</si>
  <si>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</si>
  <si>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</si>
  <si>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</si>
  <si>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</si>
  <si>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</si>
  <si>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</si>
  <si>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</si>
  <si>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</si>
  <si>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</si>
  <si>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</si>
  <si>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</si>
  <si>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</si>
  <si>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</si>
  <si>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</si>
  <si>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</si>
  <si>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</si>
  <si>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</si>
  <si>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</si>
  <si>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</si>
  <si>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</si>
  <si>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</si>
  <si>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</si>
  <si>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</si>
  <si>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</si>
  <si>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</si>
  <si>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</si>
  <si>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</si>
  <si>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</si>
  <si>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</si>
  <si>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</si>
  <si>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</si>
  <si>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</si>
  <si>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</si>
  <si>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</si>
  <si>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</si>
  <si>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</si>
  <si>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</si>
  <si>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</si>
  <si>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</si>
  <si>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</si>
  <si>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</si>
  <si>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</si>
  <si>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</si>
  <si>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</si>
  <si>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</si>
  <si>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</si>
  <si>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</si>
  <si>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</si>
  <si>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</si>
  <si>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</si>
  <si>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</si>
  <si>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</si>
  <si>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</si>
  <si>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</si>
  <si>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</si>
  <si>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</si>
  <si>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</si>
  <si>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</si>
  <si>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</si>
  <si>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</si>
  <si>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</si>
  <si>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</si>
  <si>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</si>
  <si>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</si>
  <si>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</si>
  <si>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</si>
  <si>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</si>
  <si>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</si>
  <si>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</si>
  <si>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</si>
  <si>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</si>
  <si>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</si>
  <si>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</si>
  <si>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</si>
  <si>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</si>
  <si>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</si>
  <si>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</si>
  <si>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</si>
  <si>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</si>
  <si>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</si>
  <si>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</si>
  <si>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</si>
  <si>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</si>
  <si>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</si>
  <si>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</si>
  <si>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</si>
  <si>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</si>
  <si>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</si>
  <si>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</si>
  <si>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</si>
  <si>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</si>
  <si>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</si>
  <si>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</si>
  <si>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</si>
  <si>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</si>
  <si>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</si>
  <si>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</si>
  <si>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</si>
  <si>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</si>
  <si>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</si>
  <si>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</si>
  <si>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</si>
  <si>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</si>
  <si>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</si>
  <si>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</si>
  <si>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</si>
  <si>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</si>
  <si>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</si>
  <si>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</si>
  <si>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</si>
  <si>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</si>
  <si>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</si>
  <si>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</si>
  <si>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</si>
  <si>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</si>
  <si>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</si>
  <si>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</si>
  <si>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</si>
  <si>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</si>
  <si>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</si>
  <si>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</si>
  <si>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</si>
  <si>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</si>
  <si>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</si>
  <si>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</si>
  <si>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</si>
  <si>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</si>
  <si>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</si>
  <si>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</si>
  <si>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</si>
  <si>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</si>
  <si>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</si>
  <si>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</si>
  <si>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</si>
  <si>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</si>
  <si>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</si>
  <si>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</si>
  <si>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</si>
  <si>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</si>
  <si>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</si>
  <si>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</si>
  <si>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</si>
  <si>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</si>
  <si>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</si>
  <si>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</si>
  <si>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</si>
  <si>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</si>
  <si>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</si>
  <si>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</si>
  <si>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</si>
  <si>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</si>
  <si>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</si>
  <si>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</si>
  <si>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</si>
  <si>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</si>
  <si>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</si>
  <si>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</si>
  <si>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</si>
  <si>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</si>
  <si>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</si>
  <si>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</si>
  <si>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</si>
  <si>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</si>
  <si>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</si>
  <si>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</si>
  <si>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</si>
  <si>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</si>
  <si>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</si>
  <si>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</si>
  <si>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</si>
  <si>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</si>
  <si>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</si>
  <si>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</si>
  <si>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</si>
  <si>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</si>
  <si>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</si>
  <si>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</si>
  <si>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</si>
  <si>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</si>
  <si>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</si>
  <si>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</si>
  <si>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</si>
  <si>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</si>
  <si>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</si>
  <si>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</si>
  <si>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</si>
  <si>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</si>
  <si>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</si>
  <si>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</si>
  <si>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</si>
  <si>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</si>
  <si>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</si>
  <si>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</si>
  <si>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</si>
  <si>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</si>
  <si>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</si>
  <si>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</si>
  <si>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</si>
  <si>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</si>
  <si>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</si>
  <si>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</si>
  <si>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</si>
  <si>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</si>
  <si>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</si>
  <si>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</si>
  <si>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</si>
  <si>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</si>
  <si>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</si>
  <si>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</si>
  <si>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</si>
  <si>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</si>
  <si>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</si>
  <si>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</si>
  <si>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</si>
  <si>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</si>
  <si>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</si>
  <si>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</si>
  <si>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</si>
  <si>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</si>
  <si>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</si>
  <si>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</si>
  <si>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</si>
  <si>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</si>
  <si>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</si>
  <si>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</si>
  <si>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</si>
  <si>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</si>
  <si>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</si>
  <si>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</si>
  <si>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</si>
  <si>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</si>
  <si>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</si>
  <si>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</si>
  <si>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</si>
  <si>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</si>
  <si>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</si>
  <si>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</si>
  <si>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</si>
  <si>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</si>
  <si>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</si>
  <si>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</si>
  <si>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</si>
  <si>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</si>
  <si>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</si>
  <si>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</si>
  <si>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</si>
  <si>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</si>
  <si>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</si>
  <si>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</si>
  <si>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</si>
  <si>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</si>
  <si>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</si>
  <si>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</si>
  <si>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</si>
  <si>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</si>
  <si>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</si>
  <si>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</si>
  <si>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</si>
  <si>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</si>
  <si>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</si>
  <si>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</si>
  <si>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</si>
  <si>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</si>
  <si>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</si>
  <si>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</si>
  <si>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</si>
  <si>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</si>
  <si>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</si>
  <si>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</si>
  <si>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</si>
  <si>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</si>
  <si>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</si>
  <si>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</si>
  <si>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</si>
  <si>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</si>
  <si>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</si>
  <si>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</si>
  <si>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</si>
  <si>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</si>
  <si>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</si>
  <si>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</si>
  <si>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</si>
  <si>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</si>
  <si>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</si>
  <si>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</si>
  <si>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</si>
  <si>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</si>
  <si>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</si>
  <si>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</si>
  <si>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</si>
  <si>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</si>
  <si>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</si>
  <si>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</si>
  <si>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</si>
  <si>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</si>
  <si>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</si>
  <si>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</si>
  <si>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</si>
  <si>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</si>
  <si>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</si>
  <si>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</si>
  <si>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</si>
  <si>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</si>
  <si>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</si>
  <si>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</si>
  <si>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</si>
  <si>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</si>
  <si>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</si>
  <si>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</si>
  <si>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</si>
  <si>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</si>
  <si>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</si>
  <si>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</si>
  <si>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</si>
  <si>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</si>
  <si>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</si>
  <si>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</si>
  <si>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</si>
  <si>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</si>
  <si>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</si>
  <si>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</si>
  <si>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</si>
  <si>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</si>
  <si>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</si>
  <si>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</si>
  <si>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</si>
  <si>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</si>
  <si>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</si>
  <si>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</si>
  <si>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</si>
  <si>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</si>
  <si>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</si>
  <si>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</si>
  <si>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</si>
  <si>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</si>
  <si>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</si>
  <si>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</si>
  <si>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</si>
  <si>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</si>
  <si>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</si>
  <si>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</si>
  <si>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</si>
  <si>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</si>
  <si>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</si>
  <si>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</si>
  <si>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</si>
  <si>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</si>
  <si>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</si>
  <si>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</si>
  <si>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</si>
  <si>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</si>
  <si>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</si>
  <si>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</si>
  <si>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</si>
  <si>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</si>
  <si>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</si>
  <si>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</si>
  <si>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</si>
  <si>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</si>
  <si>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</si>
  <si>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</si>
  <si>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</si>
  <si>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</si>
  <si>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</si>
  <si>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</si>
  <si>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</si>
  <si>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</si>
  <si>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</si>
  <si>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</si>
  <si>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</si>
  <si>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</si>
  <si>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</si>
  <si>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</si>
  <si>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</si>
  <si>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</si>
  <si>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</si>
  <si>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</si>
  <si>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</si>
  <si>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</si>
  <si>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</si>
  <si>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</si>
  <si>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</si>
  <si>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</si>
  <si>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</si>
  <si>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</si>
  <si>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</si>
  <si>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</si>
  <si>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</si>
  <si>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</si>
  <si>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</si>
  <si>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</si>
  <si>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</si>
  <si>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</si>
  <si>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</si>
  <si>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</si>
  <si>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</si>
  <si>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</si>
  <si>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</si>
  <si>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</si>
  <si>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</si>
  <si>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</si>
  <si>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</si>
  <si>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</si>
  <si>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</si>
  <si>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</si>
  <si>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</si>
  <si>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</si>
  <si>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</si>
  <si>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</si>
  <si>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</si>
  <si>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</si>
  <si>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</si>
  <si>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</si>
  <si>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</si>
  <si>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</si>
  <si>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</si>
  <si>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</si>
  <si>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</si>
  <si>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</si>
  <si>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</si>
  <si>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</si>
  <si>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</si>
  <si>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</si>
  <si>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</si>
  <si>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</si>
  <si>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</si>
  <si>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</si>
  <si>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</si>
  <si>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</si>
  <si>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</si>
  <si>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</si>
  <si>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</si>
  <si>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</si>
  <si>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</si>
  <si>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</si>
  <si>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</si>
  <si>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</si>
  <si>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</si>
  <si>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</si>
  <si>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</si>
  <si>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</si>
  <si>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</si>
  <si>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</si>
  <si>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</si>
  <si>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</si>
  <si>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</si>
  <si>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</si>
  <si>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</si>
  <si>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</si>
  <si>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</si>
  <si>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</si>
  <si>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</si>
  <si>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</si>
  <si>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</si>
  <si>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</si>
  <si>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</si>
  <si>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</si>
  <si>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</si>
  <si>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</si>
  <si>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</si>
  <si>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</si>
  <si>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</si>
  <si>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</si>
  <si>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</si>
  <si>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</si>
  <si>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</si>
  <si>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</si>
  <si>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</si>
  <si>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</si>
  <si>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</si>
  <si>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</si>
  <si>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</si>
  <si>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</si>
  <si>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</si>
  <si>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</si>
  <si>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</si>
  <si>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</si>
  <si>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</si>
  <si>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</si>
  <si>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</si>
  <si>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</si>
  <si>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</si>
  <si>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</si>
  <si>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</si>
  <si>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</si>
  <si>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</si>
  <si>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</si>
  <si>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</si>
  <si>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</si>
  <si>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</si>
  <si>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</si>
  <si>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</si>
  <si>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</si>
  <si>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</si>
  <si>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</si>
  <si>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</si>
  <si>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</si>
  <si>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</si>
  <si>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</si>
  <si>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</si>
  <si>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</si>
  <si>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</si>
  <si>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</si>
  <si>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</si>
  <si>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</si>
  <si>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</si>
  <si>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</si>
  <si>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</si>
  <si>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</si>
  <si>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</si>
  <si>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</si>
  <si>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</si>
  <si>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</si>
  <si>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</si>
  <si>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</si>
  <si>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</si>
  <si>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</si>
  <si>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</si>
  <si>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</si>
  <si>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</si>
  <si>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</si>
  <si>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</si>
  <si>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</si>
  <si>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</si>
  <si>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</si>
  <si>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</si>
  <si>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</si>
  <si>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</si>
  <si>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</si>
  <si>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</si>
  <si>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</si>
  <si>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</si>
  <si>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</si>
  <si>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</si>
  <si>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</si>
  <si>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</si>
  <si>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</si>
  <si>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</si>
  <si>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</si>
  <si>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</si>
  <si>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</si>
  <si>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</si>
  <si>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</si>
  <si>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</si>
  <si>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</si>
  <si>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</si>
  <si>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</si>
  <si>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</si>
  <si>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</si>
  <si>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</si>
  <si>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</si>
  <si>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</si>
  <si>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</si>
  <si>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</si>
  <si>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</si>
  <si>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</si>
  <si>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</si>
  <si>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</si>
  <si>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</si>
  <si>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</si>
  <si>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</si>
  <si>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</si>
  <si>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</si>
  <si>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</si>
  <si>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</si>
  <si>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</si>
  <si>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</si>
  <si>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</si>
  <si>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</si>
  <si>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</si>
  <si>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</si>
  <si>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</si>
  <si>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</si>
  <si>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</si>
  <si>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</si>
  <si>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</si>
  <si>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</si>
  <si>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</si>
  <si>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</si>
  <si>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</si>
  <si>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</si>
  <si>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</si>
  <si>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</si>
  <si>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</si>
  <si>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</si>
  <si>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</si>
  <si>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</si>
  <si>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</si>
  <si>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</si>
  <si>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</si>
  <si>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</si>
  <si>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</si>
  <si>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</si>
  <si>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</si>
  <si>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</si>
  <si>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</si>
  <si>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</si>
  <si>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</si>
  <si>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</si>
  <si>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</si>
  <si>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</si>
  <si>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</si>
  <si>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</si>
  <si>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</si>
  <si>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</si>
  <si>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</si>
  <si>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</si>
  <si>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</si>
  <si>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</si>
  <si>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</si>
  <si>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</si>
  <si>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</si>
  <si>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</si>
  <si>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</si>
  <si>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</si>
  <si>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</si>
  <si>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</si>
  <si>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</si>
  <si>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</si>
  <si>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</si>
  <si>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</si>
  <si>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</si>
  <si>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</si>
  <si>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</si>
  <si>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</si>
  <si>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</si>
  <si>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</si>
  <si>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</si>
  <si>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</si>
  <si>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</si>
  <si>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</si>
  <si>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</si>
  <si>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</si>
  <si>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</si>
  <si>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</si>
  <si>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</si>
  <si>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</si>
  <si>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</si>
  <si>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</si>
  <si>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</si>
  <si>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</si>
  <si>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</si>
  <si>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</si>
  <si>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</si>
  <si>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</si>
  <si>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</si>
  <si>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</si>
  <si>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</si>
  <si>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</si>
  <si>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</si>
  <si>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</si>
  <si>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</si>
  <si>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</si>
  <si>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</si>
  <si>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</si>
  <si>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</si>
  <si>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</si>
  <si>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</si>
  <si>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</si>
  <si>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</si>
  <si>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</si>
  <si>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</si>
  <si>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</si>
  <si>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</si>
  <si>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</si>
  <si>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</si>
  <si>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</si>
  <si>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</si>
  <si>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</si>
  <si>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</si>
  <si>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</si>
  <si>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</si>
  <si>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</si>
  <si>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</si>
  <si>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</si>
  <si>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</si>
  <si>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</si>
  <si>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</si>
  <si>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</si>
  <si>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</si>
  <si>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</si>
  <si>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</si>
  <si>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</si>
  <si>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</si>
  <si>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</si>
  <si>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</si>
  <si>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</si>
  <si>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</si>
  <si>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</si>
  <si>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</si>
  <si>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</si>
  <si>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</si>
  <si>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</si>
  <si>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</si>
  <si>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</si>
  <si>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</si>
  <si>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</si>
  <si>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</si>
  <si>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</si>
  <si>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</si>
  <si>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</si>
  <si>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</si>
  <si>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</si>
  <si>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</si>
  <si>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</si>
  <si>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</si>
  <si>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</si>
  <si>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</si>
  <si>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</si>
  <si>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</si>
  <si>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</si>
  <si>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</si>
  <si>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</si>
  <si>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</si>
  <si>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</si>
  <si>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</si>
  <si>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</si>
  <si>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</si>
  <si>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</si>
  <si>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</si>
  <si>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</si>
  <si>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</si>
  <si>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</si>
  <si>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</si>
  <si>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</si>
  <si>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</si>
  <si>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</si>
  <si>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</si>
  <si>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</si>
  <si>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</si>
  <si>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</si>
  <si>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</si>
  <si>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</si>
  <si>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</si>
  <si>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</si>
  <si>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</si>
  <si>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</si>
  <si>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</si>
  <si>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</si>
  <si>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</si>
  <si>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</si>
  <si>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</si>
  <si>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</si>
  <si>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</si>
  <si>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</si>
  <si>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</si>
  <si>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</si>
  <si>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</si>
  <si>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</si>
  <si>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</si>
  <si>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</si>
  <si>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</si>
  <si>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</si>
  <si>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</si>
  <si>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</si>
  <si>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</si>
  <si>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</si>
  <si>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</si>
  <si>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</si>
  <si>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</si>
  <si>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</si>
  <si>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</si>
  <si>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</si>
  <si>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</si>
  <si>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</si>
  <si>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</si>
  <si>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</si>
  <si>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</si>
  <si>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</si>
  <si>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</si>
  <si>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</si>
  <si>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</si>
  <si>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</si>
  <si>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</si>
  <si>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</si>
  <si>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</si>
  <si>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</si>
  <si>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</si>
  <si>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</si>
  <si>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</si>
  <si>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</si>
  <si>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</si>
  <si>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</si>
  <si>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</si>
  <si>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</si>
  <si>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</si>
  <si>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</si>
  <si>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</si>
  <si>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</si>
  <si>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</si>
  <si>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</si>
  <si>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</si>
  <si>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</si>
  <si>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</si>
  <si>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</si>
  <si>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</si>
  <si>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</si>
  <si>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</si>
  <si>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</si>
  <si>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</si>
  <si>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</si>
  <si>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</si>
  <si>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</si>
  <si>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</si>
  <si>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</si>
  <si>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</si>
  <si>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</si>
  <si>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</si>
  <si>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</si>
  <si>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</si>
  <si>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</si>
  <si>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</si>
  <si>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</si>
  <si>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</si>
  <si>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</si>
  <si>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</si>
  <si>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</si>
  <si>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</si>
  <si>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</si>
  <si>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</si>
  <si>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</si>
  <si>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</si>
  <si>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</si>
  <si>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</si>
  <si>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</si>
  <si>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</si>
  <si>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</si>
  <si>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</si>
  <si>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</si>
  <si>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</si>
  <si>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</si>
  <si>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</si>
  <si>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</si>
  <si>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</si>
  <si>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</si>
  <si>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</si>
  <si>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</si>
  <si>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</si>
  <si>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</si>
  <si>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</si>
  <si>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</si>
  <si>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</si>
  <si>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</si>
  <si>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</si>
  <si>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</si>
  <si>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</si>
  <si>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</si>
  <si>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</si>
  <si>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</si>
  <si>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</si>
  <si>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</si>
  <si>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</si>
  <si>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</si>
  <si>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</si>
  <si>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</si>
  <si>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</si>
  <si>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</si>
  <si>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</si>
  <si>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</si>
  <si>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</si>
  <si>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</si>
  <si>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</si>
  <si>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</si>
  <si>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</si>
  <si>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</si>
  <si>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</si>
  <si>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</si>
  <si>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</si>
  <si>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</si>
  <si>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</si>
  <si>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</si>
  <si>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</si>
  <si>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</si>
  <si>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</si>
  <si>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</si>
  <si>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</si>
  <si>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</si>
  <si>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</si>
  <si>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</si>
  <si>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</si>
  <si>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</si>
  <si>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</si>
  <si>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</si>
  <si>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</si>
  <si>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</si>
  <si>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</si>
  <si>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</si>
  <si>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</si>
  <si>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</si>
  <si>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</si>
  <si>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</si>
  <si>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</si>
  <si>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</si>
  <si>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</si>
  <si>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</si>
  <si>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</si>
  <si>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</si>
  <si>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</si>
  <si>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</si>
  <si>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</si>
  <si>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</si>
  <si>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</si>
  <si>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</si>
  <si>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</si>
  <si>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</si>
  <si>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</si>
  <si>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</si>
  <si>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</si>
  <si>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</si>
  <si>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</si>
  <si>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</si>
  <si>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</si>
  <si>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</si>
  <si>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</si>
  <si>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</si>
  <si>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</si>
  <si>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</si>
  <si>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</si>
  <si>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</si>
  <si>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</si>
  <si>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</si>
  <si>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</si>
  <si>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</si>
  <si>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</si>
  <si>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</si>
  <si>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</si>
  <si>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</si>
  <si>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</si>
  <si>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</si>
  <si>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</si>
  <si>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</si>
  <si>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</si>
  <si>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</si>
  <si>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</si>
  <si>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</si>
  <si>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</si>
  <si>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</si>
  <si>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</si>
  <si>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</si>
  <si>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</si>
  <si>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</si>
  <si>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</si>
  <si>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</si>
  <si>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</si>
  <si>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</si>
  <si>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</si>
  <si>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</si>
  <si>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</si>
  <si>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</si>
  <si>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</si>
  <si>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</si>
  <si>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</si>
  <si>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</si>
  <si>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</si>
  <si>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</si>
  <si>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</si>
  <si>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</si>
  <si>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</si>
  <si>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</si>
  <si>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</si>
  <si>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</si>
  <si>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</si>
  <si>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</si>
  <si>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</si>
  <si>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</si>
  <si>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</si>
  <si>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</si>
  <si>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</si>
  <si>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</si>
  <si>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</si>
  <si>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</si>
  <si>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</si>
  <si>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</si>
  <si>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</si>
  <si>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</si>
  <si>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</si>
  <si>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</si>
  <si>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</si>
  <si>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</si>
  <si>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</si>
  <si>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</si>
  <si>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</si>
  <si>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</si>
  <si>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</si>
  <si>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</si>
  <si>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</si>
  <si>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</si>
  <si>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</si>
  <si>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</si>
  <si>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</si>
  <si>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</si>
  <si>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</si>
  <si>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</si>
  <si>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</si>
  <si>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</si>
  <si>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</si>
  <si>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</si>
  <si>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</si>
  <si>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</si>
  <si>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</si>
  <si>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</si>
  <si>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</si>
  <si>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</si>
  <si>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</si>
  <si>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</si>
  <si>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</si>
  <si>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</si>
  <si>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</si>
  <si>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</si>
  <si>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</si>
  <si>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</si>
  <si>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</si>
  <si>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</si>
  <si>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</si>
  <si>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</si>
  <si>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</si>
  <si>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</si>
  <si>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</si>
  <si>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</si>
  <si>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</si>
  <si>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</si>
  <si>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</si>
  <si>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</si>
  <si>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</si>
  <si>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</si>
  <si>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</si>
  <si>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</si>
  <si>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</si>
  <si>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</si>
  <si>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</si>
  <si>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</si>
  <si>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</si>
  <si>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</si>
  <si>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</si>
  <si>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</si>
  <si>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</si>
  <si>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</si>
  <si>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</si>
  <si>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</si>
  <si>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</si>
  <si>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</si>
  <si>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</si>
  <si>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</si>
  <si>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</si>
  <si>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</si>
  <si>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</si>
  <si>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</si>
  <si>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</si>
  <si>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</si>
  <si>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</si>
  <si>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</si>
  <si>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</si>
  <si>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</si>
  <si>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</si>
  <si>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</si>
  <si>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</si>
  <si>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</si>
  <si>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</si>
  <si>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</si>
  <si>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</si>
  <si>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</si>
  <si>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</si>
  <si>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</si>
  <si>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</si>
  <si>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</si>
  <si>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</si>
  <si>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</si>
  <si>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</si>
  <si>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</si>
  <si>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</si>
  <si>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</si>
  <si>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</si>
  <si>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</si>
  <si>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</si>
  <si>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</si>
  <si>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</si>
  <si>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</si>
  <si>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</si>
  <si>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</si>
  <si>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</si>
  <si>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</si>
  <si>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</si>
  <si>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</si>
  <si>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</si>
  <si>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</si>
  <si>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</si>
  <si>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</si>
  <si>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</si>
  <si>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</si>
  <si>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</si>
  <si>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</si>
  <si>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</si>
  <si>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</si>
  <si>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</si>
  <si>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</si>
  <si>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</si>
  <si>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</si>
  <si>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</si>
  <si>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</si>
  <si>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</si>
  <si>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</si>
  <si>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</si>
  <si>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</si>
  <si>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</si>
  <si>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</si>
  <si>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</si>
  <si>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</si>
  <si>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</si>
  <si>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</si>
  <si>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</si>
  <si>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</si>
  <si>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</si>
  <si>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</si>
  <si>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</si>
  <si>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</si>
  <si>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</si>
  <si>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</si>
  <si>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</si>
  <si>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</si>
  <si>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</si>
  <si>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</si>
  <si>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</si>
  <si>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</si>
  <si>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</si>
  <si>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</si>
  <si>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</si>
  <si>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</si>
  <si>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</si>
  <si>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</si>
  <si>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</si>
  <si>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</si>
  <si>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</si>
  <si>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</si>
  <si>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</si>
  <si>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</si>
  <si>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</si>
  <si>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</si>
  <si>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</si>
  <si>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</si>
  <si>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</si>
  <si>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</si>
  <si>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</si>
  <si>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</si>
  <si>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</si>
  <si>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</si>
  <si>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</si>
  <si>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</si>
  <si>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</si>
  <si>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</si>
  <si>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</si>
  <si>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</si>
  <si>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</si>
  <si>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</si>
  <si>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</si>
  <si>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</si>
  <si>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</si>
  <si>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</si>
  <si>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</si>
  <si>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</si>
  <si>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</si>
  <si>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</si>
  <si>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</si>
  <si>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</si>
  <si>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</si>
  <si>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</si>
  <si>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</si>
  <si>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</si>
  <si>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</si>
  <si>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</si>
  <si>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</si>
  <si>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</si>
  <si>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</si>
  <si>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</si>
  <si>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</si>
  <si>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</si>
  <si>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</si>
  <si>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</si>
  <si>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</si>
  <si>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</si>
  <si>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</si>
  <si>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</si>
  <si>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</si>
  <si>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</si>
  <si>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</si>
  <si>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</si>
  <si>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</si>
  <si>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</si>
  <si>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</si>
  <si>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</si>
  <si>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</si>
  <si>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</si>
  <si>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</si>
  <si>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</si>
  <si>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</si>
  <si>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</si>
  <si>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</si>
  <si>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</si>
  <si>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</si>
  <si>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</si>
  <si>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</si>
  <si>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</si>
  <si>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</si>
  <si>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</si>
  <si>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</si>
  <si>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</si>
  <si>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</si>
  <si>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</si>
  <si>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</si>
  <si>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</si>
  <si>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</si>
  <si>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</si>
  <si>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</si>
  <si>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</si>
  <si>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</si>
  <si>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</si>
  <si>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</si>
  <si>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</si>
  <si>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</si>
  <si>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</si>
  <si>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</si>
  <si>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</si>
  <si>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</si>
  <si>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</si>
  <si>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</si>
  <si>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</si>
  <si>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</si>
  <si>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</si>
  <si>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</si>
  <si>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</si>
  <si>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</si>
  <si>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</si>
  <si>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</si>
  <si>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</si>
  <si>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</si>
  <si>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</si>
  <si>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</si>
  <si>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</si>
  <si>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</si>
  <si>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</si>
  <si>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</si>
  <si>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</si>
  <si>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</si>
  <si>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</si>
  <si>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</si>
  <si>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</si>
  <si>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</si>
  <si>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</si>
  <si>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</si>
  <si>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</si>
  <si>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</si>
  <si>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</si>
  <si>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</si>
  <si>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</si>
  <si>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</si>
  <si>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</si>
  <si>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</si>
  <si>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</si>
  <si>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</si>
  <si>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</si>
  <si>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</si>
  <si>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</si>
  <si>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</si>
  <si>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</si>
  <si>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</si>
  <si>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</si>
  <si>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</si>
  <si>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</si>
  <si>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</si>
  <si>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</si>
  <si>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</si>
  <si>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</si>
  <si>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</si>
  <si>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</si>
  <si>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</si>
  <si>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</si>
  <si>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</si>
  <si>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</si>
  <si>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</si>
  <si>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</si>
  <si>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</si>
  <si>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</si>
  <si>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</si>
  <si>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</si>
  <si>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</si>
  <si>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</si>
  <si>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</si>
  <si>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</si>
  <si>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</si>
  <si>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</si>
  <si>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</si>
  <si>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</si>
  <si>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</si>
  <si>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</si>
  <si>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</si>
  <si>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</si>
  <si>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</si>
  <si>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</si>
  <si>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</si>
  <si>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</si>
  <si>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</si>
  <si>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</si>
  <si>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</si>
  <si>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</si>
  <si>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</si>
  <si>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</si>
  <si>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</si>
  <si>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</si>
  <si>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</si>
  <si>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</si>
  <si>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</si>
  <si>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</si>
  <si>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</si>
  <si>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</si>
  <si>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</si>
  <si>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</si>
  <si>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</si>
  <si>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</si>
  <si>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</si>
  <si>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</si>
  <si>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</si>
  <si>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</si>
  <si>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</si>
  <si>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</si>
  <si>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</si>
  <si>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</si>
  <si>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</si>
  <si>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</si>
  <si>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</si>
  <si>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</si>
  <si>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</si>
  <si>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</si>
  <si>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</si>
  <si>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</si>
  <si>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</si>
  <si>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</si>
  <si>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</si>
  <si>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</si>
  <si>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</si>
  <si>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</si>
  <si>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</si>
  <si>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</si>
  <si>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</si>
  <si>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</si>
  <si>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</si>
  <si>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</si>
  <si>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</si>
  <si>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</si>
  <si>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</si>
  <si>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</si>
  <si>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</si>
  <si>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</si>
  <si>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</si>
  <si>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</si>
  <si>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</si>
  <si>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</si>
  <si>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</si>
  <si>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</si>
  <si>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</si>
  <si>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</si>
  <si>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</si>
  <si>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</si>
  <si>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</si>
  <si>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</si>
  <si>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</si>
  <si>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</si>
  <si>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</si>
  <si>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</si>
  <si>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</si>
  <si>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</si>
  <si>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</si>
  <si>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</si>
  <si>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</si>
  <si>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</si>
  <si>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</si>
  <si>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</si>
  <si>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</si>
  <si>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</si>
  <si>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</si>
  <si>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</si>
  <si>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</si>
  <si>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</si>
  <si>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</si>
  <si>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</si>
  <si>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</si>
  <si>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</si>
  <si>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</si>
  <si>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</si>
  <si>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</si>
  <si>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</si>
  <si>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</si>
  <si>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</si>
  <si>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</si>
  <si>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</si>
  <si>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</si>
  <si>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</si>
  <si>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</si>
  <si>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</si>
  <si>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</si>
  <si>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</si>
  <si>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</si>
  <si>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</si>
  <si>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</si>
  <si>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</si>
  <si>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</si>
  <si>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</si>
  <si>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</si>
  <si>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</si>
  <si>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</si>
  <si>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</si>
  <si>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</si>
  <si>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</si>
  <si>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</si>
  <si>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</si>
  <si>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</si>
  <si>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</si>
  <si>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</si>
  <si>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</si>
  <si>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</si>
  <si>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</si>
  <si>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</si>
  <si>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</si>
  <si>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</si>
  <si>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</si>
  <si>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</si>
  <si>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</si>
  <si>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</si>
  <si>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</si>
  <si>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</si>
  <si>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</si>
  <si>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</si>
  <si>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</si>
  <si>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</si>
  <si>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</si>
  <si>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</si>
  <si>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</si>
  <si>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</si>
  <si>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</si>
  <si>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</si>
  <si>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</si>
  <si>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</si>
  <si>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</si>
  <si>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</si>
  <si>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</si>
  <si>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</si>
  <si>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</si>
  <si>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</si>
  <si>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</si>
  <si>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</si>
  <si>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</si>
  <si>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</si>
  <si>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</si>
  <si>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</si>
  <si>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</si>
  <si>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</si>
  <si>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</si>
  <si>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</si>
  <si>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</si>
  <si>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</si>
  <si>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</si>
  <si>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</si>
  <si>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</si>
  <si>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</si>
  <si>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</si>
  <si>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</si>
  <si>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</si>
  <si>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</si>
  <si>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</si>
  <si>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</si>
  <si>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</si>
  <si>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</si>
  <si>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</si>
  <si>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</si>
  <si>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</si>
  <si>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</si>
  <si>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</si>
  <si>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</si>
  <si>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</si>
  <si>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</si>
  <si>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</si>
  <si>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</si>
  <si>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</si>
  <si>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</si>
  <si>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</si>
  <si>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</si>
  <si>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</si>
  <si>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</si>
  <si>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</si>
  <si>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</si>
  <si>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</si>
  <si>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</si>
  <si>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</si>
  <si>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</si>
  <si>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</si>
  <si>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</si>
  <si>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</si>
  <si>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</si>
  <si>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</si>
  <si>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</si>
  <si>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</si>
  <si>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</si>
  <si>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</si>
  <si>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</si>
  <si>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</si>
  <si>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</si>
  <si>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</si>
  <si>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</si>
  <si>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</si>
  <si>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</si>
  <si>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</si>
  <si>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</si>
  <si>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</si>
  <si>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</si>
  <si>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</si>
  <si>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</si>
  <si>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</si>
  <si>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</si>
  <si>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</si>
  <si>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</si>
  <si>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</si>
  <si>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</si>
  <si>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</si>
  <si>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</si>
  <si>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</si>
  <si>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</si>
  <si>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</si>
  <si>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</si>
  <si>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</si>
  <si>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</si>
  <si>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</si>
  <si>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</si>
  <si>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</si>
  <si>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</si>
  <si>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</si>
  <si>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</si>
  <si>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</si>
  <si>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</si>
  <si>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</si>
  <si>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</si>
  <si>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</si>
  <si>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</si>
  <si>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</si>
  <si>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</si>
  <si>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</si>
  <si>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</si>
  <si>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</si>
  <si>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</si>
  <si>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</si>
  <si>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</si>
  <si>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</si>
  <si>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</si>
  <si>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</si>
  <si>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</si>
  <si>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</si>
  <si>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</si>
  <si>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</si>
  <si>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</si>
  <si>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</si>
  <si>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</si>
  <si>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</si>
  <si>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</si>
  <si>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</si>
  <si>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</si>
  <si>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</si>
  <si>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</si>
  <si>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</si>
  <si>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</si>
  <si>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</si>
  <si>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</si>
  <si>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</si>
  <si>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</si>
  <si>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</si>
  <si>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</si>
  <si>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</si>
  <si>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</si>
  <si>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</si>
  <si>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</si>
  <si>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</si>
  <si>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</si>
  <si>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</si>
  <si>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</si>
  <si>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</si>
  <si>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</si>
  <si>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</si>
  <si>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</si>
  <si>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</si>
  <si>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</si>
  <si>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</si>
  <si>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</si>
  <si>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</si>
  <si>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</si>
  <si>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</si>
  <si>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</si>
  <si>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</si>
  <si>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</si>
  <si>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</si>
  <si>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</si>
  <si>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</si>
  <si>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</si>
  <si>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</si>
  <si>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</si>
  <si>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</si>
  <si>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</si>
  <si>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</si>
  <si>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</si>
  <si>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</si>
  <si>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</si>
  <si>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</si>
  <si>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</si>
  <si>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</si>
  <si>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</si>
  <si>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</si>
  <si>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</si>
  <si>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</si>
  <si>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</si>
  <si>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</si>
  <si>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</si>
  <si>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</si>
  <si>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</si>
  <si>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</si>
  <si>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</si>
  <si>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</si>
  <si>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</si>
  <si>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</si>
  <si>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</si>
  <si>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</si>
  <si>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</si>
  <si>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</si>
  <si>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</si>
  <si>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</si>
  <si>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</si>
  <si>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</si>
  <si>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</si>
  <si>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</si>
  <si>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</si>
  <si>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</si>
  <si>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</si>
  <si>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</si>
  <si>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</si>
  <si>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</si>
  <si>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</si>
  <si>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</si>
  <si>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</si>
  <si>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</si>
  <si>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</si>
  <si>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</si>
  <si>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</si>
  <si>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</si>
  <si>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</si>
  <si>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</si>
  <si>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</si>
  <si>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</si>
  <si>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</si>
  <si>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</si>
  <si>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</si>
  <si>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</si>
  <si>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</si>
  <si>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</si>
  <si>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</si>
  <si>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</si>
  <si>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</si>
  <si>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</si>
  <si>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</si>
  <si>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</si>
  <si>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</si>
  <si>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</si>
  <si>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</si>
  <si>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</si>
  <si>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</si>
  <si>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</si>
  <si>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</si>
  <si>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</si>
  <si>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</si>
  <si>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</si>
  <si>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</si>
  <si>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</si>
  <si>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</si>
  <si>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</si>
  <si>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</si>
  <si>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</si>
  <si>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</si>
  <si>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</si>
  <si>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</si>
  <si>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</si>
  <si>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</si>
  <si>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</si>
  <si>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</si>
  <si>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</si>
  <si>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</si>
  <si>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</si>
  <si>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</si>
  <si>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</si>
  <si>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</si>
  <si>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</si>
  <si>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</si>
  <si>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</si>
  <si>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</si>
  <si>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</si>
  <si>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</si>
  <si>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</si>
  <si>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</si>
  <si>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</si>
  <si>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</si>
  <si>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</si>
  <si>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</si>
  <si>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</si>
  <si>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</si>
  <si>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</si>
  <si>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</si>
  <si>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</si>
  <si>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</si>
  <si>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</si>
  <si>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</si>
  <si>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</si>
  <si>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</si>
  <si>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</si>
  <si>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</si>
  <si>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</si>
  <si>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</si>
  <si>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</si>
  <si>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</si>
  <si>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</si>
  <si>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</si>
  <si>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</si>
  <si>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</si>
  <si>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</si>
  <si>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</si>
  <si>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</si>
  <si>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</si>
  <si>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</si>
  <si>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</si>
  <si>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</si>
  <si>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</si>
  <si>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</si>
  <si>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</si>
  <si>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</si>
  <si>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</si>
  <si>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</si>
  <si>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</si>
  <si>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</si>
  <si>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</si>
  <si>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</si>
  <si>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</si>
  <si>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</si>
  <si>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</si>
  <si>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</si>
  <si>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</si>
  <si>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</si>
  <si>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</si>
  <si>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</si>
  <si>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</si>
  <si>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</si>
  <si>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</si>
  <si>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</si>
  <si>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</si>
  <si>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</si>
  <si>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</si>
  <si>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</si>
  <si>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</si>
  <si>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</si>
  <si>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</si>
  <si>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</si>
  <si>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</si>
  <si>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</si>
  <si>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</si>
  <si>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</si>
  <si>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</si>
  <si>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</si>
  <si>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</si>
  <si>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</si>
  <si>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</si>
  <si>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</si>
  <si>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</si>
  <si>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</si>
  <si>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</si>
  <si>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</si>
  <si>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</si>
  <si>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</si>
  <si>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</si>
  <si>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</si>
  <si>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</si>
  <si>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</si>
  <si>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</si>
  <si>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</si>
  <si>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</si>
  <si>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</si>
  <si>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</si>
  <si>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</si>
  <si>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</si>
  <si>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</si>
  <si>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</si>
  <si>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</si>
  <si>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</si>
  <si>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</si>
  <si>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</si>
  <si>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</si>
  <si>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</si>
  <si>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</si>
  <si>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</si>
  <si>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</si>
  <si>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</si>
  <si>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</si>
  <si>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</si>
  <si>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</si>
  <si>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</si>
  <si>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</si>
  <si>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</si>
  <si>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</si>
  <si>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</si>
  <si>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</si>
  <si>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</si>
  <si>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</si>
  <si>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</si>
  <si>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</si>
  <si>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</si>
  <si>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</si>
  <si>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</si>
  <si>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</si>
  <si>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</si>
  <si>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</si>
  <si>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</si>
  <si>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</si>
  <si>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</si>
  <si>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</si>
  <si>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</si>
  <si>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</si>
  <si>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</si>
  <si>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</si>
  <si>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</si>
  <si>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</si>
  <si>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</si>
  <si>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</si>
  <si>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</si>
  <si>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</si>
  <si>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</si>
  <si>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</si>
  <si>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</si>
  <si>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</si>
  <si>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</si>
  <si>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</si>
  <si>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</si>
  <si>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</si>
  <si>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</si>
  <si>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</si>
  <si>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</si>
  <si>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</si>
  <si>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</si>
  <si>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</si>
  <si>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</si>
  <si>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</si>
  <si>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</si>
  <si>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</si>
  <si>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</si>
  <si>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</si>
  <si>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</si>
  <si>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</si>
  <si>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</si>
  <si>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</si>
  <si>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</si>
  <si>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</si>
  <si>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</si>
  <si>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</si>
  <si>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</si>
  <si>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</si>
  <si>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</si>
  <si>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</si>
  <si>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</si>
  <si>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</si>
  <si>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</si>
  <si>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</si>
  <si>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</si>
  <si>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</si>
  <si>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</si>
  <si>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</si>
  <si>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</si>
  <si>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</si>
  <si>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</si>
  <si>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</si>
  <si>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</si>
  <si>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</si>
  <si>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</si>
  <si>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</si>
  <si>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</si>
  <si>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</si>
  <si>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</si>
  <si>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</si>
  <si>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</si>
  <si>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</si>
  <si>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</si>
  <si>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</si>
  <si>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</si>
  <si>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</si>
  <si>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</si>
  <si>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</si>
  <si>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</si>
  <si>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</si>
  <si>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</si>
  <si>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</si>
  <si>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</si>
  <si>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</si>
  <si>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</si>
  <si>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</si>
  <si>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</si>
  <si>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</si>
  <si>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</si>
  <si>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</si>
  <si>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</si>
  <si>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</si>
  <si>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</si>
  <si>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</si>
  <si>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</si>
  <si>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</si>
  <si>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</si>
  <si>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</si>
  <si>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</si>
  <si>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</si>
  <si>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</si>
  <si>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</si>
  <si>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</si>
  <si>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</si>
  <si>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</si>
  <si>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</si>
  <si>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</si>
  <si>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</si>
  <si>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</si>
  <si>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</si>
  <si>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</si>
  <si>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</si>
  <si>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</si>
  <si>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</si>
  <si>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</si>
  <si>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</si>
  <si>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</si>
  <si>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</si>
  <si>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</si>
  <si>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</si>
  <si>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</si>
  <si>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</si>
  <si>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</si>
  <si>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</si>
  <si>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</si>
  <si>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</si>
  <si>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</si>
  <si>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</si>
  <si>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</si>
  <si>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</si>
  <si>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</si>
  <si>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</si>
  <si>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</si>
  <si>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</si>
  <si>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</si>
  <si>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</si>
  <si>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</si>
  <si>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</si>
  <si>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</si>
  <si>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</si>
  <si>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</si>
  <si>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</si>
  <si>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</si>
  <si>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</si>
  <si>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</si>
  <si>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</si>
  <si>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</si>
  <si>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</si>
  <si>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</si>
  <si>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</si>
  <si>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</si>
  <si>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</si>
  <si>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</si>
  <si>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</si>
  <si>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</si>
  <si>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</si>
  <si>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</si>
  <si>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</si>
  <si>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</si>
  <si>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</si>
  <si>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</si>
  <si>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</si>
  <si>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</si>
  <si>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</si>
  <si>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</si>
  <si>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</si>
  <si>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</si>
  <si>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</si>
  <si>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</si>
  <si>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</si>
  <si>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</si>
  <si>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</si>
  <si>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</si>
  <si>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</si>
  <si>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</si>
  <si>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</si>
  <si>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</si>
  <si>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</si>
  <si>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</si>
  <si>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</si>
  <si>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</si>
  <si>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</si>
  <si>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</si>
  <si>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</si>
  <si>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</si>
  <si>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</si>
  <si>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</si>
  <si>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</si>
  <si>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</si>
  <si>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</si>
  <si>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</si>
  <si>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</si>
  <si>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</si>
  <si>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</si>
  <si>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</si>
  <si>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</si>
  <si>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</si>
  <si>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</si>
  <si>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</si>
  <si>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</si>
  <si>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</si>
  <si>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</si>
  <si>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</si>
  <si>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</si>
  <si>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</si>
  <si>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</si>
  <si>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</si>
  <si>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</si>
  <si>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</si>
  <si>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</si>
  <si>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</si>
  <si>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</si>
  <si>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</si>
  <si>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</si>
  <si>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</si>
  <si>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</si>
  <si>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</si>
  <si>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</si>
  <si>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</si>
  <si>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</si>
  <si>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</si>
  <si>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</si>
  <si>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</si>
  <si>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</si>
  <si>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</si>
  <si>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</si>
  <si>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</si>
  <si>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</si>
  <si>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</si>
  <si>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</si>
  <si>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</si>
  <si>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</si>
  <si>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</si>
  <si>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</si>
  <si>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</si>
  <si>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</si>
  <si>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</si>
  <si>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</si>
  <si>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</si>
  <si>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</si>
  <si>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</si>
  <si>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</si>
  <si>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</si>
  <si>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</si>
  <si>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</si>
  <si>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</si>
  <si>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</si>
  <si>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</si>
  <si>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</si>
  <si>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</si>
  <si>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</si>
  <si>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</si>
  <si>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</si>
  <si>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</si>
  <si>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</si>
  <si>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</si>
  <si>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</si>
  <si>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</si>
  <si>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</si>
  <si>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</si>
  <si>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</si>
  <si>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</si>
  <si>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</si>
  <si>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</si>
  <si>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</si>
  <si>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</si>
  <si>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</si>
  <si>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</si>
  <si>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</si>
  <si>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</si>
  <si>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</si>
  <si>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</si>
  <si>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</si>
  <si>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</si>
  <si>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</si>
  <si>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</si>
  <si>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</si>
  <si>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</si>
  <si>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</si>
  <si>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</si>
  <si>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</si>
  <si>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</si>
  <si>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</si>
  <si>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</si>
  <si>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</si>
  <si>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</si>
  <si>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</si>
  <si>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</si>
  <si>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</si>
  <si>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</si>
  <si>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</si>
  <si>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</si>
  <si>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</si>
  <si>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</si>
  <si>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</si>
  <si>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</si>
  <si>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</si>
  <si>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</si>
  <si>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</si>
  <si>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</si>
  <si>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</si>
  <si>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</si>
  <si>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</si>
  <si>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</si>
  <si>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</si>
  <si>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</si>
  <si>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</si>
  <si>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</si>
  <si>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</si>
  <si>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</si>
  <si>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</si>
  <si>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</si>
  <si>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</si>
  <si>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</si>
  <si>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</si>
  <si>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</si>
  <si>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</si>
  <si>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</si>
  <si>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</si>
  <si>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</si>
  <si>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</si>
  <si>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</si>
  <si>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</si>
  <si>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</si>
  <si>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</si>
  <si>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</si>
  <si>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</si>
  <si>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</si>
  <si>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</si>
  <si>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</si>
  <si>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</si>
  <si>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</si>
  <si>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</si>
  <si>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</si>
  <si>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</si>
  <si>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</si>
  <si>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</si>
  <si>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</si>
  <si>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</si>
  <si>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</si>
  <si>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</si>
  <si>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</si>
  <si>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</si>
  <si>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</si>
  <si>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</si>
  <si>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</si>
  <si>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</si>
  <si>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</si>
  <si>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</si>
  <si>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</si>
  <si>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</si>
  <si>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</si>
  <si>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</si>
  <si>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</si>
  <si>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</si>
  <si>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</si>
  <si>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</si>
  <si>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</si>
  <si>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</si>
  <si>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</si>
  <si>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</si>
  <si>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</si>
  <si>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</si>
  <si>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</si>
  <si>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</si>
  <si>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</si>
  <si>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</si>
  <si>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</si>
  <si>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</si>
  <si>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</si>
  <si>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</si>
  <si>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</si>
  <si>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</si>
  <si>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</si>
  <si>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</si>
  <si>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</si>
  <si>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</si>
  <si>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</si>
  <si>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</si>
  <si>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</si>
  <si>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</si>
  <si>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</si>
  <si>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</si>
  <si>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</si>
  <si>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</si>
  <si>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</si>
  <si>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</si>
  <si>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</si>
  <si>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</si>
  <si>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</si>
  <si>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</si>
  <si>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</si>
  <si>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</si>
  <si>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</si>
  <si>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</si>
  <si>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</si>
  <si>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</si>
  <si>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</si>
  <si>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</si>
  <si>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</si>
  <si>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</si>
  <si>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</si>
  <si>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</si>
  <si>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</si>
  <si>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</si>
  <si>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</si>
  <si>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</si>
  <si>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</si>
  <si>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</si>
  <si>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</si>
  <si>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</si>
  <si>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</si>
  <si>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</si>
  <si>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</si>
  <si>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</si>
  <si>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</si>
  <si>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</si>
  <si>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</si>
  <si>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</si>
  <si>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</si>
  <si>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</si>
  <si>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</si>
  <si>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</si>
  <si>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</si>
  <si>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</si>
  <si>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</si>
  <si>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</si>
  <si>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</si>
  <si>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</si>
  <si>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</si>
  <si>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</si>
  <si>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</si>
  <si>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</si>
  <si>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</si>
  <si>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</si>
  <si>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</si>
  <si>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</si>
  <si>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</si>
  <si>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</si>
  <si>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</si>
  <si>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</si>
  <si>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</si>
  <si>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</si>
  <si>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</si>
  <si>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</si>
  <si>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</si>
  <si>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</si>
  <si>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</si>
  <si>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</si>
  <si>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</si>
  <si>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</si>
  <si>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</si>
  <si>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</si>
  <si>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</si>
  <si>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</si>
  <si>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</si>
  <si>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</si>
  <si>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</si>
  <si>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</si>
  <si>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</si>
  <si>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</si>
  <si>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</si>
  <si>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</si>
  <si>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</si>
  <si>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</si>
  <si>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</si>
  <si>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</si>
  <si>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</si>
  <si>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</si>
  <si>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</si>
  <si>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</si>
  <si>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</si>
  <si>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</si>
  <si>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</si>
  <si>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</si>
  <si>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</si>
  <si>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</si>
  <si>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</si>
  <si>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North</t>
  </si>
  <si>
    <t>North / East</t>
  </si>
  <si>
    <t>North / West</t>
  </si>
  <si>
    <t>East / West</t>
  </si>
  <si>
    <t>West / East</t>
  </si>
  <si>
    <t>East / North / West</t>
  </si>
  <si>
    <t>South / West</t>
  </si>
  <si>
    <t>North / South</t>
  </si>
  <si>
    <t>001</t>
  </si>
  <si>
    <t>002</t>
  </si>
  <si>
    <t>003</t>
  </si>
  <si>
    <t>004</t>
  </si>
  <si>
    <t>005</t>
  </si>
  <si>
    <t>006</t>
  </si>
  <si>
    <t>007</t>
  </si>
  <si>
    <t>008</t>
  </si>
  <si>
    <t>101</t>
  </si>
  <si>
    <t>102</t>
  </si>
  <si>
    <t>103</t>
  </si>
  <si>
    <t>104</t>
  </si>
  <si>
    <t>105</t>
  </si>
  <si>
    <t>106</t>
  </si>
  <si>
    <t>107</t>
  </si>
  <si>
    <t>108</t>
  </si>
  <si>
    <t>201</t>
  </si>
  <si>
    <t>202</t>
  </si>
  <si>
    <t>203</t>
  </si>
  <si>
    <t>204</t>
  </si>
  <si>
    <t>205</t>
  </si>
  <si>
    <t>206</t>
  </si>
  <si>
    <t>207</t>
  </si>
  <si>
    <t>208</t>
  </si>
  <si>
    <t>301</t>
  </si>
  <si>
    <t>302</t>
  </si>
  <si>
    <t>303</t>
  </si>
  <si>
    <t>304</t>
  </si>
  <si>
    <t>305</t>
  </si>
  <si>
    <t>306</t>
  </si>
  <si>
    <t>307</t>
  </si>
  <si>
    <t>308</t>
  </si>
  <si>
    <t>401</t>
  </si>
  <si>
    <t>402</t>
  </si>
  <si>
    <t>403</t>
  </si>
  <si>
    <t>404</t>
  </si>
  <si>
    <t>405</t>
  </si>
  <si>
    <t>406</t>
  </si>
  <si>
    <t>407</t>
  </si>
  <si>
    <t>408</t>
  </si>
  <si>
    <t>501</t>
  </si>
  <si>
    <t>502</t>
  </si>
  <si>
    <t>503</t>
  </si>
  <si>
    <t>504</t>
  </si>
  <si>
    <t>505</t>
  </si>
  <si>
    <t>506</t>
  </si>
  <si>
    <t>507</t>
  </si>
  <si>
    <t>508</t>
  </si>
  <si>
    <t>-1 / Simples</t>
  </si>
  <si>
    <t>-1 / Box</t>
  </si>
  <si>
    <t>-1 / Box + 1lug.</t>
  </si>
  <si>
    <t>-1 / Box + 1lug</t>
  </si>
  <si>
    <t>-2 / Box</t>
  </si>
  <si>
    <t>-1 / Double</t>
  </si>
  <si>
    <t>-2 / Double</t>
  </si>
  <si>
    <t>ANTHONY BERNARD BONSER</t>
  </si>
  <si>
    <t>Pedro</t>
  </si>
  <si>
    <t xml:space="preserve">Parking </t>
  </si>
  <si>
    <t>Rafael Pablo Laynez Rubio</t>
  </si>
  <si>
    <t>Fábio Alves de Almeida</t>
  </si>
  <si>
    <t>DEED</t>
  </si>
  <si>
    <t>Paulo Jorge de Campos</t>
  </si>
  <si>
    <t>Mozambique</t>
  </si>
  <si>
    <t>Rui Filipe Loureuço Mendes</t>
  </si>
  <si>
    <t>Bárbara Martina Melo Nogueira</t>
  </si>
  <si>
    <t>Zohar Gafni</t>
  </si>
  <si>
    <t>Commissions Paid?</t>
  </si>
  <si>
    <t>LIFTMOZ</t>
  </si>
  <si>
    <t>Vítor Manuel Correia Coelho Leitão</t>
  </si>
  <si>
    <t>João Fonseca Aguiar</t>
  </si>
  <si>
    <t>Matan &amp; Achiya</t>
  </si>
  <si>
    <t>Orna Geva Korngreen &amp; Alon Yerouham Korngrun</t>
  </si>
  <si>
    <t>Guy Gutman</t>
  </si>
  <si>
    <t>Shaoul Damari</t>
  </si>
  <si>
    <t>David Litvak</t>
  </si>
  <si>
    <t>Fadi Kawar</t>
  </si>
  <si>
    <t>Gal Warhaftig</t>
  </si>
  <si>
    <t>Global Key</t>
  </si>
  <si>
    <t>Gal and Raquel</t>
  </si>
  <si>
    <t>Filipe Augusto Alves Gonçalves</t>
  </si>
  <si>
    <t>Iago Livino Ferreira</t>
  </si>
  <si>
    <t>Fábrica de Móveis de Fontea LDA</t>
  </si>
  <si>
    <t>Pistraus Unipessoal</t>
  </si>
  <si>
    <t>Cataleyna Gittings</t>
  </si>
  <si>
    <t>João Augusto Pereira de Magalhães</t>
  </si>
  <si>
    <t>Yaakov Itzchak</t>
  </si>
  <si>
    <t>Tempos Ambarinos Unipessoal</t>
  </si>
  <si>
    <t>Syafter , S.A. / Rui Paulo Silva</t>
  </si>
  <si>
    <t>Morroco</t>
  </si>
  <si>
    <t>Maria Costa / REMAX</t>
  </si>
  <si>
    <t>LifeHarbor Unipessoal</t>
  </si>
  <si>
    <t xml:space="preserve">Carlos Mendonça </t>
  </si>
  <si>
    <t>Ron Gonen</t>
  </si>
  <si>
    <t>Milton Sérgio Ferreira Lopes Passeiro</t>
  </si>
  <si>
    <t>Iolanda Teresa Ribeiro Ferreira Teixeira &amp; Manuel de Sousa Teixeira</t>
  </si>
  <si>
    <t>Maria da Conceição Azevedo Moreira Dias</t>
  </si>
  <si>
    <t>Florinda Maria Dias Mouta</t>
  </si>
  <si>
    <t>Pedro Henrique Amaral Ferreira</t>
  </si>
  <si>
    <t>On hold</t>
  </si>
  <si>
    <t>Thiago Allan de Oliveira</t>
  </si>
  <si>
    <t>Marta Tomás</t>
  </si>
  <si>
    <t>Luís Pedro Martins Leitão</t>
  </si>
  <si>
    <t>Rui Miguel da Cruz Ramos</t>
  </si>
  <si>
    <t>RITA RIBEIRO DO NASCIMENTO</t>
  </si>
  <si>
    <t>New Price (23/10)</t>
  </si>
  <si>
    <t>New Min. Price
(23/10)</t>
  </si>
  <si>
    <t>Domenico Capone</t>
  </si>
  <si>
    <t>Italy</t>
  </si>
  <si>
    <t>Pedro Miguel Amaral Tavares</t>
  </si>
  <si>
    <t>Marta Oliveira</t>
  </si>
  <si>
    <t>Marta Oliveira / GlobalKey</t>
  </si>
  <si>
    <t>New min price</t>
  </si>
  <si>
    <t>AVAILABLE (AFTER DISCOUNT)</t>
  </si>
  <si>
    <t>Rui Miguel Costa Oliveira &amp; Rosana Miranda Alves Rosa</t>
  </si>
  <si>
    <t>Mário Rui Correia dos Santos</t>
  </si>
  <si>
    <t>Felipe Nonato</t>
  </si>
  <si>
    <t>Hugo Ferreira Montenegro Duarte</t>
  </si>
  <si>
    <t>Luís Miguel Malafaia Ribeiro &amp; Raquel Salomé Oliveira Rodrigues</t>
  </si>
  <si>
    <t>Maria Costa (C/ Fração Exacta</t>
  </si>
  <si>
    <t>Efectivazul, LDA</t>
  </si>
  <si>
    <t>Ibrangóténio Unipessoal Lda</t>
  </si>
  <si>
    <t>Tempo Ambarinos</t>
  </si>
  <si>
    <t>João Diogo Tavares Couto</t>
  </si>
  <si>
    <t>Pedro Jorge das Neves Sousa de Castro Henriques</t>
  </si>
  <si>
    <t>Mermaidrelax</t>
  </si>
  <si>
    <t>Annabella Evangelho</t>
  </si>
  <si>
    <t>Guilerme Pironi Scombatti</t>
  </si>
  <si>
    <t>Fernando Jorge Faria de Oliveira</t>
  </si>
  <si>
    <t>Norman Chait &amp; Pamela Chait</t>
  </si>
  <si>
    <t>José Peres Marcos</t>
  </si>
  <si>
    <t>Joaquim Manuel Anes Pinto</t>
  </si>
  <si>
    <t>Before 16/11</t>
  </si>
  <si>
    <t>Min. Before 16/11</t>
  </si>
  <si>
    <t>Dipak Prasad Oli</t>
  </si>
  <si>
    <t>Nepal</t>
  </si>
  <si>
    <t>Yariv Aviv</t>
  </si>
  <si>
    <t>francisco Simões</t>
  </si>
  <si>
    <t>Rui Adão Liberal &amp; Maria Clemência Falcão Bartolomeu Liberal</t>
  </si>
  <si>
    <t>Francisco José Moura de Bastos Rebelo &amp; Sara Maria Junqueiro Pereira Rosas</t>
  </si>
  <si>
    <t>Ricardo Jorge Loureira da Silva</t>
  </si>
  <si>
    <t>João Carlos Teixeira Ferreira &amp; Juliana de Sousa Ferreira Magalhães</t>
  </si>
  <si>
    <t>Francisco Abílio Rodrigues Guerra Ferreira &amp; Ana Rita Marques Rodrigues</t>
  </si>
  <si>
    <t>Teresa Ferrão Garcia Belo</t>
  </si>
  <si>
    <t>Guido Mendonça</t>
  </si>
  <si>
    <t>IMPERIOSOBJECTIVO LDA</t>
  </si>
  <si>
    <t>Julio Lopes &amp; Inês Graça</t>
  </si>
  <si>
    <t>Bruno do Vale &amp; Verónica Afonso</t>
  </si>
  <si>
    <t>Min Price</t>
  </si>
  <si>
    <t>Price</t>
  </si>
  <si>
    <t>W/N</t>
  </si>
  <si>
    <t>N/S</t>
  </si>
  <si>
    <t>W / S</t>
  </si>
  <si>
    <t>S/W/N</t>
  </si>
  <si>
    <t>N/E/S</t>
  </si>
  <si>
    <t xml:space="preserve"> Price</t>
  </si>
  <si>
    <t>N/E/W</t>
  </si>
  <si>
    <t>S/E</t>
  </si>
  <si>
    <t>N/W</t>
  </si>
  <si>
    <t>S/E/W</t>
  </si>
  <si>
    <t>(Box2+1)=3</t>
  </si>
  <si>
    <t xml:space="preserve"> menos 2 (box + 2 places)</t>
  </si>
  <si>
    <t>menos 1 (box + 1 place)</t>
  </si>
  <si>
    <t>menos 1 (place)</t>
  </si>
  <si>
    <t>menos 2 (2 spots)</t>
  </si>
  <si>
    <t>menos 1 (1 place)</t>
  </si>
  <si>
    <t>menos 2 (1 place)</t>
  </si>
  <si>
    <t>menos 2 ( 1 place)</t>
  </si>
  <si>
    <t>menos 1 (2 places)</t>
  </si>
  <si>
    <t>menos 1 ( 2 places)</t>
  </si>
  <si>
    <t>Rafael André Magalhães Loureiro</t>
  </si>
  <si>
    <t>Ronan O'Donohoe &amp; Kyeongmi Kang</t>
  </si>
  <si>
    <t>Korea</t>
  </si>
  <si>
    <t>Maria João Morais &amp; José Miranda</t>
  </si>
  <si>
    <t>PO #</t>
  </si>
  <si>
    <t>Initial Price Price</t>
  </si>
  <si>
    <t>Duarte Nuno Sousa Vale Gonçalves &amp; Daniela Glória</t>
  </si>
  <si>
    <t>Wisenas Lda</t>
  </si>
  <si>
    <t>Onofrio Veca &amp; Ana Paulo Diogo de Campos</t>
  </si>
  <si>
    <t>Tiago Luís Ferreida da Silva &amp; Mariana Almeida</t>
  </si>
  <si>
    <t>Bruno José Facca dos Santos</t>
  </si>
  <si>
    <t>Cristina Serra &amp; Vítor Mota</t>
  </si>
  <si>
    <t>Pedro Branco e Paloma Jesus</t>
  </si>
  <si>
    <t>Manuel Miranda e Letícia Fernandes</t>
  </si>
  <si>
    <t>José Fernandes</t>
  </si>
  <si>
    <t>Mónica de Andrade Arcoverde</t>
  </si>
  <si>
    <t>Ana</t>
  </si>
  <si>
    <t>José Miguel Coelho Antunes &amp; Maria Ramos</t>
  </si>
  <si>
    <t>Ricardo Jorge Silva Tavares &amp; Sandra Borges</t>
  </si>
  <si>
    <t xml:space="preserve">Narciso Jorge Gomes da Silva Magalhães </t>
  </si>
  <si>
    <t>André João Martins Santos Ferreira &amp; Rita Cortez</t>
  </si>
  <si>
    <t>PO done?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</si>
  <si>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</si>
  <si>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</si>
  <si>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</si>
  <si>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</si>
  <si>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</si>
  <si>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</si>
  <si>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</si>
  <si>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</si>
  <si>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</si>
  <si>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</si>
  <si>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</si>
  <si>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</si>
  <si>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CPCV 2024</t>
  </si>
  <si>
    <t>Verde Vale V1</t>
  </si>
  <si>
    <t>Sal D'Ouro Ocean (8)</t>
  </si>
  <si>
    <t>Sal D'Ouro Park (12.2)</t>
  </si>
  <si>
    <t>Sal D'Ouro Reserve (6)</t>
  </si>
  <si>
    <t>Chavenova</t>
  </si>
  <si>
    <t>box</t>
  </si>
  <si>
    <t>box + spot</t>
  </si>
  <si>
    <t>Parking Floor</t>
  </si>
  <si>
    <t>Parking Type</t>
  </si>
  <si>
    <t>Box</t>
  </si>
  <si>
    <t>double</t>
  </si>
  <si>
    <t>2 box + spot</t>
  </si>
  <si>
    <t>2 box +1 spot</t>
  </si>
  <si>
    <t>spot</t>
  </si>
  <si>
    <t>Parking Spots</t>
  </si>
  <si>
    <t>Paid?</t>
  </si>
  <si>
    <t>Tzafrir</t>
  </si>
  <si>
    <t>2 box + 2 spot</t>
  </si>
  <si>
    <t>2 box + 1 spot</t>
  </si>
  <si>
    <t>2 box</t>
  </si>
  <si>
    <t>1 box+ 1 spot</t>
  </si>
  <si>
    <t>2 spots</t>
  </si>
  <si>
    <t xml:space="preserve"> 2 spots</t>
  </si>
  <si>
    <t>Ruben Manuel Machado Cruz</t>
  </si>
  <si>
    <t>Manuel Jorge dos Santos Leitão Cruz</t>
  </si>
  <si>
    <t>Invoice received?</t>
  </si>
  <si>
    <t>Estratégianédita LDA</t>
  </si>
  <si>
    <t>Diogo da Cunha Rego</t>
  </si>
  <si>
    <t>Joaquim Fernando Pereira Carvalho</t>
  </si>
  <si>
    <t>Eugénia Margarida Machado Martins Ferreira &amp; João Manuel de Carvalho Santos</t>
  </si>
  <si>
    <t>Achyia Josef Wadmani</t>
  </si>
  <si>
    <t>António Fontoura Pedro Moreira &amp; Mariana Oliveira</t>
  </si>
  <si>
    <t>Hugo Feliciano de Sousa Gonçalves + Mónica Pinto + Nuno Lameiras + Andreia Oliveira</t>
  </si>
  <si>
    <t>Vítor Manuel Pinto &amp; Cristina Mota</t>
  </si>
  <si>
    <t>first Price
1/02</t>
  </si>
  <si>
    <t>Second price
15/02</t>
  </si>
  <si>
    <t>Asking Price  
1/03</t>
  </si>
  <si>
    <t>José António Luzano de Quadros Flores &amp; Cândida Quadros</t>
  </si>
  <si>
    <t>Gustavo and Paula Lazarim</t>
  </si>
  <si>
    <t>Israel Barda &amp; Shay Adar</t>
  </si>
  <si>
    <t>Matan</t>
  </si>
  <si>
    <t>Ana Paulino</t>
  </si>
  <si>
    <t>Dalila Maria Inverno Fialho Piedade &amp; João Piedade</t>
  </si>
  <si>
    <t>GALAXIPOTENTIAL - UNIPESSOAL LDA</t>
  </si>
  <si>
    <t>E/N</t>
  </si>
  <si>
    <t>E/N/W</t>
  </si>
  <si>
    <t>E/W</t>
  </si>
  <si>
    <t>E/S/W</t>
  </si>
  <si>
    <t>box (2) + spot</t>
  </si>
  <si>
    <t>ParkingFloor</t>
  </si>
  <si>
    <t>Décimas Ancestrais &amp; Epopeia Frondosa</t>
  </si>
  <si>
    <t>nÚMEROS100ACENTO</t>
  </si>
  <si>
    <t>José Andres Cachaldora Colmenares</t>
  </si>
  <si>
    <t>Paralelus 2000 LDA</t>
  </si>
  <si>
    <t>(26/02) didn't count February</t>
  </si>
  <si>
    <t>Pedro Miguel Barbos da Costa</t>
  </si>
  <si>
    <t>HORA EXTRA CLUB UNIPESSOAL</t>
  </si>
  <si>
    <t>HB Design</t>
  </si>
  <si>
    <t>Luciana Aparecida Rocco Martinelli</t>
  </si>
  <si>
    <t>Sofia Maria dos Santos Andrade Ferreira</t>
  </si>
  <si>
    <t>Vítor Valente . Projectos e Empreendimentos LDA</t>
  </si>
  <si>
    <t>Ricardo Jorge Loureiro da Silva Unipessoal &amp; Tiago André Duarte Barata Santos Gomes</t>
  </si>
  <si>
    <t>Pinto Ferreira ORL, Lda</t>
  </si>
  <si>
    <t>Colleen Blair</t>
  </si>
  <si>
    <t>Teresa Paula</t>
  </si>
  <si>
    <t>Ana Isabel Chambel Florindo Correia da Mota</t>
  </si>
  <si>
    <t>Daniel  Kotler</t>
  </si>
  <si>
    <t>Fercobar - Sociedade Imobiliária Lda</t>
  </si>
  <si>
    <t>Paulo Martins &amp; Pedro Martins</t>
  </si>
  <si>
    <t>Hélder Domingos Fernandes Martins</t>
  </si>
  <si>
    <t>Verde ValeV2 &amp; V3</t>
  </si>
  <si>
    <t>Sal D'Ouro Horizon (9)</t>
  </si>
  <si>
    <t>Sal D'Ouro Coast (10)</t>
  </si>
  <si>
    <t>Eleven</t>
  </si>
  <si>
    <t>Parkview 5</t>
  </si>
  <si>
    <t>1Q 2025</t>
  </si>
  <si>
    <t>Sal D'Ouro Pearl (17.2)</t>
  </si>
  <si>
    <t>4Q 2026</t>
  </si>
  <si>
    <t>SOLD IN</t>
  </si>
  <si>
    <t>1Q 2027</t>
  </si>
  <si>
    <t>#  Blocked</t>
  </si>
  <si>
    <t xml:space="preserve"># Units CPCV  </t>
  </si>
  <si>
    <t># Reserved</t>
  </si>
  <si>
    <t>1Q 2026</t>
  </si>
  <si>
    <t>3Q 2026</t>
  </si>
  <si>
    <t>CPCV in
present month</t>
  </si>
  <si>
    <t>BP €/M²</t>
  </si>
  <si>
    <t>2Q 2024</t>
  </si>
  <si>
    <t>Total Units</t>
  </si>
  <si>
    <t>Predicted 
Income</t>
  </si>
  <si>
    <t>€/m²
 SOLD/CPCV</t>
  </si>
  <si>
    <t xml:space="preserve">€/m²
 Blocked </t>
  </si>
  <si>
    <t>€/m²
Reserved</t>
  </si>
  <si>
    <t>Conclusion</t>
  </si>
  <si>
    <t>Raul Manuel Alves Maia</t>
  </si>
  <si>
    <t>Duarte Nuno Goulart Vieira Lisboa de Paiva</t>
  </si>
  <si>
    <t>TOTAL 
PROJECTS</t>
  </si>
  <si>
    <t>TOTAL 
SOLD</t>
  </si>
  <si>
    <t>TOTAL 
BLOCKED</t>
  </si>
  <si>
    <t>TOTAL 
RESERVED</t>
  </si>
  <si>
    <t>TOTAL 
AVAILABLE</t>
  </si>
  <si>
    <t>José Maria Duarte Vieira Lobo de Albuquerque &amp; Bianca Couto da Silva Oliveira</t>
  </si>
  <si>
    <t>Álvaro Fernando Pinho da Costa</t>
  </si>
  <si>
    <t>Jose Gonçalves</t>
  </si>
  <si>
    <t>Keqian Lu</t>
  </si>
  <si>
    <t>China</t>
  </si>
  <si>
    <t>António Sá da Cunha</t>
  </si>
  <si>
    <t>Done</t>
  </si>
  <si>
    <t>Renato Benjamim Lopes Tavares</t>
  </si>
  <si>
    <t>Verde Vale V4</t>
  </si>
  <si>
    <t>Verde ValeV5 &amp; V6</t>
  </si>
  <si>
    <t>1 box + 1 spot</t>
  </si>
  <si>
    <t>in -1</t>
  </si>
  <si>
    <t>in -2</t>
  </si>
  <si>
    <t>1 spot</t>
  </si>
  <si>
    <t>2 spots (in front of each other)</t>
  </si>
  <si>
    <t>2 spots (in front of each other) Opposite side (no alternative)</t>
  </si>
  <si>
    <t xml:space="preserve">2 spots (side by side) </t>
  </si>
  <si>
    <t xml:space="preserve">1 spot </t>
  </si>
  <si>
    <t xml:space="preserve">Asking Price  </t>
  </si>
  <si>
    <t>4Q 2025</t>
  </si>
  <si>
    <t>Brokers</t>
  </si>
  <si>
    <t>Overall</t>
  </si>
  <si>
    <t>GLOBALKEY</t>
  </si>
  <si>
    <t>TRANQUILDISCOVERY</t>
  </si>
  <si>
    <t>Nationalities</t>
  </si>
  <si>
    <t>Poland</t>
  </si>
  <si>
    <t>Lidia Krystyna Natorska</t>
  </si>
  <si>
    <t>%</t>
  </si>
  <si>
    <t>REPLICA</t>
  </si>
  <si>
    <t>Maria Adelaide Alves de Magalhães Unipessoal</t>
  </si>
  <si>
    <t>EMPRIL</t>
  </si>
  <si>
    <t>France</t>
  </si>
  <si>
    <t>VENDA DIRECTA</t>
  </si>
  <si>
    <t>TOTAL P/ MONTH</t>
  </si>
  <si>
    <t>Réplica</t>
  </si>
  <si>
    <t>Nationality</t>
  </si>
  <si>
    <t xml:space="preserve">José Manuel da Silva Carvalho </t>
  </si>
  <si>
    <t>Top month</t>
  </si>
  <si>
    <t>Top Broker</t>
  </si>
  <si>
    <t>CPCV 2022</t>
  </si>
  <si>
    <t>CPCV 2023</t>
  </si>
  <si>
    <t>Country</t>
  </si>
  <si>
    <t>Andrezaj Piotr Wójcikiewicz</t>
  </si>
  <si>
    <t xml:space="preserve">TOTAL </t>
  </si>
  <si>
    <t>Month</t>
  </si>
  <si>
    <t>Jan</t>
  </si>
  <si>
    <t>Feb</t>
  </si>
  <si>
    <t>Apr</t>
  </si>
  <si>
    <t>Aug</t>
  </si>
  <si>
    <t>Sept.</t>
  </si>
  <si>
    <t>Oct</t>
  </si>
  <si>
    <t>Nov</t>
  </si>
  <si>
    <t>Decem.</t>
  </si>
  <si>
    <t>% Portuguese</t>
  </si>
  <si>
    <t># foreigners</t>
  </si>
  <si>
    <t>% Sold</t>
  </si>
  <si>
    <t>% sold 
ongoing proj.</t>
  </si>
  <si>
    <t>H4A</t>
  </si>
  <si>
    <t>H4B</t>
  </si>
  <si>
    <t>box + 1 spot</t>
  </si>
  <si>
    <t>2 spots (side by side)</t>
  </si>
  <si>
    <t>Vitor Daniel da Silva Pinto &amp; Fernanda Maia da Silva</t>
  </si>
  <si>
    <t>Maria Luísa Ferreira Campos</t>
  </si>
  <si>
    <t>BQUARTO Unipessoal</t>
  </si>
  <si>
    <t>Ana Cristina Gomes Leite</t>
  </si>
  <si>
    <t>José Paulo Esteves da Cunha</t>
  </si>
  <si>
    <t>Maria José Teixeira Passos Moura</t>
  </si>
  <si>
    <t>Ignas Bobinas</t>
  </si>
  <si>
    <t>Lisa Yang Liu &amp; Mali Weng</t>
  </si>
  <si>
    <t>Remax</t>
  </si>
  <si>
    <t>Flávia</t>
  </si>
  <si>
    <t>Hugo Miguel Martins Gonçalves Valdeira</t>
  </si>
  <si>
    <t>Sparkling Minutes Lda.</t>
  </si>
  <si>
    <t>Rodrigo e Diogo Loureiro, Lda.</t>
  </si>
  <si>
    <t>wrong</t>
  </si>
  <si>
    <t>Nuno Miguel Alves Nunes</t>
  </si>
  <si>
    <t>Mariana Sofia Costa Santos</t>
  </si>
  <si>
    <t>Maria João Bravo Lopes</t>
  </si>
  <si>
    <t>Paulo Fernando Silva Neto</t>
  </si>
  <si>
    <t>Daniel Rastopchin</t>
  </si>
  <si>
    <t>Mendes &amp; Gamas LDA.</t>
  </si>
  <si>
    <t>Giovana Couto Yedid</t>
  </si>
  <si>
    <t>Luís Filipe Calvão Moreira da Silva e Gisela Valença Pires</t>
  </si>
  <si>
    <t>Jovem 4 Lda</t>
  </si>
  <si>
    <t>Seniltz Rangel Filho &amp; Benvinda Maria Gonçalves Oliveira</t>
  </si>
  <si>
    <t>Mafalda Pires Leão Martins Cardoso &amp; Fernando Valter da Silva Cardoso  e Luís Maria Pires Leão Martins Cardoso</t>
  </si>
  <si>
    <t>MODEL APARTMENT</t>
  </si>
  <si>
    <t>Ariel Chilkiyahu</t>
  </si>
  <si>
    <t>Casa Meneses - Sociedade de empreendimentos turísticos LDA</t>
  </si>
  <si>
    <t>Casa Agrícola Meneses LDA</t>
  </si>
  <si>
    <t>Merav Medzehibovsky</t>
  </si>
  <si>
    <t xml:space="preserve"> Philipe Biato Bernardo</t>
  </si>
  <si>
    <t>José Miguel Faria Lobo</t>
  </si>
  <si>
    <t>José Miguel Faria Lobo &amp; Albertina</t>
  </si>
  <si>
    <t>Igor Ferreira Quinan &amp; Cidália de Fátima Ribeiro Peixoto</t>
  </si>
  <si>
    <t>Daniel Correia da Silva</t>
  </si>
  <si>
    <t>Nadav Aharon-Nov</t>
  </si>
  <si>
    <t>Nuno Filipe Dinis Ferreira Serodio Porttela</t>
  </si>
  <si>
    <t>Emanuel</t>
  </si>
  <si>
    <t>Fábio Rui Ludovino Seixas &amp; Joana Pires Martins</t>
  </si>
  <si>
    <t>Luís Manuel Duarte Azevedo / Maria Alina Alves de Almeida Azevedo</t>
  </si>
  <si>
    <t>€/unit</t>
  </si>
  <si>
    <t>Vasiliou Enterprises Limited Liability Company</t>
  </si>
  <si>
    <t>Mário Jorge Torres Pereira da Silva &amp; Marta Maria RAMOS Silva da Cruz Barbosa</t>
  </si>
  <si>
    <t>Tiago Alexandre de Sousa Esgaio</t>
  </si>
  <si>
    <t>2 in box + 1 spot</t>
  </si>
  <si>
    <t>2 spots (1 in front of other)</t>
  </si>
  <si>
    <t>2 spots (1 not next to other)</t>
  </si>
  <si>
    <t>Thiago de Lemos Mateus</t>
  </si>
  <si>
    <t>PROMODIAS, LDA.</t>
  </si>
  <si>
    <t>rock77.oli@gmail.com</t>
  </si>
  <si>
    <t>(+972 54 746 9736)</t>
  </si>
  <si>
    <t>franciscosimoes14@gmail.com</t>
  </si>
  <si>
    <t>yarivaviv@gmail.com</t>
  </si>
  <si>
    <t>(+351 915 970 234)</t>
  </si>
  <si>
    <t>ricardojls@hotmail.com</t>
  </si>
  <si>
    <t>evalaynez@gmail.com</t>
  </si>
  <si>
    <t>(++351 914 539 112)</t>
  </si>
  <si>
    <t>thiagoinveste112@gmail.com</t>
  </si>
  <si>
    <t>Carlos Alberto Moreira Marques</t>
  </si>
  <si>
    <t>Mariete Tavares Martins Moia &amp; Luis do vale Moia Afonso</t>
  </si>
  <si>
    <t>Anabela Afonso</t>
  </si>
  <si>
    <t>Casa Parsa (Borna Del)</t>
  </si>
  <si>
    <t>Diogo Silva de Magalhaes</t>
  </si>
  <si>
    <t>Tiago Francisco Garção Gil</t>
  </si>
  <si>
    <t>David Beijoco &amp; Daniela Cabanelos</t>
  </si>
  <si>
    <t>Helio Ribeiro</t>
  </si>
  <si>
    <t>Ana Sofia Pais Carvalho Bessa</t>
  </si>
  <si>
    <t>João Pedro Monteiro Borges &amp; Mariana Camacho Fabrício Rodrigues</t>
  </si>
  <si>
    <t>Ariel Maoz</t>
  </si>
  <si>
    <t>Paulo Alexandre Oliveira Marques</t>
  </si>
  <si>
    <t>Maria Luiza Santos</t>
  </si>
  <si>
    <t>Florentino Alberto Pereira dos Santos</t>
  </si>
  <si>
    <t>DJPC Imobiliária LDA</t>
  </si>
  <si>
    <t>remax (3%)</t>
  </si>
  <si>
    <t>Vladislav Romanov</t>
  </si>
  <si>
    <t>Cosme Augusto da Costa Azevedo</t>
  </si>
  <si>
    <t>DR.Lourenço Mota LDA.</t>
  </si>
  <si>
    <t>Ana Paula Conceição Alves &amp; ANTÓNIO Júlio Pereira Mendes</t>
  </si>
  <si>
    <t>Globalkey</t>
  </si>
  <si>
    <t>Pedro Acário Freitas Teixeira</t>
  </si>
  <si>
    <t xml:space="preserve">Carlos Manuel Lopes Varanda </t>
  </si>
  <si>
    <t>Price Update:</t>
  </si>
  <si>
    <t>raise all available by 4% (keep 1.950.000€ Penthouse)</t>
  </si>
  <si>
    <t>% of year goals</t>
  </si>
  <si>
    <t>% of month goals</t>
  </si>
  <si>
    <t xml:space="preserve">Maria Luisa Ferreira Campos </t>
  </si>
  <si>
    <t>Medipere - Mediação de Seguros</t>
  </si>
  <si>
    <t>Promofusion LDA</t>
  </si>
  <si>
    <t>OASIS IRREVERENTE Unipessoal</t>
  </si>
  <si>
    <t>José Rodrigo Moreira da Silva</t>
  </si>
  <si>
    <t>cPCV</t>
  </si>
  <si>
    <t>Mayyan Pesach</t>
  </si>
  <si>
    <t>Verbo Versatil LDA</t>
  </si>
  <si>
    <t>João Areoso &amp; Zita Cabo</t>
  </si>
  <si>
    <t>Rita Ramalho Da Silva Quadros</t>
  </si>
  <si>
    <t>Bruno Miguel Fortunato Charters   &amp; Catarina Carvalho</t>
  </si>
  <si>
    <t>Maria Campos Maia</t>
  </si>
  <si>
    <t>Eduardo António Vaz Macieira</t>
  </si>
  <si>
    <t xml:space="preserve">Domingos Fili+e Borges Mamede </t>
  </si>
  <si>
    <t>Abreu dos Santos Alonso e Sónia Maria Barbosa da Silva Carvalhido</t>
  </si>
  <si>
    <t xml:space="preserve">Monteiro &amp; Goulart </t>
  </si>
  <si>
    <t>Pedro Miguel Magalhães Fumega dos Santos</t>
  </si>
  <si>
    <t>Eugénis Margarida Machado Martins Ferreira &amp; José Manuel de Carvalho Santos Ferreira</t>
  </si>
  <si>
    <t>EDU4BUSINESS promoção imoviliária</t>
  </si>
  <si>
    <t>Osnat Zeiman &amp; Elimelech Zeiman</t>
  </si>
  <si>
    <t>Carlos Nuno Sousa de Freitas</t>
  </si>
  <si>
    <t>Rui Pedro Marques Quintas</t>
  </si>
  <si>
    <t>LOARD, UNIPESSOAL LDA.</t>
  </si>
  <si>
    <t>Antonio Aires Moreira Pinto Ferreira &amp; Palmira Ferreira</t>
  </si>
  <si>
    <t>José Pedro Duarte da Costa &amp; Olga Costa</t>
  </si>
  <si>
    <t>Hugo Tiago Ferreira Teixeira &amp; Laure Isabelle Audrey Gisela Andrée Harivel</t>
  </si>
  <si>
    <t>Ana Rita Carvalho Vidal</t>
  </si>
  <si>
    <t>Francisco Fonseca Barros</t>
  </si>
  <si>
    <t>Isabel Maria Neves Garrido</t>
  </si>
  <si>
    <t>Fernando Joaquim da Silva Bispo  &amp; Paula Araújo e Melo</t>
  </si>
  <si>
    <t>Orlando José Saraiva Gomes de Amaral</t>
  </si>
  <si>
    <t>Old Price</t>
  </si>
  <si>
    <t>Carine Broder</t>
  </si>
  <si>
    <t>Carina Marta Duarte Cruz &amp; Pedro Ferreira</t>
  </si>
  <si>
    <t>Alice Maria Dias Pineu</t>
  </si>
  <si>
    <t>Constroia Construçoes e Exploraçoes turisticas</t>
  </si>
  <si>
    <t>Email</t>
  </si>
  <si>
    <t>Phone number</t>
  </si>
  <si>
    <t>Phone</t>
  </si>
  <si>
    <t xml:space="preserve">Email </t>
  </si>
  <si>
    <t>César Augusto Moreira</t>
  </si>
  <si>
    <t>Lacius Consultoria LDA</t>
  </si>
  <si>
    <t xml:space="preserve">Joaquim Maia de Sousa, Lda  </t>
  </si>
  <si>
    <t>NE</t>
  </si>
  <si>
    <t>SE</t>
  </si>
  <si>
    <t>SW</t>
  </si>
  <si>
    <t>NW</t>
  </si>
  <si>
    <t>Volume per month</t>
  </si>
  <si>
    <t>Avg p/ unit</t>
  </si>
  <si>
    <t>AVG P/Unit</t>
  </si>
  <si>
    <t>TOTAL VOLUME 
MONTH</t>
  </si>
  <si>
    <t>% Goals</t>
  </si>
  <si>
    <t>Overall 
Average</t>
  </si>
  <si>
    <t>SWN</t>
  </si>
  <si>
    <t>SN</t>
  </si>
  <si>
    <t>SEN</t>
  </si>
  <si>
    <t>Augusto Ribeiro Castanheira</t>
  </si>
  <si>
    <t>Maria Isabel Silva Cruz</t>
  </si>
  <si>
    <t>Cai Qingyun &amp; Wang Qichang</t>
  </si>
  <si>
    <t>Sergio Tiago Ferreira Pinto &amp; Liliana Carina Ribeiro Pinto e Pinto</t>
  </si>
  <si>
    <t>Maria do Céu e aSousa de Oliveira Maia</t>
  </si>
  <si>
    <t>Teresa</t>
  </si>
  <si>
    <t>QXQTXU, LDA</t>
  </si>
  <si>
    <t xml:space="preserve">Mariana Silva Pinto </t>
  </si>
  <si>
    <t>OverTomorrow</t>
  </si>
  <si>
    <t>Amílcar José Nunes</t>
  </si>
  <si>
    <t>Luís Alves de Lima Filho</t>
  </si>
  <si>
    <t>Karin da Silva Leitzke</t>
  </si>
  <si>
    <t>Alexander Haik &amp; Rachel Barouch-Haik</t>
  </si>
  <si>
    <t xml:space="preserve">VALEFERRUGEM, UNIPESSOAL, LDA </t>
  </si>
  <si>
    <t>Germany</t>
  </si>
  <si>
    <t xml:space="preserve">Patrícia Santos </t>
  </si>
  <si>
    <t>Pragmatic Scale Lda.</t>
  </si>
  <si>
    <t>David Martins</t>
  </si>
  <si>
    <t>Yuri Cláudio Francisco d Silva</t>
  </si>
  <si>
    <t>INSPIREGATE Unipessoal LDA</t>
  </si>
  <si>
    <t>António Augusto Ferreira Ramos</t>
  </si>
  <si>
    <t>Rui Miguel Nogueira da Silva e Sousa</t>
  </si>
  <si>
    <t>HB Design Brands</t>
  </si>
  <si>
    <t>Corina Lessa de Rezende Ribeiro</t>
  </si>
  <si>
    <t>Ignas</t>
  </si>
  <si>
    <t>Isabel Maria Costa do Amaral</t>
  </si>
  <si>
    <t>Search Paradise LDA.</t>
  </si>
  <si>
    <t>Erez Mahlof Ben Harosh</t>
  </si>
  <si>
    <t xml:space="preserve">Chavenova </t>
  </si>
  <si>
    <t>JOVEM 4, Lda</t>
  </si>
  <si>
    <t>First price (27/09)</t>
  </si>
  <si>
    <t>Johny Emanuel de Jesus Gueirez</t>
  </si>
  <si>
    <t>Switzerland</t>
  </si>
  <si>
    <t>Jorge Moia</t>
  </si>
  <si>
    <t>VALEFERRUGEM UNIPESSOAL LDA</t>
  </si>
  <si>
    <t>João Ismael Ferreira</t>
  </si>
  <si>
    <t>PINTO FERREIRA ORL, LDA</t>
  </si>
  <si>
    <t xml:space="preserve"> JORGE AUGUSTO DIAS MOUTINHO</t>
  </si>
  <si>
    <t>CELESTINO FERNANDO CARVALHO BRAS</t>
  </si>
  <si>
    <t>JACINTO MANUEL ARAUJO</t>
  </si>
  <si>
    <t>PEDRO SABINO ALMEIDA COSTA GONCALVES</t>
  </si>
  <si>
    <t>Sonia Maria Barbosa Silva Carvalhido</t>
  </si>
  <si>
    <t>Nuno Sousa Borges</t>
  </si>
  <si>
    <t>Ana Joao Vaz Monteiro Porto Sampaio</t>
  </si>
  <si>
    <t>HUGO ALEXANDRE PEREIRA MESQUITA DA SILVA</t>
  </si>
  <si>
    <t xml:space="preserve">Paulo Jorge Caldas Sousa </t>
  </si>
  <si>
    <t xml:space="preserve">Emanuel António Mendes de Brito </t>
  </si>
  <si>
    <t>Pedro Nuno Duarte Lima</t>
  </si>
  <si>
    <t>Fábio Lopez Correia</t>
  </si>
  <si>
    <t>Ricardo André Gomes da Silva &amp; Maria Graciete da Silva</t>
  </si>
  <si>
    <t>José G.</t>
  </si>
  <si>
    <t>José Daniel Sousa Mendes Félix</t>
  </si>
  <si>
    <t xml:space="preserve">Liu Yingxue  &amp; Li Jun </t>
  </si>
  <si>
    <t xml:space="preserve">TAILWIND ENTERPRISE, LDA. </t>
  </si>
  <si>
    <t xml:space="preserve"> </t>
  </si>
  <si>
    <t>Márcia Raquel</t>
  </si>
  <si>
    <t>Sergio Siqueira Nunes</t>
  </si>
  <si>
    <t>Aleksandr Golubovich</t>
  </si>
  <si>
    <t>Belarus</t>
  </si>
  <si>
    <t>Kirk Ketterer &amp; Meng Yan Ketterer</t>
  </si>
  <si>
    <t xml:space="preserve">Lino Alfredo Rolo Duarte Alves França </t>
  </si>
  <si>
    <t>Maria Madalena de Azevedo Sousa</t>
  </si>
  <si>
    <t>yes</t>
  </si>
  <si>
    <t>signed in september, only received october</t>
  </si>
  <si>
    <t>PREDIAL POR SI, SA.</t>
  </si>
  <si>
    <t>Renata Benigno</t>
  </si>
  <si>
    <t>Francisco Daniel Marques Servo &amp; Maria Valentim Morais Castro</t>
  </si>
  <si>
    <t>Antonio Jose Correia Simoes Rodrigues</t>
  </si>
  <si>
    <t>Mafalda Rede, Francisco Martins, João Miranda &amp; Daniel Imanov</t>
  </si>
  <si>
    <t>Clarisse Sousa and António da Silva</t>
  </si>
  <si>
    <t>João Mestre</t>
  </si>
  <si>
    <t>Mia Grujic</t>
  </si>
  <si>
    <t>Serbia</t>
  </si>
  <si>
    <t>Iulia Osodoeva &amp; Denis Kanakov</t>
  </si>
  <si>
    <t>Russia</t>
  </si>
  <si>
    <t>parceiro</t>
  </si>
  <si>
    <t>Adriana Pereira</t>
  </si>
  <si>
    <t xml:space="preserve">António José Morais Lopes Teixeira </t>
  </si>
  <si>
    <t>Daniel Cruz</t>
  </si>
  <si>
    <t>ROSEMBERG Unipessoal</t>
  </si>
  <si>
    <t xml:space="preserve">Maria Adélia Coelho de Sá </t>
  </si>
  <si>
    <t xml:space="preserve">Vitor Manuel Mendes da Costa &amp; Madalena Cristina Marques Dias da Silva Mendes da Costa </t>
  </si>
  <si>
    <t>Vítor Manuel Rocha Monte</t>
  </si>
  <si>
    <t>Andreia Cristina Gomes Moreira</t>
  </si>
  <si>
    <t>Sagie Arie</t>
  </si>
  <si>
    <t>Michal Lider &amp; Haim Lider</t>
  </si>
  <si>
    <t>Paulo José de Magalhães Ferraz &amp; Lúcia Nazaré Oliveira Alves</t>
  </si>
  <si>
    <t>Oded Marom</t>
  </si>
  <si>
    <t>Erika Priscilla Costa Gomes Monteiro</t>
  </si>
  <si>
    <t>Ana Paula da Conceição Alves</t>
  </si>
  <si>
    <t>Flávia Soutelos Teixeira</t>
  </si>
  <si>
    <t>Rui Santos</t>
  </si>
  <si>
    <t>Mário Rui Ascensão Dias de Lima Fontes</t>
  </si>
  <si>
    <t>Guilherme Ribeiro dos Reis</t>
  </si>
  <si>
    <t>Rui de Lemos Monteiro</t>
  </si>
  <si>
    <t>Joaquim Ricardo de Jesus da Veiga</t>
  </si>
  <si>
    <t>João Alberto Branco Novo &amp; Ana Paula de Oliveira Jesus</t>
  </si>
  <si>
    <t>Jóni Nunes</t>
  </si>
  <si>
    <t>DUPLA AMBIÇÃO - Meidaçao imobilairia</t>
  </si>
  <si>
    <t>Dupla ambição</t>
  </si>
  <si>
    <t>Catarina Best Alves Lopes</t>
  </si>
  <si>
    <t>Polina Arshtein</t>
  </si>
  <si>
    <t>Ukraine</t>
  </si>
  <si>
    <t>Petro Ilchenko &amp; Petro Ihnatenko</t>
  </si>
  <si>
    <t>Marcelo Bateira da Costa</t>
  </si>
  <si>
    <t>Hermann Investment Holding Unipessoal</t>
  </si>
  <si>
    <t>Irina Znak &amp; Viktor Dykun</t>
  </si>
  <si>
    <t>DIVERSTOCK INVESTMENTS SA</t>
  </si>
  <si>
    <t>Simao Carvalho</t>
  </si>
  <si>
    <t>Vered Farhi Francos</t>
  </si>
  <si>
    <t>Yehuda Elhacham</t>
  </si>
  <si>
    <t>Or Arieli</t>
  </si>
  <si>
    <t>António Gonçalo Fontes Pinheiro</t>
  </si>
  <si>
    <t>António Ramos de Carvalho Júnior  &amp; Tamille Lima Gonçalves</t>
  </si>
  <si>
    <t>Marcelo Bernnand</t>
  </si>
  <si>
    <t>Rui LemosMonteiro</t>
  </si>
  <si>
    <t>Thais Falavigna</t>
  </si>
  <si>
    <t>Jorge Manuel Barata</t>
  </si>
  <si>
    <t>gustavolazarin@gmail.com</t>
  </si>
  <si>
    <t>vzcn66@gmail.com</t>
  </si>
  <si>
    <t>filipeaagoncalves@gmail.com</t>
  </si>
  <si>
    <t>flaviodscoelho@gmail.com</t>
  </si>
  <si>
    <t>miguel.malafaia@gmail.com</t>
  </si>
  <si>
    <t>hadarazu@gmail.com</t>
  </si>
  <si>
    <t>contact@chronobarcelona.com</t>
  </si>
  <si>
    <t>pedroafonsosantos@gmail.com</t>
  </si>
  <si>
    <t>trajetojf@gmail.com</t>
  </si>
  <si>
    <t>joaocarlos00025@gmail.com</t>
  </si>
  <si>
    <t>amgd@amgd.co.il</t>
  </si>
  <si>
    <t>jcmmf@live.com.pt</t>
  </si>
  <si>
    <t>joanafcsantos.s@gmail.com</t>
  </si>
  <si>
    <t>shadinatour.adv@gmail.com</t>
  </si>
  <si>
    <t>shadinatour.odv@gmail.com</t>
  </si>
  <si>
    <t>ricardo.alexandre@guiatel.net</t>
  </si>
  <si>
    <t>yoram@bnyadv.com</t>
  </si>
  <si>
    <t>achiya@tagaurbanic.com</t>
  </si>
  <si>
    <t>sandragg09@gmail.com</t>
  </si>
  <si>
    <t>lironshilo@gmail.com</t>
  </si>
  <si>
    <t>pablolaynez@yahoo.es</t>
  </si>
  <si>
    <t>info@motorentour.com</t>
  </si>
  <si>
    <t>joaogomestd@hotmail.com</t>
  </si>
  <si>
    <t>tamar.noiman@gmail.com</t>
  </si>
  <si>
    <t>noamt93@gmail.com</t>
  </si>
  <si>
    <t>ariel@tagaurbanic.com</t>
  </si>
  <si>
    <t>stephanecastroferreira@gmail.com</t>
  </si>
  <si>
    <t>Bruno Miguel Martins Vieira</t>
  </si>
  <si>
    <t>Marcelo Brennand</t>
  </si>
  <si>
    <t>6/24 Min. Price</t>
  </si>
  <si>
    <t>6/24 Asking Price</t>
  </si>
  <si>
    <t xml:space="preserve">9/24 MinPrice  </t>
  </si>
  <si>
    <t xml:space="preserve">9/24 Price  </t>
  </si>
  <si>
    <t>12/ 24 Min. Price</t>
  </si>
  <si>
    <t>12/24 Asking Price</t>
  </si>
  <si>
    <t>Daniel Imanov &amp; Leonor C.Homem</t>
  </si>
  <si>
    <t>Email 2</t>
  </si>
  <si>
    <t>Amjhad</t>
  </si>
  <si>
    <t>VioletHaven LDA</t>
  </si>
  <si>
    <t>Cassandra Shung MngWhite</t>
  </si>
  <si>
    <t>Malaysia</t>
  </si>
  <si>
    <t>Benoit Properties</t>
  </si>
  <si>
    <t>Ana Catarina Borralho Valada Marques</t>
  </si>
  <si>
    <t>Tiago Miguel Ferreira Cardoso</t>
  </si>
  <si>
    <t>Brilhantina Maria da Silva Almeida</t>
  </si>
  <si>
    <t>1A</t>
  </si>
  <si>
    <t>2B</t>
  </si>
  <si>
    <t>3C</t>
  </si>
  <si>
    <t>4D</t>
  </si>
  <si>
    <t>1B</t>
  </si>
  <si>
    <t>1C</t>
  </si>
  <si>
    <t>1D</t>
  </si>
  <si>
    <t>2A</t>
  </si>
  <si>
    <t>8A</t>
  </si>
  <si>
    <t>8B</t>
  </si>
  <si>
    <t>2C</t>
  </si>
  <si>
    <t>2D</t>
  </si>
  <si>
    <t>3A</t>
  </si>
  <si>
    <t>3B</t>
  </si>
  <si>
    <t>3D</t>
  </si>
  <si>
    <t>4A</t>
  </si>
  <si>
    <t>4B</t>
  </si>
  <si>
    <t>4C</t>
  </si>
  <si>
    <t>5B</t>
  </si>
  <si>
    <t>5C</t>
  </si>
  <si>
    <t>5D</t>
  </si>
  <si>
    <t>5A</t>
  </si>
  <si>
    <t>6A</t>
  </si>
  <si>
    <t>6B</t>
  </si>
  <si>
    <t>6C</t>
  </si>
  <si>
    <t>6D</t>
  </si>
  <si>
    <t>7A</t>
  </si>
  <si>
    <t>7B</t>
  </si>
  <si>
    <t>7C</t>
  </si>
  <si>
    <t>7D</t>
  </si>
  <si>
    <t>ph</t>
  </si>
  <si>
    <t>Lior &amp; Eitan Horwitz</t>
  </si>
  <si>
    <t>Maria Eugénia Sousa</t>
  </si>
  <si>
    <t>Sales targets for 2025</t>
  </si>
  <si>
    <t>CPCV Signed in 2025</t>
  </si>
  <si>
    <t>CPCV 2025</t>
  </si>
  <si>
    <t>Red Clip</t>
  </si>
  <si>
    <t>3Q 2027</t>
  </si>
  <si>
    <t>TOTAL 2025</t>
  </si>
  <si>
    <t>José Rocha Vieira</t>
  </si>
  <si>
    <t>António Santos</t>
  </si>
  <si>
    <t>Tansu Karabulut &amp; Ali Karabulut</t>
  </si>
  <si>
    <t>Turkey</t>
  </si>
  <si>
    <t>Old Asking Price</t>
  </si>
  <si>
    <t>Old Min. Price</t>
  </si>
  <si>
    <t>New Asking Price</t>
  </si>
  <si>
    <t>Min Price Event</t>
  </si>
  <si>
    <t>Sagi Arie</t>
  </si>
  <si>
    <t>TOTAL YEAR</t>
  </si>
  <si>
    <t>Armando José Alves Pereira</t>
  </si>
  <si>
    <t>Ana Paula Prata Amaro de Sousa &amp; Filipe Amaro de Sousa</t>
  </si>
  <si>
    <t>swilanbrito@icloud.com</t>
  </si>
  <si>
    <t>Swilan Cuénod</t>
  </si>
  <si>
    <t>Eliene Alencar Da Silva Borges &amp; Reginaldo Alves Borges</t>
  </si>
  <si>
    <t>Oleg Mikhailov</t>
  </si>
  <si>
    <t>Nadav Lev &amp; Shelly Tamir Lev</t>
  </si>
  <si>
    <t>Tiago Senra Monteiro Fonseca &amp; Joana Alexandra Ferreira da Rosa</t>
  </si>
  <si>
    <t>Carlos André da Silva Alves de Sá</t>
  </si>
  <si>
    <t>Diogo Figueiredo Moniz de Figueiredo Costa</t>
  </si>
  <si>
    <t>Maria João Malhado Bartolomeu</t>
  </si>
  <si>
    <t>Dorian Isenberg</t>
  </si>
  <si>
    <t>TELES MORAIS, LDA</t>
  </si>
  <si>
    <t>Sérgio Claro</t>
  </si>
  <si>
    <t>António Sá da Cunha &amp; Antonietta Celli Lo Monaco</t>
  </si>
  <si>
    <t>Dov &amp; Hadassa Eden</t>
  </si>
  <si>
    <t>doveden4@gmail.com</t>
  </si>
  <si>
    <t>Maria Salomé Brandão &amp; Õscar Brandão</t>
  </si>
  <si>
    <t>Mark Fred Jerde &amp; Neal Lotsy Orzeck</t>
  </si>
  <si>
    <t>Yaniv Sofir</t>
  </si>
  <si>
    <t xml:space="preserve"> Yaniv.devtec@gmail.com</t>
  </si>
  <si>
    <t xml:space="preserve"> Ariel Chilkiyahu (need change)</t>
  </si>
  <si>
    <t xml:space="preserve">Mauro Mello </t>
  </si>
  <si>
    <t>Lobo Cosmopolita</t>
  </si>
  <si>
    <t>Yaron Levy</t>
  </si>
  <si>
    <t>Jose Oliveira</t>
  </si>
  <si>
    <t>Mariana Costa Marinho</t>
  </si>
  <si>
    <t>Miguel António Pereira de Medeiros</t>
  </si>
  <si>
    <t>Flamingo Eloquente Unipessoal LDA</t>
  </si>
  <si>
    <t xml:space="preserve">Shani Bar Yosef </t>
  </si>
  <si>
    <t>Bruno Paixão</t>
  </si>
  <si>
    <t>Areen &amp; Shadi Natour</t>
  </si>
  <si>
    <t>Wagner da Silva &amp; Marianna Lou</t>
  </si>
  <si>
    <t>Grigorii Egorov</t>
  </si>
  <si>
    <t>Mauro Mello</t>
  </si>
  <si>
    <t>Ricardo da Silva Martins</t>
  </si>
  <si>
    <t>Jaideep Gill</t>
  </si>
  <si>
    <t>Isabel Maria Pereira Ferreira Braga</t>
  </si>
  <si>
    <t>Maria Augusta Gonçalves Fernandes Fugas</t>
  </si>
  <si>
    <t>Igor Chuvilchikov &amp; Tatiana ChuvilchikovA</t>
  </si>
  <si>
    <t>Sergei Ovchinnikov</t>
  </si>
  <si>
    <t>Rodrigo de Holanda Carvalho</t>
  </si>
  <si>
    <t>Clínica Medico Dentária Castillo Santos, Lda</t>
  </si>
  <si>
    <t>ELIZABETH ELLYN ROSENBLUM</t>
  </si>
  <si>
    <t>Carlos Fernandes</t>
  </si>
  <si>
    <t>2 (box)</t>
  </si>
  <si>
    <t>3 (box)</t>
  </si>
  <si>
    <t>José Henrique Geada Rodrigues</t>
  </si>
  <si>
    <t xml:space="preserve">Fuat Safiulin &amp; Elena Safiulina </t>
  </si>
  <si>
    <t xml:space="preserve"> Margarete Garcia</t>
  </si>
  <si>
    <t>Beatriz Mesquita de Oliveira</t>
  </si>
  <si>
    <t>Carlos Manuel Gouveia Pereira &amp; Sandrine Figueira Pedro</t>
  </si>
  <si>
    <t>João Gonçalo Cabo Ferreira</t>
  </si>
  <si>
    <t>Maria Alice dos Santos Lelis</t>
  </si>
  <si>
    <t>Francisco Martins</t>
  </si>
  <si>
    <t>Luis Miguel</t>
  </si>
  <si>
    <t>João Rodrigues Barbosa</t>
  </si>
  <si>
    <t>S1</t>
  </si>
  <si>
    <t>Services</t>
  </si>
  <si>
    <t>gf</t>
  </si>
  <si>
    <t>Birth Date</t>
  </si>
  <si>
    <t>Age</t>
  </si>
  <si>
    <t>Investor / Final Client</t>
  </si>
  <si>
    <t>03/25 Asking Price</t>
  </si>
  <si>
    <t>03/25Min. Price</t>
  </si>
  <si>
    <t>Serguei Popov</t>
  </si>
  <si>
    <t>TOTAL  
GOALS</t>
  </si>
  <si>
    <t>TOTAL  
MONTH</t>
  </si>
  <si>
    <t>RENAN GOMES BELMONTE &amp; GABRIELA QUELLER VALERIO</t>
  </si>
  <si>
    <t xml:space="preserve">Dror &amp; Anat Yemini </t>
  </si>
  <si>
    <t>Siarhei Matsuka</t>
  </si>
  <si>
    <t>Bielarussia</t>
  </si>
  <si>
    <t>Margarida Maria de Oliveira Pinho Barbosa</t>
  </si>
  <si>
    <t>Pedro Saul Ferreira dos Santos</t>
  </si>
  <si>
    <t>Beatriz Santos</t>
  </si>
  <si>
    <t>Adriana Pires</t>
  </si>
  <si>
    <t>Paulo Jorge Moreira Gonçalves</t>
  </si>
  <si>
    <t>Li Xinyan</t>
  </si>
  <si>
    <t>Pedro Elio Rosario</t>
  </si>
  <si>
    <t xml:space="preserve">Bruno Xavier </t>
  </si>
  <si>
    <t>Helder José Da Silva Gomes</t>
  </si>
  <si>
    <t>Haim Kapustin</t>
  </si>
  <si>
    <t>João Morais</t>
  </si>
  <si>
    <t>José Barros</t>
  </si>
  <si>
    <t>Jochen Frederik Hainke</t>
  </si>
  <si>
    <t>André Dias Lopes</t>
  </si>
  <si>
    <t>Wilton Curado Van Deste</t>
  </si>
  <si>
    <t>Fallback position</t>
  </si>
  <si>
    <t>FB position €/m²</t>
  </si>
  <si>
    <t>Fallback</t>
  </si>
  <si>
    <t xml:space="preserve">Diana Pinto Sobreiral de Brás Ferreira &amp; Miguel Ângelo Rodrigues Santos </t>
  </si>
  <si>
    <t xml:space="preserve"> Swilan Cuénod </t>
  </si>
  <si>
    <t>Castelhana</t>
  </si>
  <si>
    <t>Sergii Bondar</t>
  </si>
  <si>
    <t>Hazel Tan and Renault Tan</t>
  </si>
  <si>
    <t>Philipines</t>
  </si>
  <si>
    <t xml:space="preserve">Miguel Granido Nuñez </t>
  </si>
  <si>
    <t>borna@emhproductions.com</t>
  </si>
  <si>
    <t>sagia@davideng.co.il</t>
  </si>
  <si>
    <t>luiscrmendes@gmail.com</t>
  </si>
  <si>
    <t>giovanayedid@gmail.com</t>
  </si>
  <si>
    <t>joanapinto@grupoftd.pt</t>
  </si>
  <si>
    <t>jmiguellobo@gmail.com/ albertinamsilva@gmail.com</t>
  </si>
  <si>
    <t>thimateus@hotmail.com</t>
  </si>
  <si>
    <t>p.sneto@hotmail.com</t>
  </si>
  <si>
    <t>mauromellosfc@hotmail.com</t>
  </si>
  <si>
    <t>vimartinechague@gmail.com</t>
  </si>
  <si>
    <t>peterilchenko@gmail.com</t>
  </si>
  <si>
    <t>merav1275@gmail.com</t>
  </si>
  <si>
    <t>cnfreitas@gamail.com</t>
  </si>
  <si>
    <t>marianacsantos.mcs@gmail.com</t>
  </si>
  <si>
    <t>dra.thaisfalavigna@gmail.com</t>
  </si>
  <si>
    <t>josefelix.box@gmail.com</t>
  </si>
  <si>
    <t>a.rita.vidal@gmail.com</t>
  </si>
  <si>
    <t>nuno.portela@cat.com</t>
  </si>
  <si>
    <t>nadav.aharon@gmail.com</t>
  </si>
  <si>
    <t>nmnunes@gamil.com</t>
  </si>
  <si>
    <t>valdeira@me.com</t>
  </si>
  <si>
    <t>brennand.marcelo@gmail.com</t>
  </si>
  <si>
    <t>vlmota@sapo.pt</t>
  </si>
  <si>
    <t>v.dias@premaq.pt</t>
  </si>
  <si>
    <t>josepedro_costa@yahoo.com</t>
  </si>
  <si>
    <t>danielr2816@gmqil.com</t>
  </si>
  <si>
    <t>rodrigodiogoloureiro@gmail.com</t>
  </si>
  <si>
    <t>orlandos.amaral@sapo.pt</t>
  </si>
  <si>
    <t>nmnunes@gmail.com</t>
  </si>
  <si>
    <t>joanapinto@grupofdt.pt</t>
  </si>
  <si>
    <t>sérgios.nunes@terra.com.br/felipe.ferreira@va.pt</t>
  </si>
  <si>
    <t>rosa.maria.bessa@gmail.com</t>
  </si>
  <si>
    <t>ramstein74@gmail.com</t>
  </si>
  <si>
    <t>prosario123@gmail.com</t>
  </si>
  <si>
    <t>faa010@gmail.com</t>
  </si>
  <si>
    <t>apremissa@gmail.com</t>
  </si>
  <si>
    <t>haim.lider7@gmail.com/liderm100@gmail.com</t>
  </si>
  <si>
    <t>karin.leitzke@outlook.com</t>
  </si>
  <si>
    <t>eedeed@013net.net</t>
  </si>
  <si>
    <t>amir.francos@gmail.com</t>
  </si>
  <si>
    <t>misszeremski@gmail.com</t>
  </si>
  <si>
    <t>margarete.a.garcia@gmail.com</t>
  </si>
  <si>
    <t>oscarbrandao@sapo.pt / salome.pina@sapo.pt</t>
  </si>
  <si>
    <t>corina@tampabaykey.com</t>
  </si>
  <si>
    <t>clarasilvacosta@gmail.com</t>
  </si>
  <si>
    <t>lalfbr@gmail.com e felipe.ferreira@va.pt</t>
  </si>
  <si>
    <t>haim.k.nadlan@gmail.com/ H.dreamtown.tlv@gmail.com</t>
  </si>
  <si>
    <t>amadobartolomeu@gmail.com</t>
  </si>
  <si>
    <t>clopes.fernandes@hotmail.de</t>
  </si>
  <si>
    <t>traco.irresistivel@gmail.com</t>
  </si>
  <si>
    <t>hb@hbdesignbrands.com</t>
  </si>
  <si>
    <t>amilcar.j.nunes@gmail.com</t>
  </si>
  <si>
    <t>Language</t>
  </si>
  <si>
    <t>Portuguese</t>
  </si>
  <si>
    <t>English</t>
  </si>
  <si>
    <t>Tiago André da Ponte Marques Taleço</t>
  </si>
  <si>
    <t>Teresa Fernandes Wrenn</t>
  </si>
  <si>
    <t>Gloria Marroquin</t>
  </si>
  <si>
    <t xml:space="preserve">gloriamd23@aol.com </t>
  </si>
  <si>
    <t>ttaleco@gmail.com</t>
  </si>
  <si>
    <t>hazel@hartintl.com</t>
  </si>
  <si>
    <t>Josefina Fernandes &amp; Luís Pereira da Silva</t>
  </si>
  <si>
    <t>jffininha@gmail.com / lupsilva@sapo.pt</t>
  </si>
  <si>
    <t>tfw815@gmail.com</t>
  </si>
  <si>
    <t>Clinica Medico Dentaria Castilho Santos Lda</t>
  </si>
  <si>
    <t>Carlossantos50@gmail.com</t>
  </si>
  <si>
    <t>Jeffrey D Thomas</t>
  </si>
  <si>
    <t>Rafael Abrantes Calderaro &amp; Deborah Dias Anastacio</t>
  </si>
  <si>
    <t>Piotr Wenderski &amp; Rochelette Dumbrique</t>
  </si>
  <si>
    <t>Polish</t>
  </si>
  <si>
    <t>João Paulo Barbosa Gonçalves de Bessa</t>
  </si>
  <si>
    <t>brunoxavier2908@gmail.com</t>
  </si>
  <si>
    <t>almoatasemalmusrati@yahoo.com</t>
  </si>
  <si>
    <t>Anton Dushko &amp; Daria Fedorenko</t>
  </si>
  <si>
    <t>Eduarda</t>
  </si>
  <si>
    <t>Guy Oberweis</t>
  </si>
  <si>
    <t>Frederico Boratto Martins Moreira</t>
  </si>
  <si>
    <t>fredbmm@gmail.com</t>
  </si>
  <si>
    <t xml:space="preserve">PREDIMEC - Construções e Instalações Mecânicas, lda. </t>
  </si>
  <si>
    <t>Andreia Sofia Quina Custódio &amp; Ivo Alexandre Quina Custódio</t>
  </si>
  <si>
    <t>andreiaquina@gmail.com / ivo_custodio@msn.com</t>
  </si>
  <si>
    <t>Tania Patrícia do Carmo Lourenço</t>
  </si>
  <si>
    <t>taniapclourenco@gmail.com</t>
  </si>
  <si>
    <t>Alberto Fernando Neto Correia &amp; Francelina Rafael Cerejo Coelho</t>
  </si>
  <si>
    <t>Aviv Maman</t>
  </si>
  <si>
    <t>Maria Manuela Soares Campos</t>
  </si>
  <si>
    <t>nuxac@hotmail.com</t>
  </si>
  <si>
    <t>Adam</t>
  </si>
  <si>
    <t>Goals 2025</t>
  </si>
  <si>
    <t>Publidirigiveis</t>
  </si>
  <si>
    <t>Diogo André Costa Resende</t>
  </si>
  <si>
    <t>Daniel Rodrigues de Morais e Ana Catarina d Silva Souto</t>
  </si>
  <si>
    <t>Tsz Ching Lai</t>
  </si>
  <si>
    <t>Traço Irrestível LDA</t>
  </si>
  <si>
    <t>06/25 Asking Price</t>
  </si>
  <si>
    <t>06/25 Min. Price</t>
  </si>
  <si>
    <t>Roberta Martins da Silva &amp; Lucas Vinicius Martins da Silva</t>
  </si>
  <si>
    <t>JULIANA IGREJA HALE &amp; DURVAL IGREJA HALE</t>
  </si>
  <si>
    <t>DURVAL IGREJA HALE &amp; KAREN IHLER DRUMOND HALE</t>
  </si>
  <si>
    <t>Henrique José Silva Flores Azevedo Santos &amp; Maria Inês Fernandes Alves</t>
  </si>
  <si>
    <t>Noam Tal &amp; Tamar Kandil</t>
  </si>
  <si>
    <t>Antonio Sequeira</t>
  </si>
  <si>
    <t xml:space="preserve"> Swilan Cuénod - Empreendimentos Imobiliários Unipessoal</t>
  </si>
  <si>
    <t>Ana Maria Ferreira Barros Cortês Pinto</t>
  </si>
  <si>
    <t>Thiago Cifani Ayres Escola</t>
  </si>
  <si>
    <t xml:space="preserve">Thiago Cifani Ayres Escola </t>
  </si>
  <si>
    <t>José João Colmonero dos Santos Pessoa Aleixo</t>
  </si>
  <si>
    <t>CPCV 2026</t>
  </si>
  <si>
    <t>CPCV 2027</t>
  </si>
  <si>
    <t>S/N</t>
  </si>
  <si>
    <t>Plot</t>
  </si>
  <si>
    <t>9</t>
  </si>
  <si>
    <t>S/N/E</t>
  </si>
  <si>
    <t>S N</t>
  </si>
  <si>
    <t>S/N/W</t>
  </si>
  <si>
    <t>Setubal Sea View</t>
  </si>
  <si>
    <t>Coimbra plot 8 &amp; 9</t>
  </si>
  <si>
    <t>1Q 2028</t>
  </si>
  <si>
    <t>Vania Regina Gomes Nogueira de Sousa &amp; Marco Daniel Ribeiro Maçarico</t>
  </si>
  <si>
    <t>Nídia Celsa Oliveira Alves</t>
  </si>
  <si>
    <t>Whalton Orlando Hippert</t>
  </si>
  <si>
    <t>Ana Cristina Ferreira Coelho de Lemos</t>
  </si>
  <si>
    <t>Joanna &amp; Adam</t>
  </si>
  <si>
    <t>DILS</t>
  </si>
  <si>
    <t>João Pedro Ferreira Barbosa Leão &amp; Ana Filipe Cabral Baltazar</t>
  </si>
  <si>
    <t>Wania Elizabeth Marques Segalovich</t>
  </si>
  <si>
    <t>Telmo Pereira Peixoto Correia Braga</t>
  </si>
  <si>
    <t>Daniela Gamba Garib Carreira &amp; Alexandre Luiz Fantin Carreira</t>
  </si>
  <si>
    <t>dgarib@usp.br</t>
  </si>
  <si>
    <t>Mário Rui Araújo Ribeiro &amp; Núria Silva Jorge</t>
  </si>
  <si>
    <t>Marco Elton Veloso Carvalheira &amp; Vera Lucia Borges dos Santos</t>
  </si>
  <si>
    <t>Gonçalo Santos Oliveira</t>
  </si>
  <si>
    <t>Ricardo Manuel Marante de Oliveira Teixeira &amp; Maria Rosa de Magalhães Sales Teixeira</t>
  </si>
  <si>
    <t>Pierre Guindi</t>
  </si>
  <si>
    <t>guindip@me.com</t>
  </si>
  <si>
    <t>Carolina Tavares de Abreu Rmos de Oliveira &amp; João António Vieira Oliveira &amp; Anna Laura Fernandes Kobrock</t>
  </si>
  <si>
    <t>Patrícia Rezende Vianna</t>
  </si>
  <si>
    <t>MENDES PROMOTION</t>
  </si>
  <si>
    <t>França</t>
  </si>
  <si>
    <t>Marcos Roberto Cruz</t>
  </si>
  <si>
    <t>Jorge Manuel Ferreira dos Santos &amp; Ana Paula Rodrigues Soares Santos</t>
  </si>
  <si>
    <t>João Francisco Bastos Barreiros &amp; Ana Rita Pereira Moreira</t>
  </si>
  <si>
    <t>Gustavo Lazarin Marques &amp; Paula Carina Lazarin Marques</t>
  </si>
  <si>
    <t>Coutinho Costa e Rita Leite Lda.</t>
  </si>
  <si>
    <t>josecoutinhocosta99@gmail.com</t>
  </si>
  <si>
    <t>RESALE</t>
  </si>
  <si>
    <t>Filipe Carvalho Stevens &amp; Francisca Gonçalves Melo Rodrigues Pereira</t>
  </si>
  <si>
    <t>Faissal Yunes Junior &amp; Tatiane Guimarães Yunes</t>
  </si>
  <si>
    <t>faissalyunesjr@gmail.com</t>
  </si>
  <si>
    <t>Manon Birgit Lawin &amp; Filippo Calciano</t>
  </si>
  <si>
    <t>RUBEN FERNANDO CAMPELO REBELO &amp; SOFIA FERREIRA DOS SANTOS REBELO</t>
  </si>
  <si>
    <t>Bernardo Eisenlohr Barcellos &amp; Roberta Motta de Muros</t>
  </si>
  <si>
    <t>JOÃO ANTÓNIO ALVES</t>
  </si>
  <si>
    <t>joaoantonio@merc.com.br</t>
  </si>
  <si>
    <t>Jorge Luís Gonçalves Alves &amp; Martha Raymundo Alves</t>
  </si>
  <si>
    <t>Iberian</t>
  </si>
  <si>
    <t>Tomasz Hendzel &amp; Olga Warszaik</t>
  </si>
  <si>
    <t>Catarina Oliveira</t>
  </si>
  <si>
    <t>Joana Fernandes da Silva &amp; José Rui Fonseca de Magalhães</t>
  </si>
  <si>
    <t>jfernandesilv@gmail.com</t>
  </si>
  <si>
    <t>Rodrigo josé Fragoso luís &amp; Ana Catarina Faria Pereira</t>
  </si>
  <si>
    <t>tiagosenra@live.com.pt</t>
  </si>
  <si>
    <t>iolandatteixeira@gmail.com</t>
  </si>
  <si>
    <t>florindam453@gmail.com</t>
  </si>
  <si>
    <t>cfgd.gildaniel@hotmail.com</t>
  </si>
  <si>
    <t>joaorgnovo@gmail.com</t>
  </si>
  <si>
    <t>joao.miguel.carreira.almeida@gmail.com</t>
  </si>
  <si>
    <t>sergioomfvieira@gmail.com</t>
  </si>
  <si>
    <t>acosta2001@sapo.pt</t>
  </si>
  <si>
    <t>victormanuelpmartins@gmail.com</t>
  </si>
  <si>
    <t>feliciano03@me.com</t>
  </si>
  <si>
    <t>serra.cmm@gmail.com</t>
  </si>
  <si>
    <t>joaopsilva1995@gmail.com</t>
  </si>
  <si>
    <t>sergiomfvieira@gmail.com</t>
  </si>
  <si>
    <t>anapaulalourido@gmail.com</t>
  </si>
  <si>
    <t>gigi.203@hotmail.com</t>
  </si>
  <si>
    <t>jose.f.bernardino@hotmail.com</t>
  </si>
  <si>
    <t>lidia_love@163.com</t>
  </si>
  <si>
    <t>hugo.mesquita1@gmail.com</t>
  </si>
  <si>
    <t>anasilva0883@gmail.com</t>
  </si>
  <si>
    <t>joseluzano@yahoo.com</t>
  </si>
  <si>
    <t>finogueira@live.com.pt</t>
  </si>
  <si>
    <t>diogo_rego89@hotmail.com</t>
  </si>
  <si>
    <t>amargaridagds@gmail.com</t>
  </si>
  <si>
    <t>jorge.magalhaes1967@gmail.com</t>
  </si>
  <si>
    <t>odracir.seravat@gmail.com</t>
  </si>
  <si>
    <t>galshvebish@gmail.com</t>
  </si>
  <si>
    <t>vitorpinto0778@gmail.com</t>
  </si>
  <si>
    <t>rogeriopinhosilva@gmail.com</t>
  </si>
  <si>
    <t>andre@dangels.pt</t>
  </si>
  <si>
    <t>edenbrizel@gmail.com</t>
  </si>
  <si>
    <t>suportejs34@gmail.com</t>
  </si>
  <si>
    <t>vitormendescosta@hotmail.com</t>
  </si>
  <si>
    <t>odracir.seravat@gmial.com</t>
  </si>
  <si>
    <t>nuno@alfacomer.pt</t>
  </si>
  <si>
    <t>freitas.diogo@gmail.com</t>
  </si>
  <si>
    <t>paulacvg@gmail.com</t>
  </si>
  <si>
    <t>assafs@ein.gedi.co.il</t>
  </si>
  <si>
    <t>sequeira.js@mail.telepac.pt</t>
  </si>
  <si>
    <t>litvakd@netvusuib.net.il</t>
  </si>
  <si>
    <t>sandra.mota.oliveira-5310p@adv.oa.pt</t>
  </si>
  <si>
    <t>pedro.maia.carvalho@gmail.com</t>
  </si>
  <si>
    <t>josepedrodcosta@gmail.com</t>
  </si>
  <si>
    <t>934207731/+244-928059008</t>
  </si>
  <si>
    <t>mariojorgesilva1967@gmail.com</t>
  </si>
  <si>
    <t>florindam543@gmail.com</t>
  </si>
  <si>
    <t>andre.ferreira@aboutpublicity.com</t>
  </si>
  <si>
    <t>miguel.antunes1970@gmial.com</t>
  </si>
  <si>
    <t>jcastrogreat@gmail.com</t>
  </si>
  <si>
    <t>ferreira.andrade.sofia@gmail.com</t>
  </si>
  <si>
    <t>joninunesortopedia@gmail.com</t>
  </si>
  <si>
    <t>hmartins1958@gmail.com</t>
  </si>
  <si>
    <t>loard.lda@gmail.com</t>
  </si>
  <si>
    <t>paula.truck@gmail.com</t>
  </si>
  <si>
    <t>davidbeijoco@bastarda.pt</t>
  </si>
  <si>
    <t>medeirosmig@gmail.com</t>
  </si>
  <si>
    <t>pedro.barbosa.rh@hotmail.com</t>
  </si>
  <si>
    <t>horaextra.club@gmail.com</t>
  </si>
  <si>
    <t>mariamadalenasousa@gmail.com</t>
  </si>
  <si>
    <t>tiagomfcardoso@gmail.com</t>
  </si>
  <si>
    <t>paula.romao.prof@gmail.com</t>
  </si>
  <si>
    <t>luisacampos@hotmail.com</t>
  </si>
  <si>
    <t>mjtpmoura@gmail.com</t>
  </si>
  <si>
    <t>idazevedo@imda.pt</t>
  </si>
  <si>
    <t>carvalho1951@gmail.com</t>
  </si>
  <si>
    <t>andremeneses@selectadivison.pt</t>
  </si>
  <si>
    <t>mouravalente@gmail.com</t>
  </si>
  <si>
    <t>diogofmfc90@gmail.com</t>
  </si>
  <si>
    <t>maiaceu1@gmail.com</t>
  </si>
  <si>
    <t>ruisousa_7@hotmail.com</t>
  </si>
  <si>
    <t>hsilva@ferbar.com</t>
  </si>
  <si>
    <t>fsbispo@hotmail.com</t>
  </si>
  <si>
    <t>sara_silvago@hotmail.com</t>
  </si>
  <si>
    <t>ziman1964@gmail.com</t>
  </si>
  <si>
    <t>linecomn@gmail.com</t>
  </si>
  <si>
    <t>igorquinan@gmail.com</t>
  </si>
  <si>
    <t>emiliamaria@gmail.com</t>
  </si>
  <si>
    <t>paulo.sousa.martins93@gmail.com</t>
  </si>
  <si>
    <t>abreualonso1964@gmail.com</t>
  </si>
  <si>
    <t>heliofiliperibeiro@gmail.com</t>
  </si>
  <si>
    <t>anabelaafonso74@gmail.com</t>
  </si>
  <si>
    <t>brunocharters@outlook.com</t>
  </si>
  <si>
    <t>qrita1@hotmail.com</t>
  </si>
  <si>
    <t>sandra.mota.oliveira-55130p@adv.oa.pt</t>
  </si>
  <si>
    <t>carloslopesvaranda@hotmail.com</t>
  </si>
  <si>
    <t>andre.b.goulart@gmail.com</t>
  </si>
  <si>
    <t>joaquimmaiasousa@sapo.pt</t>
  </si>
  <si>
    <t>p-oliveira-m@hotmail.com</t>
  </si>
  <si>
    <t>sofia.bessamail@gmail.com</t>
  </si>
  <si>
    <t>pedrotet18@gmail.com</t>
  </si>
  <si>
    <t>tiagofranciscogil93@hotmail.com</t>
  </si>
  <si>
    <t>mesquitab1308@gmail.com</t>
  </si>
  <si>
    <t>franciscofbarros@gmail.com</t>
  </si>
  <si>
    <t>jardinssaguaviva@sapo.pt</t>
  </si>
  <si>
    <t>joaquim.veiga@gmail.com</t>
  </si>
  <si>
    <t>jose.meneses@diverstock.com</t>
  </si>
  <si>
    <t>ds.magalhaes99@gmail.com</t>
  </si>
  <si>
    <t>joaoaroso18@gmail.com</t>
  </si>
  <si>
    <t>lino.franco@hotmail.com</t>
  </si>
  <si>
    <t>luiscampos@hotmail.com</t>
  </si>
  <si>
    <t>ruipquintas@gmail.com</t>
  </si>
  <si>
    <t>eloyfarias@gmail.com</t>
  </si>
  <si>
    <t>socimpee@gmail.com</t>
  </si>
  <si>
    <t>vale380engenharia@gmail.com</t>
  </si>
  <si>
    <t>ajm.malheiro@gmail.com</t>
  </si>
  <si>
    <t>pmfumega@gmail.com</t>
  </si>
  <si>
    <t>d.matamartins@live.com</t>
  </si>
  <si>
    <t>jennymargarida@outlook.com</t>
  </si>
  <si>
    <t>eduardovazmacieira@gmail.com</t>
  </si>
  <si>
    <t>cblopes84@gmail.com</t>
  </si>
  <si>
    <t>cmoandrade@gmail.com</t>
  </si>
  <si>
    <t>zimscorp.tina@hotmail.com</t>
  </si>
  <si>
    <t>florentino-a-santos@sapo.pt</t>
  </si>
  <si>
    <t>isabel.misc2001@gmail.com</t>
  </si>
  <si>
    <t>aampf@hotmail.com</t>
  </si>
  <si>
    <t>nunoxu.05070@gmail.com</t>
  </si>
  <si>
    <t>marianacostamarinho@gmail.com</t>
  </si>
  <si>
    <t>cmgpereira@gmail.com</t>
  </si>
  <si>
    <t>rosembergsouza59@gmail.com</t>
  </si>
  <si>
    <t>bebelbraga1@sapo.pt</t>
  </si>
  <si>
    <t>joao.ismael@gmail.com</t>
  </si>
  <si>
    <t>andreiacgmoreira1985@gmail.com</t>
  </si>
  <si>
    <t>ric.pimenta@gmail.com</t>
  </si>
  <si>
    <t>rui@oticatransmontana.pt</t>
  </si>
  <si>
    <t>pndlima@gmail.com</t>
  </si>
  <si>
    <t>anaportosampaio@gmail.com</t>
  </si>
  <si>
    <t>moiajorge@gmail.com</t>
  </si>
  <si>
    <t>lev.nadav@gmail.com</t>
  </si>
  <si>
    <t>marioruifontes@gmail.com</t>
  </si>
  <si>
    <t>pjfsousaimoveis@gmail.com</t>
  </si>
  <si>
    <t>antonio.cunha@boshrexroth.com</t>
  </si>
  <si>
    <t>rui.monteiro@sodecia.com</t>
  </si>
  <si>
    <t>hugo.mesquita@gmail.com</t>
  </si>
  <si>
    <t>eambrito@gmail.com</t>
  </si>
  <si>
    <t>msousa.clarisse@gmail.com</t>
  </si>
  <si>
    <t>jorge.moutinho@hotmail.com</t>
  </si>
  <si>
    <t>to-1992@hotmail.com</t>
  </si>
  <si>
    <t>simaoascarvalho@gmail.com</t>
  </si>
  <si>
    <t>flaviateixeira@hotmail.com</t>
  </si>
  <si>
    <t>pedro191990@outlook.pt</t>
  </si>
  <si>
    <t>mafaldaredesantos@gmail.com</t>
  </si>
  <si>
    <t>lpereira@duplaambiçao.pt</t>
  </si>
  <si>
    <t>celestino.bras@gmail.com</t>
  </si>
  <si>
    <t>jpferreira@gmail.com</t>
  </si>
  <si>
    <t>jonny.mdl.pt@gmail.com</t>
  </si>
  <si>
    <t>prata@esenf.pt</t>
  </si>
  <si>
    <t>geral@jovem4.pt</t>
  </si>
  <si>
    <t>ricsm95@gmail.com</t>
  </si>
  <si>
    <t>963870863/ 963348494</t>
  </si>
  <si>
    <t>monteirovitor56@gmail.com</t>
  </si>
  <si>
    <t>aviv@tagaurbanic.com</t>
  </si>
  <si>
    <t>jcaboferreira@gmail.com</t>
  </si>
  <si>
    <t>soniacarvalho@sapo.pt</t>
  </si>
  <si>
    <t>edguerreiro77@gmail.com</t>
  </si>
  <si>
    <t>teresabelo_azeitao@hotmail.com</t>
  </si>
  <si>
    <t>927287190/914558799</t>
  </si>
  <si>
    <t>eliran.zusman18@gmail.com</t>
  </si>
  <si>
    <t>piedadedalila@gmail.com</t>
  </si>
  <si>
    <t>michalgolan1991@gmail.com</t>
  </si>
  <si>
    <t>koelhos@sapo.pt</t>
  </si>
  <si>
    <t>paulapgmendes@gmail.com</t>
  </si>
  <si>
    <t>graça.sovelas@gmail.com</t>
  </si>
  <si>
    <t>orlyrafael11@gmail.com</t>
  </si>
  <si>
    <t>jaimevaz1@gmail.com</t>
  </si>
  <si>
    <t>zakhiarobbie@gmail.com</t>
  </si>
  <si>
    <t>ziman.matan@gmail.com</t>
  </si>
  <si>
    <t>carlamendao@hotmail.com</t>
  </si>
  <si>
    <t>redmond,milton@gmail.com</t>
  </si>
  <si>
    <t>0041-788600808</t>
  </si>
  <si>
    <t>anacbvmarques@gmail.com</t>
  </si>
  <si>
    <t>app@uevora.pt</t>
  </si>
  <si>
    <t>guyguz@gmail.com</t>
  </si>
  <si>
    <t>patricializcastro@gmail.com</t>
  </si>
  <si>
    <t>f.laghaie@techrdco.com</t>
  </si>
  <si>
    <t>aamir19989@outlook.com</t>
  </si>
  <si>
    <t>dmaimin@gmail.com</t>
  </si>
  <si>
    <t>workolic@lucrar.pt</t>
  </si>
  <si>
    <t>hovavnoa@gmail.com</t>
  </si>
  <si>
    <t>dorit@pundak-eng.com</t>
  </si>
  <si>
    <t>vecamil74@gmail.com</t>
  </si>
  <si>
    <t>shookidamari@gmail.com</t>
  </si>
  <si>
    <t>bellaevangelho@me.com</t>
  </si>
  <si>
    <t>aclaudiossantos@gmail.com</t>
  </si>
  <si>
    <t>ritapconceicao@gmail.com</t>
  </si>
  <si>
    <t>jnv.mestre@gmail.com</t>
  </si>
  <si>
    <t>dubihaas@gmail.com</t>
  </si>
  <si>
    <t>guido.mendonca@sqc.pt</t>
  </si>
  <si>
    <t>albertoneto1961@gmail.com</t>
  </si>
  <si>
    <t>irosenblum1021@gmail.com</t>
  </si>
  <si>
    <t>anapaulino-775e@adv,ao.pt</t>
  </si>
  <si>
    <t>carlos.alexandrino@gmail.com</t>
  </si>
  <si>
    <t>tinovandeste@hotmail.fr</t>
  </si>
  <si>
    <t>rochavieira@sapo.pt</t>
  </si>
  <si>
    <t>joanasimoes@gmail.com</t>
  </si>
  <si>
    <t>Avishay@spherafund.com</t>
  </si>
  <si>
    <t>soniasacerdeira@gmail.com</t>
  </si>
  <si>
    <t>Asaf.Hovav2gmail.com</t>
  </si>
  <si>
    <t>orna.geva2gmail.com</t>
  </si>
  <si>
    <t>0972-54-3204661</t>
  </si>
  <si>
    <t>felipenonato@gmail.com</t>
  </si>
  <si>
    <t>l5m@sapo.pt</t>
  </si>
  <si>
    <t>marcos.ac.medeiros@sunra.com.br</t>
  </si>
  <si>
    <t>55-81988509329</t>
  </si>
  <si>
    <t>icfgraca@gmail.com</t>
  </si>
  <si>
    <t>natoskalidia@gmail.com</t>
  </si>
  <si>
    <t>55-11-971422920</t>
  </si>
  <si>
    <t>jonas.nunes@halito.pt</t>
  </si>
  <si>
    <t>bcf@bermafra.pt</t>
  </si>
  <si>
    <t>dash.roche@gmail.com</t>
  </si>
  <si>
    <t>bruno.vieira@medway.pt</t>
  </si>
  <si>
    <t>Gal1582000@gmail.com</t>
  </si>
  <si>
    <t>seruno.psicologia@gmail.com</t>
  </si>
  <si>
    <t>estimulafador@gmail.com</t>
  </si>
  <si>
    <t>bcpaixao@gmail.com</t>
  </si>
  <si>
    <t>costamarcelo74@hotmail.com</t>
  </si>
  <si>
    <t>nunomorais@gmail.com</t>
  </si>
  <si>
    <t>adnarimjp@gmail.com</t>
  </si>
  <si>
    <t>pauloadsm@gmail.com</t>
  </si>
  <si>
    <t>sharon@weissarieli.com</t>
  </si>
  <si>
    <t>litvakd@netvusuib.net,il</t>
  </si>
  <si>
    <t>eliene.alencar222@gmail.com</t>
  </si>
  <si>
    <t>syafter.geral@gmail.com</t>
  </si>
  <si>
    <t>gvili@tagaurbanic.com</t>
  </si>
  <si>
    <t>dorian.isenberg.pt@gmail.com</t>
  </si>
  <si>
    <t>jorgemanuelalvez@gmail.com</t>
  </si>
  <si>
    <t>brunodepadilha@gmail,com</t>
  </si>
  <si>
    <t>odedm@fibrotex-tech.com</t>
  </si>
  <si>
    <t>Aimirerez500@gmail.com</t>
  </si>
  <si>
    <t>domenicocap@gmail.com</t>
  </si>
  <si>
    <t>lfmoliveira@gmail.com</t>
  </si>
  <si>
    <t>eugenio@eugeniocampos.pt</t>
  </si>
  <si>
    <t>bruno_vazvale@hotmail.com</t>
  </si>
  <si>
    <t>horwitz.eitan@gmail.com</t>
  </si>
  <si>
    <t>kketterergi@gmail.com</t>
  </si>
  <si>
    <t>Fadi.kawar1801@gmail.com</t>
  </si>
  <si>
    <t>cruzcaraballo21@gmail.com</t>
  </si>
  <si>
    <t>s_rangel@outlook.com</t>
  </si>
  <si>
    <t>joseperesmarcos@gmail.com</t>
  </si>
  <si>
    <t>renatagc-@hotmail.com</t>
  </si>
  <si>
    <t>abarbosanet@gmail.com</t>
  </si>
  <si>
    <t>nhmorais@gmail.com</t>
  </si>
  <si>
    <t>Amgd@amgd.co.il</t>
  </si>
  <si>
    <t>naamaragoler@gmail.com</t>
  </si>
  <si>
    <t>mrui@wavecom.pt</t>
  </si>
  <si>
    <t>keidarosnat@gmail.com</t>
  </si>
  <si>
    <t>oren@gerson.co.il</t>
  </si>
  <si>
    <t>jose.diveira@visaports.com</t>
  </si>
  <si>
    <t>anacristinagl@gmail.com</t>
  </si>
  <si>
    <t>paulo.campos@gmail.com</t>
  </si>
  <si>
    <t>miniqueencc@gmail.com</t>
  </si>
  <si>
    <t>contact@choronobarcelona.com</t>
  </si>
  <si>
    <t>amimagid@gmail.com</t>
  </si>
  <si>
    <t>h.beker@int-rf.com</t>
  </si>
  <si>
    <t>geral@defontes.pt</t>
  </si>
  <si>
    <t>227623133/91303689</t>
  </si>
  <si>
    <t>np@noahpred.com</t>
  </si>
  <si>
    <t>joao.magalhaes212@gmail.com</t>
  </si>
  <si>
    <t>xcataleyna@gmail.com</t>
  </si>
  <si>
    <t>080-911-2016</t>
  </si>
  <si>
    <t>Jaron1990@gmail.com</t>
  </si>
  <si>
    <t>oren@litay-rim.co.il</t>
  </si>
  <si>
    <t>helenafragoso76@gmail.com</t>
  </si>
  <si>
    <t>marvin-herrmann1@web.de</t>
  </si>
  <si>
    <t>Resale</t>
  </si>
  <si>
    <t>Maria Julia Meza Bousquet</t>
  </si>
  <si>
    <t>El Salvador</t>
  </si>
  <si>
    <t>Juan Antonio Vizcaino Gonzalez</t>
  </si>
  <si>
    <t>juan.antonio.vizcaino@googlemail.com</t>
  </si>
  <si>
    <t>Paula Edite Alves da Silva &amp; Ricardo Jorge dos Santos Lobo</t>
  </si>
  <si>
    <t>Ana Margarida Lopes Ribeiro</t>
  </si>
  <si>
    <t>António Mascarenhas</t>
  </si>
  <si>
    <t>mascarenhas@me.com</t>
  </si>
  <si>
    <t>Catarina Gonçalves Barrias</t>
  </si>
  <si>
    <t xml:space="preserve"> catarina.barrias@outlook.com</t>
  </si>
  <si>
    <t>Paulo Germano Menge &amp; Karen Viviane de Souza Ferreira</t>
  </si>
  <si>
    <t>JOÃO PEDRO RAMOS DE AZEVEDO CARDOSO COSTA,</t>
  </si>
  <si>
    <t>João Serrano &amp; Daniela Serrano</t>
  </si>
  <si>
    <t>Maria Davudova &amp; Andrey Davydov</t>
  </si>
  <si>
    <t>EDUARDO JOÃO FRADE SOBRAL PIMENTEL &amp; SILVINA MARIA MARQUES ROSA NUNES PIMENTEL</t>
  </si>
  <si>
    <t>Maria João das Neves Bento e Silva</t>
  </si>
  <si>
    <t>signed cpcv 19/09</t>
  </si>
  <si>
    <t>Filipa Morais &amp; Eduardo Passos Vila Chã</t>
  </si>
  <si>
    <t>Vladislav Gumerov</t>
  </si>
  <si>
    <t>COMMISSION DEDUCT 2.000€</t>
  </si>
  <si>
    <t xml:space="preserve">Andre Eugenio Ruivo de Sousa </t>
  </si>
  <si>
    <t>Fernando Miguel dos Santos Vieira &amp; Ana Paula Gomes de Almeida</t>
  </si>
  <si>
    <t>Alexandre Luiz Bastos Salvador &amp; Sandra Melefare Teixeira Salvador</t>
  </si>
  <si>
    <t>albsalvador@yahoo.com.br</t>
  </si>
  <si>
    <t>Wojciech Gradowski / Barbara Gradowski</t>
  </si>
  <si>
    <t>Eva Luisa Laynez Aspenberg</t>
  </si>
  <si>
    <t>Maria de Fátima de Pinho Sousa e Costa Almeida</t>
  </si>
  <si>
    <t>Oxana Voytenko</t>
  </si>
  <si>
    <t>November  Goals</t>
  </si>
  <si>
    <t>Nofar</t>
  </si>
  <si>
    <t>Roy Marouni</t>
  </si>
  <si>
    <t>Lebanon</t>
  </si>
  <si>
    <t>Maria Salomé Vasconcelos Pina Brandão</t>
  </si>
  <si>
    <t>Mariana dos Ramos Oliveira</t>
  </si>
  <si>
    <t>Yariv</t>
  </si>
  <si>
    <t>Inês Maria Durão Carujo Pereira de Carvalho</t>
  </si>
  <si>
    <t>Juliana Andrade</t>
  </si>
  <si>
    <t>Anabela Ribeirinho Soares</t>
  </si>
  <si>
    <t>Heitor Costa Martins Lima</t>
  </si>
  <si>
    <t>Sjoierd Hotze Veldhuis &amp; Margreta Aloysius Maria Poiesz</t>
  </si>
  <si>
    <t>Netherlands</t>
  </si>
  <si>
    <t>Letícia Maria de Carvalho Faria</t>
  </si>
  <si>
    <t>Mariela Neto Almeida</t>
  </si>
  <si>
    <t>mneto@marieladesign.com</t>
  </si>
  <si>
    <t xml:space="preserve">Richard Anthony Capella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</si>
</sst>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8" formatCode="&quot;£&quot;#,##0.00;[Red]\-&quot;£&quot;#,##0.00"/>
    <numFmt numFmtId="43" formatCode="_-* #,##0.00_-;\-* #,##0.00_-;_-* &quot;-&quot;??_-;_-@_-"/>
    <numFmt numFmtId="164" formatCode="#,##0.00\ &quot;€&quot;;[Red]\-#,##0.00\ &quot;€&quot;"/>
    <numFmt numFmtId="165" formatCode="_-* #,##0.00\ &quot;€&quot;_-;\-* #,##0.00\ &quot;€&quot;_-;_-* &quot;-&quot;??\ &quot;€&quot;_-;_-@_-"/>
    <numFmt numFmtId="166" formatCode="#,##0.00\ &quot;€&quot;"/>
    <numFmt numFmtId="167" formatCode="_-* #,##0.00\ _€_-;\-* #,##0.00\ _€_-;_-* &quot;-&quot;??\ _€_-;_-@_-"/>
    <numFmt numFmtId="168" formatCode="_-* #,##0.00\ [$€-816]_-;\-* #,##0.00\ [$€-816]_-;_-* &quot;-&quot;??\ [$€-816]_-;_-@_-"/>
    <numFmt numFmtId="169" formatCode="#,##0\ &quot;€&quot;"/>
    <numFmt numFmtId="170" formatCode="0.0"/>
    <numFmt numFmtId="171" formatCode="_-* #,##0.0_-;\-* #,##0.0_-;_-* &quot;-&quot;??_-;_-@_-"/>
    <numFmt numFmtId="172" formatCode="_-* #,##0_-;\-* #,##0_-;_-* &quot;-&quot;??_-;_-@_-"/>
    <numFmt numFmtId="173" formatCode="_-* #,##0.0\ _€_-;\-* #,##0.0\ _€_-;_-* &quot;-&quot;??\ _€_-;_-@_-"/>
    <numFmt numFmtId="174" formatCode="&quot;€&quot;#,##0"/>
    <numFmt numFmtId="175" formatCode="#,##0.00\ [$€-816]"/>
    <numFmt numFmtId="176" formatCode="#,##0.000\ &quot;€&quot;"/>
    <numFmt numFmtId="177" formatCode="_-* #,##0\ _€_-;\-* #,##0\ _€_-;_-* &quot;-&quot;?\ _€_-;_-@_-"/>
    <numFmt numFmtId="178" formatCode="0.000"/>
    <numFmt numFmtId="179" formatCode="_-[$€-2]\ * #,##0.00_-;\-[$€-2]\ * #,##0.00_-;_-[$€-2]\ * &quot;-&quot;??_-;_-@_-"/>
    <numFmt numFmtId="180" formatCode="0.0000"/>
    <numFmt numFmtId="181" formatCode="&quot;£&quot;#,##0.00"/>
    <numFmt numFmtId="182" formatCode="_-[$€-2]\ * #,##0_-;\-[$€-2]\ * #,##0_-;_-[$€-2]\ * &quot;-&quot;??_-;_-@_-"/>
  </numFmts>
  <fonts count="5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indexed="8"/>
      <name val="Helvetica Neue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61646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616468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sz val="10"/>
      <color indexed="8"/>
      <name val="Calibri"/>
      <family val="2"/>
    </font>
    <font>
      <sz val="10"/>
      <color rgb="FF616468"/>
      <name val="Calibri"/>
      <family val="2"/>
      <scheme val="minor"/>
    </font>
    <font>
      <sz val="10"/>
      <color rgb="FF000000"/>
      <name val="Arial Narrow"/>
      <family val="2"/>
    </font>
    <font>
      <sz val="10"/>
      <color theme="0"/>
      <name val="Calibri"/>
      <family val="2"/>
      <scheme val="minor"/>
    </font>
    <font>
      <sz val="8"/>
      <name val="Arial"/>
      <family val="2"/>
    </font>
    <font>
      <b/>
      <sz val="10"/>
      <color theme="2" tint="-0.499984740745262"/>
      <name val="Calibri"/>
      <family val="2"/>
      <scheme val="minor"/>
    </font>
    <font>
      <sz val="10"/>
      <name val="Arial Narrow"/>
      <family val="2"/>
    </font>
    <font>
      <sz val="10"/>
      <color rgb="FF616468"/>
      <name val="Arial"/>
      <family val="2"/>
    </font>
    <font>
      <sz val="9"/>
      <name val="Calibri"/>
      <family val="2"/>
      <scheme val="minor"/>
    </font>
    <font>
      <b/>
      <sz val="8"/>
      <name val="Arial"/>
      <family val="2"/>
    </font>
    <font>
      <b/>
      <sz val="9"/>
      <color theme="0"/>
      <name val="Arial"/>
      <family val="2"/>
    </font>
    <font>
      <sz val="9"/>
      <color indexed="8"/>
      <name val="Arial"/>
      <family val="2"/>
    </font>
    <font>
      <sz val="9"/>
      <color rgb="FF616468"/>
      <name val="Arial"/>
      <family val="2"/>
    </font>
    <font>
      <b/>
      <sz val="9"/>
      <color rgb="FF616468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10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0"/>
      <name val="Arial"/>
      <family val="2"/>
    </font>
    <font>
      <b/>
      <sz val="9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u/>
      <sz val="10"/>
      <color rgb="FF0070C0"/>
      <name val="Calibri"/>
      <family val="2"/>
      <scheme val="minor"/>
    </font>
    <font>
      <b/>
      <sz val="10"/>
      <color theme="2" tint="-0.249977111117893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9C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B0F0"/>
      </left>
      <right style="thin">
        <color indexed="64"/>
      </right>
      <top style="medium">
        <color rgb="FF00B0F0"/>
      </top>
      <bottom style="medium">
        <color rgb="FF00B0F0"/>
      </bottom>
      <diagonal/>
    </border>
    <border>
      <left style="thin">
        <color indexed="64"/>
      </left>
      <right style="thin">
        <color indexed="64"/>
      </right>
      <top style="medium">
        <color rgb="FF00B0F0"/>
      </top>
      <bottom style="medium">
        <color rgb="FF00B0F0"/>
      </bottom>
      <diagonal/>
    </border>
    <border>
      <left style="thin">
        <color indexed="64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thin">
        <color indexed="64"/>
      </right>
      <top style="medium">
        <color rgb="FF00B0F0"/>
      </top>
      <bottom style="medium">
        <color rgb="FF00B0F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8">
    <xf numFmtId="0" fontId="0" fillId="0" borderId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 applyNumberFormat="0" applyFill="0" applyBorder="0" applyProtection="0">
      <alignment vertical="top" wrapText="1"/>
    </xf>
    <xf numFmtId="0" fontId="9" fillId="6" borderId="0" applyNumberFormat="0" applyBorder="0" applyAlignment="0" applyProtection="0"/>
    <xf numFmtId="0" fontId="10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4" fillId="0" borderId="0"/>
    <xf numFmtId="0" fontId="4" fillId="0" borderId="0"/>
    <xf numFmtId="0" fontId="12" fillId="0" borderId="0"/>
    <xf numFmtId="43" fontId="12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12" fillId="0" borderId="0"/>
    <xf numFmtId="0" fontId="13" fillId="0" borderId="0"/>
    <xf numFmtId="165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45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2" fillId="0" borderId="0" applyFont="0" applyFill="0" applyBorder="0" applyAlignment="0" applyProtection="0"/>
  </cellStyleXfs>
  <cellXfs count="210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49" fontId="7" fillId="3" borderId="1" xfId="3" applyNumberFormat="1" applyFont="1" applyFill="1" applyBorder="1" applyAlignment="1">
      <alignment horizontal="center" vertical="center" wrapText="1"/>
    </xf>
    <xf numFmtId="49" fontId="7" fillId="5" borderId="1" xfId="3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top" wrapText="1"/>
    </xf>
    <xf numFmtId="43" fontId="7" fillId="5" borderId="1" xfId="1" applyFont="1" applyFill="1" applyBorder="1" applyAlignment="1">
      <alignment horizontal="center" vertical="center" wrapText="1"/>
    </xf>
    <xf numFmtId="49" fontId="7" fillId="5" borderId="1" xfId="3" applyNumberFormat="1" applyFont="1" applyFill="1" applyBorder="1" applyAlignment="1">
      <alignment horizontal="center" vertical="center"/>
    </xf>
    <xf numFmtId="43" fontId="7" fillId="5" borderId="1" xfId="1" applyFont="1" applyFill="1" applyBorder="1" applyAlignment="1">
      <alignment horizontal="center" vertical="center"/>
    </xf>
    <xf numFmtId="168" fontId="6" fillId="5" borderId="1" xfId="2" applyNumberFormat="1" applyFont="1" applyFill="1" applyBorder="1" applyAlignment="1">
      <alignment horizontal="center" vertical="center" wrapText="1"/>
    </xf>
    <xf numFmtId="49" fontId="6" fillId="5" borderId="1" xfId="3" applyNumberFormat="1" applyFont="1" applyFill="1" applyBorder="1" applyAlignment="1">
      <alignment horizontal="center" vertical="center"/>
    </xf>
    <xf numFmtId="49" fontId="6" fillId="5" borderId="1" xfId="3" applyNumberFormat="1" applyFont="1" applyFill="1" applyBorder="1" applyAlignment="1">
      <alignment horizontal="center" vertical="center" wrapText="1"/>
    </xf>
    <xf numFmtId="168" fontId="6" fillId="5" borderId="16" xfId="2" applyNumberFormat="1" applyFont="1" applyFill="1" applyBorder="1" applyAlignment="1">
      <alignment horizontal="center" vertical="center" wrapText="1"/>
    </xf>
    <xf numFmtId="49" fontId="6" fillId="5" borderId="16" xfId="3" applyNumberFormat="1" applyFont="1" applyFill="1" applyBorder="1" applyAlignment="1">
      <alignment horizontal="center" vertical="center" wrapText="1"/>
    </xf>
    <xf numFmtId="168" fontId="6" fillId="5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4" borderId="16" xfId="0" applyFont="1" applyFill="1" applyBorder="1" applyAlignment="1">
      <alignment horizontal="center" vertical="center" wrapText="1"/>
    </xf>
    <xf numFmtId="169" fontId="8" fillId="4" borderId="1" xfId="0" applyNumberFormat="1" applyFont="1" applyFill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center" vertical="center"/>
    </xf>
    <xf numFmtId="169" fontId="0" fillId="0" borderId="0" xfId="0" applyNumberFormat="1"/>
    <xf numFmtId="2" fontId="14" fillId="3" borderId="1" xfId="17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10" borderId="1" xfId="0" applyFont="1" applyFill="1" applyBorder="1" applyAlignment="1">
      <alignment horizontal="center"/>
    </xf>
    <xf numFmtId="10" fontId="1" fillId="10" borderId="1" xfId="0" applyNumberFormat="1" applyFont="1" applyFill="1" applyBorder="1" applyAlignment="1">
      <alignment horizontal="center"/>
    </xf>
    <xf numFmtId="166" fontId="1" fillId="10" borderId="1" xfId="0" applyNumberFormat="1" applyFont="1" applyFill="1" applyBorder="1" applyAlignment="1">
      <alignment horizontal="center"/>
    </xf>
    <xf numFmtId="14" fontId="1" fillId="10" borderId="1" xfId="4" applyNumberFormat="1" applyFont="1" applyFill="1" applyBorder="1" applyAlignment="1">
      <alignment horizontal="center" vertical="center"/>
    </xf>
    <xf numFmtId="0" fontId="1" fillId="10" borderId="1" xfId="4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14" fontId="1" fillId="3" borderId="1" xfId="4" applyNumberFormat="1" applyFont="1" applyFill="1" applyBorder="1" applyAlignment="1">
      <alignment horizontal="center" vertical="center"/>
    </xf>
    <xf numFmtId="0" fontId="1" fillId="3" borderId="1" xfId="4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4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/>
    </xf>
    <xf numFmtId="169" fontId="1" fillId="10" borderId="1" xfId="0" applyNumberFormat="1" applyFont="1" applyFill="1" applyBorder="1" applyAlignment="1">
      <alignment horizontal="center"/>
    </xf>
    <xf numFmtId="169" fontId="1" fillId="3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169" fontId="1" fillId="3" borderId="0" xfId="0" applyNumberFormat="1" applyFont="1" applyFill="1" applyAlignment="1">
      <alignment horizontal="center"/>
    </xf>
    <xf numFmtId="169" fontId="1" fillId="3" borderId="0" xfId="4" applyNumberFormat="1" applyFont="1" applyFill="1" applyBorder="1" applyAlignment="1">
      <alignment horizontal="center" vertical="center"/>
    </xf>
    <xf numFmtId="166" fontId="1" fillId="3" borderId="0" xfId="0" applyNumberFormat="1" applyFont="1" applyFill="1" applyAlignment="1">
      <alignment horizontal="center"/>
    </xf>
    <xf numFmtId="14" fontId="1" fillId="3" borderId="0" xfId="4" applyNumberFormat="1" applyFont="1" applyFill="1" applyBorder="1" applyAlignment="1">
      <alignment horizontal="center" vertical="center"/>
    </xf>
    <xf numFmtId="0" fontId="1" fillId="3" borderId="0" xfId="4" applyFont="1" applyFill="1" applyBorder="1" applyAlignment="1">
      <alignment horizontal="center"/>
    </xf>
    <xf numFmtId="0" fontId="1" fillId="0" borderId="19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1" fillId="0" borderId="26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 wrapText="1"/>
    </xf>
    <xf numFmtId="169" fontId="1" fillId="5" borderId="1" xfId="0" applyNumberFormat="1" applyFont="1" applyFill="1" applyBorder="1" applyAlignment="1">
      <alignment horizontal="center" vertical="center" wrapText="1"/>
    </xf>
    <xf numFmtId="169" fontId="1" fillId="5" borderId="3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169" fontId="1" fillId="2" borderId="1" xfId="0" applyNumberFormat="1" applyFont="1" applyFill="1" applyBorder="1" applyAlignment="1">
      <alignment horizontal="center" vertical="center" wrapText="1"/>
    </xf>
    <xf numFmtId="169" fontId="1" fillId="2" borderId="3" xfId="0" applyNumberFormat="1" applyFont="1" applyFill="1" applyBorder="1" applyAlignment="1">
      <alignment wrapText="1"/>
    </xf>
    <xf numFmtId="0" fontId="1" fillId="3" borderId="5" xfId="0" applyFont="1" applyFill="1" applyBorder="1" applyAlignment="1">
      <alignment horizontal="center" vertical="center" wrapText="1"/>
    </xf>
    <xf numFmtId="169" fontId="1" fillId="3" borderId="5" xfId="0" applyNumberFormat="1" applyFont="1" applyFill="1" applyBorder="1" applyAlignment="1">
      <alignment horizontal="center" vertical="center" wrapText="1"/>
    </xf>
    <xf numFmtId="169" fontId="1" fillId="3" borderId="6" xfId="0" applyNumberFormat="1" applyFont="1" applyFill="1" applyBorder="1" applyAlignment="1">
      <alignment wrapText="1"/>
    </xf>
    <xf numFmtId="0" fontId="1" fillId="10" borderId="5" xfId="0" applyFont="1" applyFill="1" applyBorder="1" applyAlignment="1">
      <alignment horizontal="center" vertical="center" wrapText="1"/>
    </xf>
    <xf numFmtId="169" fontId="1" fillId="10" borderId="5" xfId="0" applyNumberFormat="1" applyFont="1" applyFill="1" applyBorder="1" applyAlignment="1">
      <alignment horizontal="center" vertical="center" wrapText="1"/>
    </xf>
    <xf numFmtId="169" fontId="1" fillId="10" borderId="6" xfId="0" applyNumberFormat="1" applyFont="1" applyFill="1" applyBorder="1" applyAlignment="1">
      <alignment wrapText="1"/>
    </xf>
    <xf numFmtId="0" fontId="1" fillId="0" borderId="26" xfId="0" applyFont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10" borderId="16" xfId="0" applyFont="1" applyFill="1" applyBorder="1" applyAlignment="1">
      <alignment horizontal="center" wrapText="1"/>
    </xf>
    <xf numFmtId="0" fontId="1" fillId="10" borderId="31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169" fontId="1" fillId="5" borderId="1" xfId="0" applyNumberFormat="1" applyFont="1" applyFill="1" applyBorder="1" applyAlignment="1">
      <alignment horizontal="center" wrapText="1"/>
    </xf>
    <xf numFmtId="169" fontId="1" fillId="5" borderId="3" xfId="0" applyNumberFormat="1" applyFont="1" applyFill="1" applyBorder="1" applyAlignment="1">
      <alignment horizontal="center" vertical="center" wrapText="1"/>
    </xf>
    <xf numFmtId="169" fontId="1" fillId="2" borderId="1" xfId="0" applyNumberFormat="1" applyFont="1" applyFill="1" applyBorder="1" applyAlignment="1">
      <alignment horizontal="center" wrapText="1"/>
    </xf>
    <xf numFmtId="169" fontId="1" fillId="2" borderId="3" xfId="0" applyNumberFormat="1" applyFont="1" applyFill="1" applyBorder="1" applyAlignment="1">
      <alignment horizontal="center" vertical="center" wrapText="1"/>
    </xf>
    <xf numFmtId="169" fontId="1" fillId="3" borderId="16" xfId="0" applyNumberFormat="1" applyFont="1" applyFill="1" applyBorder="1" applyAlignment="1">
      <alignment horizontal="center" wrapText="1"/>
    </xf>
    <xf numFmtId="169" fontId="1" fillId="0" borderId="16" xfId="0" applyNumberFormat="1" applyFont="1" applyBorder="1" applyAlignment="1">
      <alignment horizontal="center" vertical="center" wrapText="1"/>
    </xf>
    <xf numFmtId="169" fontId="1" fillId="0" borderId="31" xfId="0" applyNumberFormat="1" applyFont="1" applyBorder="1" applyAlignment="1">
      <alignment horizontal="center" vertical="center" wrapText="1"/>
    </xf>
    <xf numFmtId="169" fontId="1" fillId="10" borderId="5" xfId="0" applyNumberFormat="1" applyFont="1" applyFill="1" applyBorder="1" applyAlignment="1">
      <alignment horizontal="center" wrapText="1"/>
    </xf>
    <xf numFmtId="169" fontId="1" fillId="10" borderId="6" xfId="0" applyNumberFormat="1" applyFont="1" applyFill="1" applyBorder="1" applyAlignment="1">
      <alignment horizontal="center" vertical="center" wrapText="1"/>
    </xf>
    <xf numFmtId="169" fontId="1" fillId="3" borderId="5" xfId="0" applyNumberFormat="1" applyFont="1" applyFill="1" applyBorder="1" applyAlignment="1">
      <alignment horizontal="center" wrapText="1"/>
    </xf>
    <xf numFmtId="169" fontId="1" fillId="0" borderId="5" xfId="0" applyNumberFormat="1" applyFont="1" applyBorder="1" applyAlignment="1">
      <alignment horizontal="center" vertical="center" wrapText="1"/>
    </xf>
    <xf numFmtId="169" fontId="1" fillId="0" borderId="6" xfId="0" applyNumberFormat="1" applyFont="1" applyBorder="1" applyAlignment="1">
      <alignment horizontal="center" vertical="center" wrapText="1"/>
    </xf>
    <xf numFmtId="49" fontId="17" fillId="3" borderId="1" xfId="3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 readingOrder="1"/>
    </xf>
    <xf numFmtId="169" fontId="16" fillId="3" borderId="1" xfId="0" applyNumberFormat="1" applyFont="1" applyFill="1" applyBorder="1" applyAlignment="1">
      <alignment horizontal="center" vertical="center" wrapText="1" readingOrder="1"/>
    </xf>
    <xf numFmtId="2" fontId="15" fillId="3" borderId="1" xfId="17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 readingOrder="1"/>
    </xf>
    <xf numFmtId="166" fontId="1" fillId="3" borderId="1" xfId="0" applyNumberFormat="1" applyFont="1" applyFill="1" applyBorder="1" applyAlignment="1">
      <alignment horizontal="center" vertical="center"/>
    </xf>
    <xf numFmtId="1" fontId="15" fillId="3" borderId="1" xfId="21" applyNumberFormat="1" applyFont="1" applyFill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horizontal="center"/>
    </xf>
    <xf numFmtId="49" fontId="17" fillId="5" borderId="1" xfId="3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 readingOrder="1"/>
    </xf>
    <xf numFmtId="0" fontId="15" fillId="5" borderId="1" xfId="0" applyFont="1" applyFill="1" applyBorder="1" applyAlignment="1">
      <alignment horizontal="center" vertical="center"/>
    </xf>
    <xf numFmtId="1" fontId="15" fillId="5" borderId="1" xfId="21" applyNumberFormat="1" applyFont="1" applyFill="1" applyBorder="1" applyAlignment="1">
      <alignment horizontal="center" vertical="center" wrapText="1" readingOrder="1"/>
    </xf>
    <xf numFmtId="169" fontId="16" fillId="5" borderId="1" xfId="0" applyNumberFormat="1" applyFont="1" applyFill="1" applyBorder="1" applyAlignment="1">
      <alignment horizontal="center" vertical="center" wrapText="1" readingOrder="1"/>
    </xf>
    <xf numFmtId="10" fontId="1" fillId="5" borderId="1" xfId="0" applyNumberFormat="1" applyFont="1" applyFill="1" applyBorder="1" applyAlignment="1">
      <alignment horizontal="center"/>
    </xf>
    <xf numFmtId="166" fontId="1" fillId="5" borderId="1" xfId="0" applyNumberFormat="1" applyFont="1" applyFill="1" applyBorder="1" applyAlignment="1">
      <alignment horizontal="center"/>
    </xf>
    <xf numFmtId="14" fontId="1" fillId="5" borderId="1" xfId="4" applyNumberFormat="1" applyFont="1" applyFill="1" applyBorder="1" applyAlignment="1">
      <alignment horizontal="center" vertical="center"/>
    </xf>
    <xf numFmtId="0" fontId="1" fillId="5" borderId="1" xfId="4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 vertical="center" wrapText="1" readingOrder="1"/>
    </xf>
    <xf numFmtId="0" fontId="1" fillId="3" borderId="0" xfId="0" applyFont="1" applyFill="1"/>
    <xf numFmtId="0" fontId="1" fillId="3" borderId="0" xfId="0" applyFont="1" applyFill="1" applyAlignment="1">
      <alignment wrapText="1"/>
    </xf>
    <xf numFmtId="169" fontId="1" fillId="0" borderId="16" xfId="0" applyNumberFormat="1" applyFont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 vertical="top"/>
    </xf>
    <xf numFmtId="49" fontId="7" fillId="3" borderId="1" xfId="3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5" borderId="1" xfId="5" applyFont="1" applyFill="1" applyBorder="1" applyAlignment="1">
      <alignment horizontal="center" vertical="center"/>
    </xf>
    <xf numFmtId="14" fontId="1" fillId="5" borderId="1" xfId="5" applyNumberFormat="1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 wrapText="1" readingOrder="1"/>
    </xf>
    <xf numFmtId="169" fontId="1" fillId="5" borderId="1" xfId="0" applyNumberFormat="1" applyFont="1" applyFill="1" applyBorder="1" applyAlignment="1">
      <alignment horizontal="center"/>
    </xf>
    <xf numFmtId="0" fontId="18" fillId="11" borderId="11" xfId="0" applyFont="1" applyFill="1" applyBorder="1" applyAlignment="1">
      <alignment horizontal="center" wrapText="1"/>
    </xf>
    <xf numFmtId="169" fontId="18" fillId="11" borderId="11" xfId="0" applyNumberFormat="1" applyFont="1" applyFill="1" applyBorder="1" applyAlignment="1">
      <alignment horizontal="center" wrapText="1"/>
    </xf>
    <xf numFmtId="169" fontId="18" fillId="11" borderId="12" xfId="0" applyNumberFormat="1" applyFont="1" applyFill="1" applyBorder="1" applyAlignment="1">
      <alignment horizontal="center" wrapText="1"/>
    </xf>
    <xf numFmtId="173" fontId="8" fillId="4" borderId="1" xfId="0" applyNumberFormat="1" applyFont="1" applyFill="1" applyBorder="1" applyAlignment="1">
      <alignment horizontal="center" vertical="center" wrapText="1"/>
    </xf>
    <xf numFmtId="171" fontId="8" fillId="4" borderId="1" xfId="1" applyNumberFormat="1" applyFont="1" applyFill="1" applyBorder="1" applyAlignment="1">
      <alignment horizontal="center" vertical="center" wrapText="1"/>
    </xf>
    <xf numFmtId="171" fontId="1" fillId="5" borderId="1" xfId="1" applyNumberFormat="1" applyFont="1" applyFill="1" applyBorder="1" applyAlignment="1">
      <alignment horizontal="center"/>
    </xf>
    <xf numFmtId="171" fontId="1" fillId="3" borderId="0" xfId="1" applyNumberFormat="1" applyFont="1" applyFill="1" applyAlignment="1">
      <alignment horizontal="center"/>
    </xf>
    <xf numFmtId="171" fontId="1" fillId="3" borderId="0" xfId="1" applyNumberFormat="1" applyFont="1" applyFill="1"/>
    <xf numFmtId="171" fontId="1" fillId="0" borderId="0" xfId="1" applyNumberFormat="1" applyFont="1"/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4" applyFont="1" applyFill="1" applyBorder="1" applyAlignment="1">
      <alignment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9" fontId="1" fillId="0" borderId="1" xfId="0" applyNumberFormat="1" applyFont="1" applyBorder="1" applyAlignment="1">
      <alignment horizontal="center"/>
    </xf>
    <xf numFmtId="0" fontId="1" fillId="3" borderId="1" xfId="5" applyFont="1" applyFill="1" applyBorder="1" applyAlignment="1">
      <alignment horizontal="center" vertical="center"/>
    </xf>
    <xf numFmtId="0" fontId="1" fillId="5" borderId="1" xfId="4" applyFont="1" applyFill="1" applyBorder="1" applyAlignment="1">
      <alignment horizontal="center" vertical="center"/>
    </xf>
    <xf numFmtId="0" fontId="1" fillId="5" borderId="1" xfId="4" applyFont="1" applyFill="1" applyBorder="1"/>
    <xf numFmtId="0" fontId="1" fillId="5" borderId="1" xfId="5" applyFont="1" applyFill="1" applyBorder="1"/>
    <xf numFmtId="14" fontId="1" fillId="5" borderId="1" xfId="4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wrapText="1"/>
    </xf>
    <xf numFmtId="173" fontId="1" fillId="5" borderId="1" xfId="0" applyNumberFormat="1" applyFont="1" applyFill="1" applyBorder="1" applyAlignment="1">
      <alignment wrapText="1"/>
    </xf>
    <xf numFmtId="166" fontId="1" fillId="5" borderId="1" xfId="0" applyNumberFormat="1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 readingOrder="2"/>
    </xf>
    <xf numFmtId="9" fontId="1" fillId="5" borderId="1" xfId="0" applyNumberFormat="1" applyFont="1" applyFill="1" applyBorder="1" applyAlignment="1">
      <alignment wrapText="1"/>
    </xf>
    <xf numFmtId="0" fontId="1" fillId="5" borderId="0" xfId="0" applyFont="1" applyFill="1" applyAlignment="1">
      <alignment wrapText="1"/>
    </xf>
    <xf numFmtId="173" fontId="1" fillId="11" borderId="0" xfId="0" applyNumberFormat="1" applyFont="1" applyFill="1" applyAlignment="1">
      <alignment wrapText="1"/>
    </xf>
    <xf numFmtId="173" fontId="1" fillId="0" borderId="0" xfId="0" applyNumberFormat="1" applyFont="1" applyAlignment="1">
      <alignment wrapText="1"/>
    </xf>
    <xf numFmtId="0" fontId="1" fillId="0" borderId="10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1" fillId="5" borderId="8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3" borderId="12" xfId="0" applyFont="1" applyFill="1" applyBorder="1" applyAlignment="1">
      <alignment horizontal="center" wrapText="1"/>
    </xf>
    <xf numFmtId="0" fontId="1" fillId="0" borderId="22" xfId="0" applyFont="1" applyBorder="1" applyAlignment="1">
      <alignment horizontal="center" wrapText="1"/>
    </xf>
    <xf numFmtId="169" fontId="8" fillId="4" borderId="1" xfId="0" applyNumberFormat="1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169" fontId="1" fillId="0" borderId="3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3" borderId="14" xfId="0" applyFont="1" applyFill="1" applyBorder="1" applyAlignment="1">
      <alignment horizontal="center"/>
    </xf>
    <xf numFmtId="2" fontId="13" fillId="3" borderId="1" xfId="0" applyNumberFormat="1" applyFont="1" applyFill="1" applyBorder="1" applyAlignment="1">
      <alignment horizontal="center" wrapText="1" readingOrder="1"/>
    </xf>
    <xf numFmtId="2" fontId="13" fillId="3" borderId="1" xfId="13" applyNumberFormat="1" applyFont="1" applyFill="1" applyBorder="1" applyAlignment="1">
      <alignment horizontal="center" wrapText="1" readingOrder="1"/>
    </xf>
    <xf numFmtId="2" fontId="13" fillId="3" borderId="1" xfId="17" applyNumberFormat="1" applyFill="1" applyBorder="1" applyAlignment="1">
      <alignment horizontal="center"/>
    </xf>
    <xf numFmtId="172" fontId="1" fillId="11" borderId="0" xfId="1" applyNumberFormat="1" applyFont="1" applyFill="1" applyAlignment="1">
      <alignment horizontal="center"/>
    </xf>
    <xf numFmtId="172" fontId="1" fillId="0" borderId="0" xfId="1" applyNumberFormat="1" applyFont="1" applyAlignment="1">
      <alignment horizontal="center"/>
    </xf>
    <xf numFmtId="169" fontId="1" fillId="5" borderId="3" xfId="0" applyNumberFormat="1" applyFont="1" applyFill="1" applyBorder="1" applyAlignment="1">
      <alignment horizontal="center" wrapText="1"/>
    </xf>
    <xf numFmtId="169" fontId="1" fillId="3" borderId="1" xfId="0" applyNumberFormat="1" applyFont="1" applyFill="1" applyBorder="1" applyAlignment="1">
      <alignment horizontal="center" wrapText="1"/>
    </xf>
    <xf numFmtId="169" fontId="1" fillId="10" borderId="16" xfId="0" applyNumberFormat="1" applyFont="1" applyFill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3" borderId="14" xfId="0" applyFont="1" applyFill="1" applyBorder="1" applyAlignment="1">
      <alignment horizontal="center" wrapText="1"/>
    </xf>
    <xf numFmtId="0" fontId="1" fillId="10" borderId="34" xfId="0" applyFont="1" applyFill="1" applyBorder="1" applyAlignment="1">
      <alignment horizontal="center" wrapText="1"/>
    </xf>
    <xf numFmtId="0" fontId="1" fillId="5" borderId="14" xfId="0" applyFont="1" applyFill="1" applyBorder="1" applyAlignment="1">
      <alignment horizontal="center" wrapText="1"/>
    </xf>
    <xf numFmtId="169" fontId="1" fillId="2" borderId="3" xfId="0" applyNumberFormat="1" applyFont="1" applyFill="1" applyBorder="1" applyAlignment="1">
      <alignment horizontal="center" wrapText="1"/>
    </xf>
    <xf numFmtId="169" fontId="1" fillId="0" borderId="16" xfId="0" applyNumberFormat="1" applyFont="1" applyBorder="1" applyAlignment="1">
      <alignment horizontal="center" wrapText="1"/>
    </xf>
    <xf numFmtId="169" fontId="1" fillId="0" borderId="34" xfId="0" applyNumberFormat="1" applyFont="1" applyBorder="1" applyAlignment="1">
      <alignment horizontal="center" wrapText="1"/>
    </xf>
    <xf numFmtId="169" fontId="1" fillId="0" borderId="31" xfId="0" applyNumberFormat="1" applyFont="1" applyBorder="1" applyAlignment="1">
      <alignment horizontal="center" wrapText="1"/>
    </xf>
    <xf numFmtId="169" fontId="1" fillId="10" borderId="15" xfId="0" applyNumberFormat="1" applyFont="1" applyFill="1" applyBorder="1" applyAlignment="1">
      <alignment horizontal="center" wrapText="1"/>
    </xf>
    <xf numFmtId="169" fontId="1" fillId="10" borderId="6" xfId="0" applyNumberFormat="1" applyFont="1" applyFill="1" applyBorder="1" applyAlignment="1">
      <alignment horizontal="center" wrapText="1"/>
    </xf>
    <xf numFmtId="169" fontId="1" fillId="0" borderId="5" xfId="0" applyNumberFormat="1" applyFont="1" applyBorder="1" applyAlignment="1">
      <alignment horizontal="center" wrapText="1"/>
    </xf>
    <xf numFmtId="169" fontId="1" fillId="0" borderId="6" xfId="0" applyNumberFormat="1" applyFont="1" applyBorder="1" applyAlignment="1">
      <alignment horizontal="center" wrapText="1"/>
    </xf>
    <xf numFmtId="1" fontId="1" fillId="0" borderId="5" xfId="0" applyNumberFormat="1" applyFont="1" applyBorder="1" applyAlignment="1">
      <alignment horizontal="center" wrapText="1"/>
    </xf>
    <xf numFmtId="2" fontId="1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170" fontId="1" fillId="3" borderId="1" xfId="0" applyNumberFormat="1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169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2" fontId="1" fillId="11" borderId="0" xfId="1" applyNumberFormat="1" applyFont="1" applyFill="1" applyAlignment="1">
      <alignment horizontal="center" vertical="center"/>
    </xf>
    <xf numFmtId="172" fontId="1" fillId="0" borderId="0" xfId="1" applyNumberFormat="1" applyFont="1" applyAlignment="1">
      <alignment horizontal="center" vertical="center"/>
    </xf>
    <xf numFmtId="169" fontId="1" fillId="0" borderId="0" xfId="0" applyNumberFormat="1" applyFont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/>
    </xf>
    <xf numFmtId="169" fontId="1" fillId="3" borderId="1" xfId="0" applyNumberFormat="1" applyFont="1" applyFill="1" applyBorder="1" applyAlignment="1">
      <alignment horizontal="center" vertical="center" wrapText="1"/>
    </xf>
    <xf numFmtId="169" fontId="1" fillId="3" borderId="3" xfId="0" applyNumberFormat="1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169" fontId="1" fillId="10" borderId="16" xfId="0" applyNumberFormat="1" applyFont="1" applyFill="1" applyBorder="1" applyAlignment="1">
      <alignment horizontal="center" vertical="center" wrapText="1"/>
    </xf>
    <xf numFmtId="169" fontId="1" fillId="10" borderId="31" xfId="0" applyNumberFormat="1" applyFont="1" applyFill="1" applyBorder="1" applyAlignment="1">
      <alignment horizontal="center" vertical="center" wrapText="1"/>
    </xf>
    <xf numFmtId="0" fontId="18" fillId="11" borderId="11" xfId="0" applyFont="1" applyFill="1" applyBorder="1" applyAlignment="1">
      <alignment horizontal="center" vertical="center" wrapText="1"/>
    </xf>
    <xf numFmtId="169" fontId="18" fillId="11" borderId="11" xfId="0" applyNumberFormat="1" applyFont="1" applyFill="1" applyBorder="1" applyAlignment="1">
      <alignment horizontal="center" vertical="center" wrapText="1"/>
    </xf>
    <xf numFmtId="169" fontId="18" fillId="11" borderId="12" xfId="0" applyNumberFormat="1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10" borderId="34" xfId="0" applyFont="1" applyFill="1" applyBorder="1" applyAlignment="1">
      <alignment horizontal="center" vertical="center" wrapText="1"/>
    </xf>
    <xf numFmtId="0" fontId="1" fillId="10" borderId="3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 vertical="center" wrapText="1"/>
    </xf>
    <xf numFmtId="169" fontId="1" fillId="0" borderId="34" xfId="0" applyNumberFormat="1" applyFont="1" applyBorder="1" applyAlignment="1">
      <alignment horizontal="center" vertical="center" wrapText="1"/>
    </xf>
    <xf numFmtId="169" fontId="1" fillId="10" borderId="15" xfId="0" applyNumberFormat="1" applyFont="1" applyFill="1" applyBorder="1" applyAlignment="1">
      <alignment horizontal="center" vertical="center" wrapText="1"/>
    </xf>
    <xf numFmtId="0" fontId="1" fillId="10" borderId="15" xfId="0" applyFont="1" applyFill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2" fontId="1" fillId="11" borderId="0" xfId="0" applyNumberFormat="1" applyFont="1" applyFill="1" applyAlignment="1">
      <alignment horizontal="center" vertical="center"/>
    </xf>
    <xf numFmtId="169" fontId="1" fillId="11" borderId="0" xfId="0" applyNumberFormat="1" applyFont="1" applyFill="1" applyAlignment="1">
      <alignment horizontal="center" vertical="center"/>
    </xf>
    <xf numFmtId="171" fontId="1" fillId="3" borderId="1" xfId="1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169" fontId="23" fillId="3" borderId="1" xfId="0" applyNumberFormat="1" applyFont="1" applyFill="1" applyBorder="1" applyAlignment="1">
      <alignment horizontal="center" vertical="center"/>
    </xf>
    <xf numFmtId="169" fontId="1" fillId="0" borderId="15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5" fillId="5" borderId="8" xfId="21" applyNumberFormat="1" applyFont="1" applyFill="1" applyBorder="1" applyAlignment="1">
      <alignment horizontal="center" vertical="center" wrapText="1" readingOrder="1"/>
    </xf>
    <xf numFmtId="169" fontId="1" fillId="10" borderId="31" xfId="0" applyNumberFormat="1" applyFont="1" applyFill="1" applyBorder="1" applyAlignment="1">
      <alignment horizontal="center" wrapText="1"/>
    </xf>
    <xf numFmtId="10" fontId="1" fillId="3" borderId="0" xfId="0" applyNumberFormat="1" applyFont="1" applyFill="1" applyAlignment="1">
      <alignment horizontal="center"/>
    </xf>
    <xf numFmtId="3" fontId="1" fillId="11" borderId="1" xfId="7" applyNumberFormat="1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center" wrapText="1"/>
    </xf>
    <xf numFmtId="1" fontId="1" fillId="10" borderId="16" xfId="0" applyNumberFormat="1" applyFont="1" applyFill="1" applyBorder="1" applyAlignment="1">
      <alignment horizontal="center" wrapText="1"/>
    </xf>
    <xf numFmtId="1" fontId="1" fillId="3" borderId="5" xfId="0" applyNumberFormat="1" applyFont="1" applyFill="1" applyBorder="1" applyAlignment="1">
      <alignment horizontal="center" wrapText="1"/>
    </xf>
    <xf numFmtId="169" fontId="1" fillId="3" borderId="3" xfId="0" applyNumberFormat="1" applyFont="1" applyFill="1" applyBorder="1" applyAlignment="1">
      <alignment horizontal="center" wrapText="1"/>
    </xf>
    <xf numFmtId="1" fontId="1" fillId="5" borderId="3" xfId="0" applyNumberFormat="1" applyFont="1" applyFill="1" applyBorder="1" applyAlignment="1">
      <alignment horizontal="center" wrapText="1"/>
    </xf>
    <xf numFmtId="1" fontId="1" fillId="2" borderId="3" xfId="0" applyNumberFormat="1" applyFont="1" applyFill="1" applyBorder="1" applyAlignment="1">
      <alignment horizontal="center" wrapText="1"/>
    </xf>
    <xf numFmtId="1" fontId="1" fillId="3" borderId="3" xfId="0" applyNumberFormat="1" applyFont="1" applyFill="1" applyBorder="1" applyAlignment="1">
      <alignment horizontal="center" wrapText="1"/>
    </xf>
    <xf numFmtId="1" fontId="1" fillId="10" borderId="31" xfId="0" applyNumberFormat="1" applyFont="1" applyFill="1" applyBorder="1" applyAlignment="1">
      <alignment horizontal="center" wrapText="1"/>
    </xf>
    <xf numFmtId="1" fontId="1" fillId="0" borderId="6" xfId="0" applyNumberFormat="1" applyFont="1" applyBorder="1" applyAlignment="1">
      <alignment horizontal="center" wrapText="1"/>
    </xf>
    <xf numFmtId="169" fontId="1" fillId="5" borderId="14" xfId="0" applyNumberFormat="1" applyFont="1" applyFill="1" applyBorder="1" applyAlignment="1">
      <alignment horizontal="center" wrapText="1"/>
    </xf>
    <xf numFmtId="169" fontId="1" fillId="2" borderId="14" xfId="0" applyNumberFormat="1" applyFont="1" applyFill="1" applyBorder="1" applyAlignment="1">
      <alignment horizontal="center" wrapText="1"/>
    </xf>
    <xf numFmtId="169" fontId="1" fillId="0" borderId="15" xfId="0" applyNumberFormat="1" applyFont="1" applyBorder="1" applyAlignment="1">
      <alignment horizontal="center" wrapText="1"/>
    </xf>
    <xf numFmtId="1" fontId="1" fillId="5" borderId="14" xfId="0" applyNumberFormat="1" applyFont="1" applyFill="1" applyBorder="1" applyAlignment="1">
      <alignment horizontal="center" wrapText="1"/>
    </xf>
    <xf numFmtId="1" fontId="1" fillId="2" borderId="14" xfId="0" applyNumberFormat="1" applyFont="1" applyFill="1" applyBorder="1" applyAlignment="1">
      <alignment horizontal="center" wrapText="1"/>
    </xf>
    <xf numFmtId="1" fontId="1" fillId="0" borderId="15" xfId="0" applyNumberFormat="1" applyFont="1" applyBorder="1" applyAlignment="1">
      <alignment horizontal="center" wrapText="1"/>
    </xf>
    <xf numFmtId="1" fontId="1" fillId="10" borderId="5" xfId="0" applyNumberFormat="1" applyFont="1" applyFill="1" applyBorder="1" applyAlignment="1">
      <alignment horizontal="center" wrapText="1"/>
    </xf>
    <xf numFmtId="1" fontId="1" fillId="10" borderId="15" xfId="0" applyNumberFormat="1" applyFont="1" applyFill="1" applyBorder="1" applyAlignment="1">
      <alignment horizontal="center" wrapText="1"/>
    </xf>
    <xf numFmtId="1" fontId="1" fillId="10" borderId="6" xfId="0" applyNumberFormat="1" applyFont="1" applyFill="1" applyBorder="1" applyAlignment="1">
      <alignment horizontal="center" wrapText="1"/>
    </xf>
    <xf numFmtId="14" fontId="1" fillId="10" borderId="1" xfId="0" applyNumberFormat="1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5" borderId="1" xfId="0" applyNumberFormat="1" applyFont="1" applyFill="1" applyBorder="1" applyAlignment="1">
      <alignment horizontal="center" vertical="center" wrapText="1"/>
    </xf>
    <xf numFmtId="1" fontId="1" fillId="5" borderId="14" xfId="0" applyNumberFormat="1" applyFont="1" applyFill="1" applyBorder="1" applyAlignment="1">
      <alignment horizontal="center" vertical="center" wrapText="1"/>
    </xf>
    <xf numFmtId="1" fontId="1" fillId="5" borderId="3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14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10" borderId="5" xfId="0" applyNumberFormat="1" applyFont="1" applyFill="1" applyBorder="1" applyAlignment="1">
      <alignment horizontal="center" vertical="center" wrapText="1"/>
    </xf>
    <xf numFmtId="1" fontId="1" fillId="10" borderId="15" xfId="0" applyNumberFormat="1" applyFont="1" applyFill="1" applyBorder="1" applyAlignment="1">
      <alignment horizontal="center" vertical="center" wrapText="1"/>
    </xf>
    <xf numFmtId="1" fontId="1" fillId="10" borderId="6" xfId="0" applyNumberFormat="1" applyFont="1" applyFill="1" applyBorder="1" applyAlignment="1">
      <alignment horizontal="center" vertical="center" wrapText="1"/>
    </xf>
    <xf numFmtId="0" fontId="22" fillId="5" borderId="36" xfId="0" applyFont="1" applyFill="1" applyBorder="1" applyAlignment="1">
      <alignment horizontal="center" vertical="center" wrapText="1"/>
    </xf>
    <xf numFmtId="0" fontId="21" fillId="5" borderId="36" xfId="0" applyFont="1" applyFill="1" applyBorder="1" applyAlignment="1">
      <alignment horizontal="center" vertical="center" wrapText="1"/>
    </xf>
    <xf numFmtId="0" fontId="21" fillId="5" borderId="35" xfId="0" applyFont="1" applyFill="1" applyBorder="1" applyAlignment="1">
      <alignment horizontal="center" vertical="center" wrapText="1"/>
    </xf>
    <xf numFmtId="2" fontId="21" fillId="5" borderId="38" xfId="0" applyNumberFormat="1" applyFont="1" applyFill="1" applyBorder="1" applyAlignment="1">
      <alignment horizontal="center" vertical="center" wrapText="1"/>
    </xf>
    <xf numFmtId="170" fontId="1" fillId="5" borderId="1" xfId="0" applyNumberFormat="1" applyFont="1" applyFill="1" applyBorder="1" applyAlignment="1">
      <alignment horizontal="center" vertical="center"/>
    </xf>
    <xf numFmtId="169" fontId="23" fillId="5" borderId="1" xfId="0" applyNumberFormat="1" applyFont="1" applyFill="1" applyBorder="1" applyAlignment="1">
      <alignment horizontal="center" vertical="center"/>
    </xf>
    <xf numFmtId="10" fontId="1" fillId="5" borderId="1" xfId="0" applyNumberFormat="1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9" fontId="1" fillId="5" borderId="1" xfId="0" applyNumberFormat="1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/>
    </xf>
    <xf numFmtId="169" fontId="1" fillId="0" borderId="0" xfId="0" applyNumberFormat="1" applyFont="1" applyAlignment="1">
      <alignment horizontal="center" wrapText="1"/>
    </xf>
    <xf numFmtId="16" fontId="1" fillId="5" borderId="1" xfId="0" applyNumberFormat="1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 wrapText="1"/>
    </xf>
    <xf numFmtId="14" fontId="1" fillId="11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" fontId="14" fillId="3" borderId="1" xfId="17" applyNumberFormat="1" applyFont="1" applyFill="1" applyBorder="1" applyAlignment="1">
      <alignment horizontal="center" vertical="center"/>
    </xf>
    <xf numFmtId="174" fontId="28" fillId="3" borderId="26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 wrapText="1" readingOrder="1"/>
    </xf>
    <xf numFmtId="1" fontId="27" fillId="3" borderId="1" xfId="0" applyNumberFormat="1" applyFont="1" applyFill="1" applyBorder="1" applyAlignment="1">
      <alignment horizontal="center" vertical="center" wrapText="1" readingOrder="1"/>
    </xf>
    <xf numFmtId="1" fontId="27" fillId="3" borderId="1" xfId="13" applyNumberFormat="1" applyFont="1" applyFill="1" applyBorder="1" applyAlignment="1">
      <alignment horizontal="center" vertical="center" wrapText="1" readingOrder="1"/>
    </xf>
    <xf numFmtId="0" fontId="0" fillId="3" borderId="0" xfId="0" applyFill="1"/>
    <xf numFmtId="169" fontId="1" fillId="13" borderId="1" xfId="0" applyNumberFormat="1" applyFont="1" applyFill="1" applyBorder="1" applyAlignment="1">
      <alignment horizontal="center"/>
    </xf>
    <xf numFmtId="169" fontId="15" fillId="3" borderId="1" xfId="0" applyNumberFormat="1" applyFont="1" applyFill="1" applyBorder="1" applyAlignment="1">
      <alignment horizontal="center"/>
    </xf>
    <xf numFmtId="169" fontId="1" fillId="3" borderId="0" xfId="0" applyNumberFormat="1" applyFont="1" applyFill="1"/>
    <xf numFmtId="0" fontId="27" fillId="5" borderId="1" xfId="0" applyFont="1" applyFill="1" applyBorder="1" applyAlignment="1">
      <alignment horizontal="center" vertical="center" wrapText="1" readingOrder="1"/>
    </xf>
    <xf numFmtId="1" fontId="27" fillId="5" borderId="1" xfId="0" applyNumberFormat="1" applyFont="1" applyFill="1" applyBorder="1" applyAlignment="1">
      <alignment horizontal="center" vertical="center" wrapText="1" readingOrder="1"/>
    </xf>
    <xf numFmtId="1" fontId="27" fillId="5" borderId="1" xfId="13" applyNumberFormat="1" applyFont="1" applyFill="1" applyBorder="1" applyAlignment="1">
      <alignment horizontal="center" vertical="center" wrapText="1" readingOrder="1"/>
    </xf>
    <xf numFmtId="1" fontId="14" fillId="5" borderId="1" xfId="17" applyNumberFormat="1" applyFont="1" applyFill="1" applyBorder="1" applyAlignment="1">
      <alignment horizontal="center" vertical="center"/>
    </xf>
    <xf numFmtId="169" fontId="28" fillId="5" borderId="26" xfId="0" applyNumberFormat="1" applyFont="1" applyFill="1" applyBorder="1" applyAlignment="1">
      <alignment horizontal="center" vertical="center"/>
    </xf>
    <xf numFmtId="169" fontId="28" fillId="5" borderId="1" xfId="0" applyNumberFormat="1" applyFont="1" applyFill="1" applyBorder="1" applyAlignment="1">
      <alignment horizontal="center" vertical="center"/>
    </xf>
    <xf numFmtId="169" fontId="28" fillId="5" borderId="5" xfId="0" applyNumberFormat="1" applyFont="1" applyFill="1" applyBorder="1" applyAlignment="1">
      <alignment horizontal="center" vertical="center"/>
    </xf>
    <xf numFmtId="1" fontId="15" fillId="5" borderId="5" xfId="21" applyNumberFormat="1" applyFont="1" applyFill="1" applyBorder="1" applyAlignment="1">
      <alignment horizontal="center" vertical="center" wrapText="1" readingOrder="1"/>
    </xf>
    <xf numFmtId="0" fontId="1" fillId="10" borderId="1" xfId="0" applyFont="1" applyFill="1" applyBorder="1" applyAlignment="1">
      <alignment horizontal="center" vertical="center"/>
    </xf>
    <xf numFmtId="169" fontId="1" fillId="10" borderId="1" xfId="0" applyNumberFormat="1" applyFont="1" applyFill="1" applyBorder="1" applyAlignment="1">
      <alignment horizontal="center" vertical="center"/>
    </xf>
    <xf numFmtId="0" fontId="1" fillId="3" borderId="1" xfId="4" applyFont="1" applyFill="1" applyBorder="1"/>
    <xf numFmtId="169" fontId="1" fillId="0" borderId="0" xfId="0" applyNumberFormat="1" applyFont="1"/>
    <xf numFmtId="14" fontId="1" fillId="5" borderId="1" xfId="5" applyNumberFormat="1" applyFont="1" applyFill="1" applyBorder="1" applyAlignment="1">
      <alignment vertical="center"/>
    </xf>
    <xf numFmtId="9" fontId="1" fillId="5" borderId="1" xfId="0" applyNumberFormat="1" applyFont="1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 wrapText="1"/>
    </xf>
    <xf numFmtId="10" fontId="1" fillId="0" borderId="12" xfId="0" applyNumberFormat="1" applyFont="1" applyBorder="1" applyAlignment="1">
      <alignment horizontal="center" vertical="center"/>
    </xf>
    <xf numFmtId="166" fontId="8" fillId="4" borderId="1" xfId="0" applyNumberFormat="1" applyFont="1" applyFill="1" applyBorder="1" applyAlignment="1">
      <alignment horizontal="center" vertical="center" wrapText="1"/>
    </xf>
    <xf numFmtId="166" fontId="1" fillId="3" borderId="1" xfId="4" applyNumberFormat="1" applyFont="1" applyFill="1" applyBorder="1" applyAlignment="1">
      <alignment horizontal="center" vertical="center"/>
    </xf>
    <xf numFmtId="166" fontId="1" fillId="10" borderId="1" xfId="4" applyNumberFormat="1" applyFont="1" applyFill="1" applyBorder="1" applyAlignment="1">
      <alignment horizontal="center" vertical="center"/>
    </xf>
    <xf numFmtId="166" fontId="1" fillId="5" borderId="1" xfId="4" applyNumberFormat="1" applyFont="1" applyFill="1" applyBorder="1" applyAlignment="1">
      <alignment horizontal="center" vertical="center"/>
    </xf>
    <xf numFmtId="166" fontId="1" fillId="11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3" borderId="1" xfId="5" applyNumberFormat="1" applyFont="1" applyFill="1" applyBorder="1" applyAlignment="1">
      <alignment horizontal="center" vertical="center"/>
    </xf>
    <xf numFmtId="166" fontId="1" fillId="3" borderId="0" xfId="4" applyNumberFormat="1" applyFont="1" applyFill="1" applyBorder="1" applyAlignment="1">
      <alignment horizontal="center" vertical="center"/>
    </xf>
    <xf numFmtId="166" fontId="0" fillId="0" borderId="0" xfId="0" applyNumberFormat="1"/>
    <xf numFmtId="14" fontId="1" fillId="3" borderId="1" xfId="5" applyNumberFormat="1" applyFont="1" applyFill="1" applyBorder="1" applyAlignment="1">
      <alignment horizontal="center" vertical="center"/>
    </xf>
    <xf numFmtId="14" fontId="1" fillId="3" borderId="0" xfId="0" applyNumberFormat="1" applyFont="1" applyFill="1" applyAlignment="1">
      <alignment horizontal="center"/>
    </xf>
    <xf numFmtId="10" fontId="8" fillId="4" borderId="1" xfId="0" applyNumberFormat="1" applyFont="1" applyFill="1" applyBorder="1" applyAlignment="1">
      <alignment horizontal="center" vertical="center" wrapText="1"/>
    </xf>
    <xf numFmtId="169" fontId="1" fillId="5" borderId="1" xfId="0" applyNumberFormat="1" applyFont="1" applyFill="1" applyBorder="1" applyAlignment="1">
      <alignment horizontal="center" vertical="center" wrapText="1" readingOrder="1"/>
    </xf>
    <xf numFmtId="0" fontId="1" fillId="3" borderId="0" xfId="0" applyFont="1" applyFill="1" applyAlignment="1">
      <alignment vertical="center" wrapText="1"/>
    </xf>
    <xf numFmtId="169" fontId="23" fillId="5" borderId="14" xfId="0" applyNumberFormat="1" applyFont="1" applyFill="1" applyBorder="1" applyAlignment="1">
      <alignment horizontal="center" vertical="center"/>
    </xf>
    <xf numFmtId="166" fontId="1" fillId="5" borderId="1" xfId="5" applyNumberFormat="1" applyFont="1" applyFill="1" applyBorder="1" applyAlignment="1">
      <alignment horizontal="center" vertical="center"/>
    </xf>
    <xf numFmtId="166" fontId="1" fillId="5" borderId="1" xfId="4" applyNumberFormat="1" applyFont="1" applyFill="1" applyBorder="1" applyAlignment="1">
      <alignment horizontal="center"/>
    </xf>
    <xf numFmtId="166" fontId="1" fillId="5" borderId="1" xfId="5" applyNumberFormat="1" applyFont="1" applyFill="1" applyBorder="1" applyAlignment="1">
      <alignment vertical="center"/>
    </xf>
    <xf numFmtId="166" fontId="1" fillId="3" borderId="0" xfId="0" applyNumberFormat="1" applyFont="1" applyFill="1"/>
    <xf numFmtId="166" fontId="1" fillId="0" borderId="0" xfId="0" applyNumberFormat="1" applyFont="1"/>
    <xf numFmtId="0" fontId="1" fillId="5" borderId="1" xfId="5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wrapText="1"/>
    </xf>
    <xf numFmtId="0" fontId="22" fillId="5" borderId="1" xfId="0" applyFont="1" applyFill="1" applyBorder="1" applyAlignment="1">
      <alignment horizontal="center" wrapText="1"/>
    </xf>
    <xf numFmtId="169" fontId="0" fillId="3" borderId="0" xfId="0" applyNumberFormat="1" applyFill="1"/>
    <xf numFmtId="10" fontId="0" fillId="3" borderId="0" xfId="0" applyNumberFormat="1" applyFill="1"/>
    <xf numFmtId="166" fontId="0" fillId="3" borderId="0" xfId="0" applyNumberFormat="1" applyFill="1"/>
    <xf numFmtId="14" fontId="0" fillId="3" borderId="0" xfId="0" applyNumberFormat="1" applyFill="1"/>
    <xf numFmtId="0" fontId="0" fillId="3" borderId="0" xfId="0" applyFill="1" applyAlignment="1">
      <alignment horizontal="center"/>
    </xf>
    <xf numFmtId="169" fontId="16" fillId="10" borderId="1" xfId="0" applyNumberFormat="1" applyFont="1" applyFill="1" applyBorder="1" applyAlignment="1">
      <alignment horizontal="center" vertical="center" wrapText="1" readingOrder="1"/>
    </xf>
    <xf numFmtId="9" fontId="1" fillId="3" borderId="1" xfId="0" applyNumberFormat="1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172" fontId="1" fillId="3" borderId="0" xfId="1" applyNumberFormat="1" applyFont="1" applyFill="1" applyAlignment="1">
      <alignment horizontal="center" vertical="center"/>
    </xf>
    <xf numFmtId="169" fontId="1" fillId="3" borderId="0" xfId="0" applyNumberFormat="1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169" fontId="8" fillId="4" borderId="16" xfId="0" applyNumberFormat="1" applyFont="1" applyFill="1" applyBorder="1" applyAlignment="1">
      <alignment horizontal="center" vertical="center" wrapText="1"/>
    </xf>
    <xf numFmtId="14" fontId="8" fillId="4" borderId="16" xfId="0" applyNumberFormat="1" applyFont="1" applyFill="1" applyBorder="1" applyAlignment="1">
      <alignment horizontal="center" vertical="center" wrapText="1"/>
    </xf>
    <xf numFmtId="166" fontId="8" fillId="4" borderId="16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2" fontId="21" fillId="3" borderId="1" xfId="0" applyNumberFormat="1" applyFont="1" applyFill="1" applyBorder="1" applyAlignment="1">
      <alignment horizontal="center" vertical="center" wrapText="1"/>
    </xf>
    <xf numFmtId="1" fontId="21" fillId="3" borderId="1" xfId="0" applyNumberFormat="1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2" fontId="8" fillId="4" borderId="16" xfId="0" applyNumberFormat="1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10" borderId="6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6" fillId="10" borderId="1" xfId="0" applyFont="1" applyFill="1" applyBorder="1" applyAlignment="1">
      <alignment horizontal="center" vertical="center" wrapText="1" readingOrder="1"/>
    </xf>
    <xf numFmtId="9" fontId="1" fillId="10" borderId="1" xfId="0" applyNumberFormat="1" applyFont="1" applyFill="1" applyBorder="1" applyAlignment="1">
      <alignment horizontal="center"/>
    </xf>
    <xf numFmtId="0" fontId="1" fillId="10" borderId="0" xfId="0" applyFont="1" applyFill="1"/>
    <xf numFmtId="49" fontId="17" fillId="10" borderId="1" xfId="3" applyNumberFormat="1" applyFont="1" applyFill="1" applyBorder="1" applyAlignment="1">
      <alignment horizontal="center" vertical="center" wrapText="1"/>
    </xf>
    <xf numFmtId="0" fontId="32" fillId="5" borderId="26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2" fillId="5" borderId="5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/>
    </xf>
    <xf numFmtId="169" fontId="1" fillId="10" borderId="3" xfId="0" applyNumberFormat="1" applyFont="1" applyFill="1" applyBorder="1" applyAlignment="1">
      <alignment horizontal="center" wrapText="1"/>
    </xf>
    <xf numFmtId="0" fontId="32" fillId="3" borderId="1" xfId="0" applyFont="1" applyFill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" fontId="1" fillId="3" borderId="3" xfId="0" applyNumberFormat="1" applyFont="1" applyFill="1" applyBorder="1" applyAlignment="1">
      <alignment horizontal="center" vertical="center" wrapText="1"/>
    </xf>
    <xf numFmtId="1" fontId="1" fillId="10" borderId="3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171" fontId="8" fillId="4" borderId="1" xfId="1" applyNumberFormat="1" applyFont="1" applyFill="1" applyBorder="1" applyAlignment="1">
      <alignment horizontal="center" vertical="center"/>
    </xf>
    <xf numFmtId="166" fontId="8" fillId="4" borderId="1" xfId="0" applyNumberFormat="1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 readingOrder="1"/>
    </xf>
    <xf numFmtId="1" fontId="27" fillId="5" borderId="1" xfId="0" applyNumberFormat="1" applyFont="1" applyFill="1" applyBorder="1" applyAlignment="1">
      <alignment horizontal="center" vertical="center" readingOrder="1"/>
    </xf>
    <xf numFmtId="1" fontId="27" fillId="5" borderId="1" xfId="13" applyNumberFormat="1" applyFont="1" applyFill="1" applyBorder="1" applyAlignment="1">
      <alignment horizontal="center" vertical="center" readingOrder="1"/>
    </xf>
    <xf numFmtId="1" fontId="15" fillId="5" borderId="1" xfId="21" applyNumberFormat="1" applyFont="1" applyFill="1" applyBorder="1" applyAlignment="1">
      <alignment horizontal="center" vertical="center" readingOrder="1"/>
    </xf>
    <xf numFmtId="0" fontId="15" fillId="5" borderId="1" xfId="0" applyFont="1" applyFill="1" applyBorder="1" applyAlignment="1">
      <alignment horizontal="center" vertical="center" readingOrder="1"/>
    </xf>
    <xf numFmtId="169" fontId="29" fillId="5" borderId="1" xfId="0" applyNumberFormat="1" applyFont="1" applyFill="1" applyBorder="1" applyAlignment="1">
      <alignment horizontal="center" vertical="center" readingOrder="1"/>
    </xf>
    <xf numFmtId="169" fontId="1" fillId="5" borderId="1" xfId="0" applyNumberFormat="1" applyFont="1" applyFill="1" applyBorder="1" applyAlignment="1">
      <alignment horizontal="center" vertical="center" readingOrder="1"/>
    </xf>
    <xf numFmtId="0" fontId="1" fillId="11" borderId="11" xfId="0" applyFont="1" applyFill="1" applyBorder="1" applyAlignment="1">
      <alignment horizontal="center"/>
    </xf>
    <xf numFmtId="169" fontId="1" fillId="11" borderId="11" xfId="0" applyNumberFormat="1" applyFont="1" applyFill="1" applyBorder="1" applyAlignment="1">
      <alignment horizontal="center"/>
    </xf>
    <xf numFmtId="169" fontId="18" fillId="11" borderId="12" xfId="0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 vertical="center"/>
    </xf>
    <xf numFmtId="0" fontId="1" fillId="0" borderId="19" xfId="0" applyFont="1" applyBorder="1"/>
    <xf numFmtId="0" fontId="1" fillId="0" borderId="26" xfId="0" applyFont="1" applyBorder="1"/>
    <xf numFmtId="0" fontId="1" fillId="0" borderId="2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169" fontId="1" fillId="5" borderId="3" xfId="0" applyNumberFormat="1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 vertical="center"/>
    </xf>
    <xf numFmtId="169" fontId="1" fillId="2" borderId="3" xfId="0" applyNumberFormat="1" applyFont="1" applyFill="1" applyBorder="1"/>
    <xf numFmtId="0" fontId="1" fillId="3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169" fontId="1" fillId="3" borderId="5" xfId="0" applyNumberFormat="1" applyFont="1" applyFill="1" applyBorder="1" applyAlignment="1">
      <alignment horizontal="center" vertical="center"/>
    </xf>
    <xf numFmtId="169" fontId="1" fillId="3" borderId="6" xfId="0" applyNumberFormat="1" applyFont="1" applyFill="1" applyBorder="1"/>
    <xf numFmtId="0" fontId="1" fillId="10" borderId="5" xfId="0" applyFont="1" applyFill="1" applyBorder="1" applyAlignment="1">
      <alignment horizontal="center" vertical="center"/>
    </xf>
    <xf numFmtId="169" fontId="1" fillId="10" borderId="5" xfId="0" applyNumberFormat="1" applyFont="1" applyFill="1" applyBorder="1" applyAlignment="1">
      <alignment horizontal="center" vertical="center"/>
    </xf>
    <xf numFmtId="169" fontId="1" fillId="10" borderId="6" xfId="0" applyNumberFormat="1" applyFont="1" applyFill="1" applyBorder="1"/>
    <xf numFmtId="0" fontId="1" fillId="0" borderId="26" xfId="0" applyFont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10" borderId="16" xfId="0" applyFont="1" applyFill="1" applyBorder="1" applyAlignment="1">
      <alignment horizontal="center"/>
    </xf>
    <xf numFmtId="0" fontId="1" fillId="10" borderId="31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9" fontId="1" fillId="5" borderId="3" xfId="0" applyNumberFormat="1" applyFon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/>
    </xf>
    <xf numFmtId="169" fontId="1" fillId="2" borderId="3" xfId="0" applyNumberFormat="1" applyFont="1" applyFill="1" applyBorder="1" applyAlignment="1">
      <alignment horizontal="center" vertical="center"/>
    </xf>
    <xf numFmtId="169" fontId="1" fillId="3" borderId="16" xfId="0" applyNumberFormat="1" applyFont="1" applyFill="1" applyBorder="1" applyAlignment="1">
      <alignment horizontal="center"/>
    </xf>
    <xf numFmtId="169" fontId="1" fillId="10" borderId="5" xfId="0" applyNumberFormat="1" applyFont="1" applyFill="1" applyBorder="1" applyAlignment="1">
      <alignment horizontal="center"/>
    </xf>
    <xf numFmtId="169" fontId="1" fillId="10" borderId="6" xfId="0" applyNumberFormat="1" applyFont="1" applyFill="1" applyBorder="1" applyAlignment="1">
      <alignment horizontal="center" vertical="center"/>
    </xf>
    <xf numFmtId="169" fontId="1" fillId="3" borderId="5" xfId="0" applyNumberFormat="1" applyFont="1" applyFill="1" applyBorder="1" applyAlignment="1">
      <alignment horizontal="center"/>
    </xf>
    <xf numFmtId="169" fontId="1" fillId="0" borderId="5" xfId="0" applyNumberFormat="1" applyFont="1" applyBorder="1" applyAlignment="1">
      <alignment horizontal="center" vertical="center"/>
    </xf>
    <xf numFmtId="169" fontId="1" fillId="0" borderId="6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1" fontId="1" fillId="5" borderId="14" xfId="0" applyNumberFormat="1" applyFont="1" applyFill="1" applyBorder="1" applyAlignment="1">
      <alignment horizontal="center"/>
    </xf>
    <xf numFmtId="1" fontId="1" fillId="5" borderId="3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1" fillId="2" borderId="14" xfId="0" applyNumberFormat="1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3" xfId="0" applyNumberFormat="1" applyFont="1" applyFill="1" applyBorder="1" applyAlignment="1">
      <alignment horizontal="center"/>
    </xf>
    <xf numFmtId="1" fontId="1" fillId="10" borderId="16" xfId="0" applyNumberFormat="1" applyFont="1" applyFill="1" applyBorder="1" applyAlignment="1">
      <alignment horizontal="center"/>
    </xf>
    <xf numFmtId="1" fontId="1" fillId="10" borderId="34" xfId="0" applyNumberFormat="1" applyFont="1" applyFill="1" applyBorder="1" applyAlignment="1">
      <alignment horizontal="center"/>
    </xf>
    <xf numFmtId="1" fontId="1" fillId="10" borderId="31" xfId="0" applyNumberFormat="1" applyFont="1" applyFill="1" applyBorder="1" applyAlignment="1">
      <alignment horizontal="center"/>
    </xf>
    <xf numFmtId="1" fontId="1" fillId="3" borderId="5" xfId="0" applyNumberFormat="1" applyFont="1" applyFill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15" xfId="0" applyNumberFormat="1" applyFont="1" applyBorder="1" applyAlignment="1">
      <alignment horizontal="center"/>
    </xf>
    <xf numFmtId="166" fontId="1" fillId="5" borderId="1" xfId="4" applyNumberFormat="1" applyFont="1" applyFill="1" applyBorder="1" applyAlignment="1">
      <alignment horizontal="center" vertical="center" wrapText="1"/>
    </xf>
    <xf numFmtId="0" fontId="1" fillId="5" borderId="14" xfId="0" applyFont="1" applyFill="1" applyBorder="1" applyAlignment="1">
      <alignment horizontal="center"/>
    </xf>
    <xf numFmtId="0" fontId="1" fillId="10" borderId="34" xfId="0" applyFont="1" applyFill="1" applyBorder="1" applyAlignment="1">
      <alignment horizontal="center"/>
    </xf>
    <xf numFmtId="169" fontId="1" fillId="5" borderId="14" xfId="0" applyNumberFormat="1" applyFont="1" applyFill="1" applyBorder="1" applyAlignment="1">
      <alignment horizontal="center" vertical="center"/>
    </xf>
    <xf numFmtId="169" fontId="1" fillId="2" borderId="14" xfId="0" applyNumberFormat="1" applyFont="1" applyFill="1" applyBorder="1" applyAlignment="1">
      <alignment horizontal="center" vertical="center"/>
    </xf>
    <xf numFmtId="169" fontId="1" fillId="0" borderId="34" xfId="0" applyNumberFormat="1" applyFont="1" applyBorder="1" applyAlignment="1">
      <alignment horizontal="center" vertical="center"/>
    </xf>
    <xf numFmtId="169" fontId="1" fillId="10" borderId="15" xfId="0" applyNumberFormat="1" applyFont="1" applyFill="1" applyBorder="1" applyAlignment="1">
      <alignment horizontal="center" vertical="center"/>
    </xf>
    <xf numFmtId="169" fontId="1" fillId="0" borderId="15" xfId="0" applyNumberFormat="1" applyFont="1" applyBorder="1" applyAlignment="1">
      <alignment horizontal="center" vertical="center"/>
    </xf>
    <xf numFmtId="169" fontId="1" fillId="10" borderId="31" xfId="0" applyNumberFormat="1" applyFont="1" applyFill="1" applyBorder="1" applyAlignment="1">
      <alignment horizontal="center" vertical="center"/>
    </xf>
    <xf numFmtId="169" fontId="15" fillId="5" borderId="1" xfId="0" applyNumberFormat="1" applyFont="1" applyFill="1" applyBorder="1" applyAlignment="1">
      <alignment horizontal="center" vertical="center" wrapText="1" readingOrder="1"/>
    </xf>
    <xf numFmtId="2" fontId="21" fillId="5" borderId="35" xfId="0" applyNumberFormat="1" applyFont="1" applyFill="1" applyBorder="1" applyAlignment="1">
      <alignment horizontal="center" vertical="center" wrapText="1" readingOrder="1"/>
    </xf>
    <xf numFmtId="2" fontId="21" fillId="5" borderId="39" xfId="0" applyNumberFormat="1" applyFont="1" applyFill="1" applyBorder="1" applyAlignment="1">
      <alignment horizontal="center" vertical="center" wrapText="1"/>
    </xf>
    <xf numFmtId="0" fontId="1" fillId="5" borderId="0" xfId="0" applyFont="1" applyFill="1"/>
    <xf numFmtId="0" fontId="1" fillId="14" borderId="1" xfId="0" applyFont="1" applyFill="1" applyBorder="1" applyAlignment="1">
      <alignment horizontal="center"/>
    </xf>
    <xf numFmtId="166" fontId="1" fillId="14" borderId="14" xfId="6" applyNumberFormat="1" applyFont="1" applyFill="1" applyBorder="1" applyAlignment="1">
      <alignment horizontal="center" vertical="center"/>
    </xf>
    <xf numFmtId="0" fontId="19" fillId="15" borderId="14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1" fillId="14" borderId="24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169" fontId="1" fillId="14" borderId="1" xfId="0" applyNumberFormat="1" applyFont="1" applyFill="1" applyBorder="1" applyAlignment="1">
      <alignment horizontal="center"/>
    </xf>
    <xf numFmtId="169" fontId="1" fillId="14" borderId="1" xfId="4" applyNumberFormat="1" applyFont="1" applyFill="1" applyBorder="1" applyAlignment="1">
      <alignment horizontal="center"/>
    </xf>
    <xf numFmtId="166" fontId="1" fillId="14" borderId="1" xfId="0" applyNumberFormat="1" applyFont="1" applyFill="1" applyBorder="1" applyAlignment="1">
      <alignment horizontal="center"/>
    </xf>
    <xf numFmtId="14" fontId="1" fillId="14" borderId="1" xfId="4" applyNumberFormat="1" applyFont="1" applyFill="1" applyBorder="1" applyAlignment="1">
      <alignment horizontal="center" vertical="center"/>
    </xf>
    <xf numFmtId="0" fontId="1" fillId="14" borderId="1" xfId="4" applyFont="1" applyFill="1" applyBorder="1"/>
    <xf numFmtId="0" fontId="1" fillId="14" borderId="0" xfId="0" applyFont="1" applyFill="1" applyAlignment="1">
      <alignment horizontal="center"/>
    </xf>
    <xf numFmtId="166" fontId="1" fillId="14" borderId="14" xfId="4" applyNumberFormat="1" applyFont="1" applyFill="1" applyBorder="1" applyAlignment="1">
      <alignment horizontal="center" vertical="center"/>
    </xf>
    <xf numFmtId="0" fontId="1" fillId="14" borderId="24" xfId="4" applyFont="1" applyFill="1" applyBorder="1" applyAlignment="1">
      <alignment horizontal="center" vertical="center"/>
    </xf>
    <xf numFmtId="0" fontId="1" fillId="14" borderId="1" xfId="4" applyFont="1" applyFill="1" applyBorder="1" applyAlignment="1">
      <alignment horizontal="center" vertical="center"/>
    </xf>
    <xf numFmtId="0" fontId="1" fillId="14" borderId="1" xfId="4" applyFont="1" applyFill="1" applyBorder="1" applyAlignment="1">
      <alignment horizontal="center"/>
    </xf>
    <xf numFmtId="169" fontId="1" fillId="14" borderId="1" xfId="4" applyNumberFormat="1" applyFont="1" applyFill="1" applyBorder="1" applyAlignment="1">
      <alignment horizontal="center" vertical="center"/>
    </xf>
    <xf numFmtId="166" fontId="18" fillId="5" borderId="14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69" fontId="1" fillId="5" borderId="14" xfId="0" applyNumberFormat="1" applyFont="1" applyFill="1" applyBorder="1" applyAlignment="1">
      <alignment horizontal="center" vertical="center" wrapText="1"/>
    </xf>
    <xf numFmtId="166" fontId="1" fillId="14" borderId="14" xfId="0" applyNumberFormat="1" applyFont="1" applyFill="1" applyBorder="1" applyAlignment="1">
      <alignment horizontal="center" vertical="center"/>
    </xf>
    <xf numFmtId="14" fontId="1" fillId="14" borderId="1" xfId="4" applyNumberFormat="1" applyFont="1" applyFill="1" applyBorder="1" applyAlignment="1">
      <alignment horizontal="center"/>
    </xf>
    <xf numFmtId="0" fontId="1" fillId="14" borderId="24" xfId="7" applyFont="1" applyFill="1" applyBorder="1" applyAlignment="1">
      <alignment horizontal="center" vertical="center"/>
    </xf>
    <xf numFmtId="0" fontId="1" fillId="14" borderId="1" xfId="7" applyFont="1" applyFill="1" applyBorder="1" applyAlignment="1">
      <alignment horizontal="center" vertical="center"/>
    </xf>
    <xf numFmtId="0" fontId="1" fillId="14" borderId="1" xfId="7" applyFont="1" applyFill="1" applyBorder="1" applyAlignment="1">
      <alignment horizontal="center"/>
    </xf>
    <xf numFmtId="3" fontId="1" fillId="14" borderId="24" xfId="7" applyNumberFormat="1" applyFont="1" applyFill="1" applyBorder="1" applyAlignment="1">
      <alignment horizontal="center" vertical="center"/>
    </xf>
    <xf numFmtId="3" fontId="1" fillId="14" borderId="1" xfId="7" applyNumberFormat="1" applyFont="1" applyFill="1" applyBorder="1" applyAlignment="1">
      <alignment horizontal="center" vertical="center"/>
    </xf>
    <xf numFmtId="14" fontId="1" fillId="14" borderId="1" xfId="0" applyNumberFormat="1" applyFont="1" applyFill="1" applyBorder="1" applyAlignment="1">
      <alignment horizontal="center" vertical="center"/>
    </xf>
    <xf numFmtId="1" fontId="14" fillId="2" borderId="1" xfId="17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14" fontId="1" fillId="2" borderId="1" xfId="4" applyNumberFormat="1" applyFont="1" applyFill="1" applyBorder="1" applyAlignment="1">
      <alignment horizontal="center" vertical="center"/>
    </xf>
    <xf numFmtId="166" fontId="1" fillId="2" borderId="1" xfId="4" applyNumberFormat="1" applyFont="1" applyFill="1" applyBorder="1" applyAlignment="1">
      <alignment horizontal="center" vertical="center"/>
    </xf>
    <xf numFmtId="0" fontId="1" fillId="2" borderId="1" xfId="4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 wrapText="1" readingOrder="1"/>
    </xf>
    <xf numFmtId="169" fontId="1" fillId="14" borderId="1" xfId="5" applyNumberFormat="1" applyFont="1" applyFill="1" applyBorder="1" applyAlignment="1">
      <alignment horizontal="center"/>
    </xf>
    <xf numFmtId="14" fontId="1" fillId="14" borderId="1" xfId="5" applyNumberFormat="1" applyFont="1" applyFill="1" applyBorder="1" applyAlignment="1">
      <alignment horizontal="center" vertical="center"/>
    </xf>
    <xf numFmtId="0" fontId="1" fillId="14" borderId="1" xfId="5" applyFont="1" applyFill="1" applyBorder="1"/>
    <xf numFmtId="3" fontId="1" fillId="11" borderId="8" xfId="7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1" fontId="0" fillId="0" borderId="1" xfId="1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3" borderId="45" xfId="0" applyFont="1" applyFill="1" applyBorder="1"/>
    <xf numFmtId="2" fontId="1" fillId="5" borderId="3" xfId="0" applyNumberFormat="1" applyFont="1" applyFill="1" applyBorder="1" applyAlignment="1">
      <alignment horizontal="center" vertical="center"/>
    </xf>
    <xf numFmtId="2" fontId="1" fillId="2" borderId="3" xfId="0" applyNumberFormat="1" applyFont="1" applyFill="1" applyBorder="1" applyAlignment="1">
      <alignment horizontal="center" vertical="center"/>
    </xf>
    <xf numFmtId="2" fontId="1" fillId="10" borderId="6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1" fontId="1" fillId="0" borderId="6" xfId="0" applyNumberFormat="1" applyFont="1" applyBorder="1" applyAlignment="1">
      <alignment horizontal="center" vertical="center"/>
    </xf>
    <xf numFmtId="0" fontId="8" fillId="3" borderId="0" xfId="0" applyFont="1" applyFill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 readingOrder="1"/>
    </xf>
    <xf numFmtId="2" fontId="0" fillId="5" borderId="1" xfId="3" applyNumberFormat="1" applyFont="1" applyFill="1" applyBorder="1" applyAlignment="1" applyProtection="1">
      <alignment horizontal="center" vertical="center"/>
      <protection hidden="1"/>
    </xf>
    <xf numFmtId="2" fontId="0" fillId="5" borderId="1" xfId="0" applyNumberFormat="1" applyFill="1" applyBorder="1" applyAlignment="1">
      <alignment horizontal="center" vertical="center" wrapText="1" readingOrder="1"/>
    </xf>
    <xf numFmtId="1" fontId="0" fillId="5" borderId="1" xfId="13" applyNumberFormat="1" applyFont="1" applyFill="1" applyBorder="1" applyAlignment="1">
      <alignment horizontal="center" vertical="center" wrapText="1" readingOrder="1"/>
    </xf>
    <xf numFmtId="1" fontId="0" fillId="5" borderId="1" xfId="17" applyNumberFormat="1" applyFont="1" applyFill="1" applyBorder="1" applyAlignment="1">
      <alignment horizontal="center" vertical="center"/>
    </xf>
    <xf numFmtId="1" fontId="0" fillId="5" borderId="1" xfId="1" applyNumberFormat="1" applyFont="1" applyFill="1" applyBorder="1" applyAlignment="1">
      <alignment horizontal="center" vertical="center"/>
    </xf>
    <xf numFmtId="1" fontId="0" fillId="5" borderId="1" xfId="21" applyNumberFormat="1" applyFont="1" applyFill="1" applyBorder="1" applyAlignment="1">
      <alignment horizontal="center" vertical="center" wrapText="1" readingOrder="1"/>
    </xf>
    <xf numFmtId="174" fontId="0" fillId="5" borderId="1" xfId="0" applyNumberFormat="1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 vertical="center"/>
    </xf>
    <xf numFmtId="166" fontId="0" fillId="5" borderId="1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14" fontId="0" fillId="5" borderId="1" xfId="4" applyNumberFormat="1" applyFont="1" applyFill="1" applyBorder="1" applyAlignment="1">
      <alignment horizontal="center" vertical="center"/>
    </xf>
    <xf numFmtId="166" fontId="0" fillId="5" borderId="1" xfId="4" applyNumberFormat="1" applyFont="1" applyFill="1" applyBorder="1" applyAlignment="1">
      <alignment horizontal="center" vertical="center"/>
    </xf>
    <xf numFmtId="0" fontId="0" fillId="5" borderId="1" xfId="4" applyFont="1" applyFill="1" applyBorder="1" applyAlignment="1">
      <alignment horizontal="center" vertical="center"/>
    </xf>
    <xf numFmtId="169" fontId="1" fillId="14" borderId="1" xfId="5" applyNumberFormat="1" applyFont="1" applyFill="1" applyBorder="1" applyAlignment="1">
      <alignment horizontal="center" vertical="center"/>
    </xf>
    <xf numFmtId="0" fontId="1" fillId="14" borderId="1" xfId="5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readingOrder="1"/>
    </xf>
    <xf numFmtId="2" fontId="0" fillId="5" borderId="1" xfId="0" applyNumberFormat="1" applyFill="1" applyBorder="1" applyAlignment="1">
      <alignment horizontal="center" vertical="center" readingOrder="1"/>
    </xf>
    <xf numFmtId="1" fontId="0" fillId="5" borderId="1" xfId="13" applyNumberFormat="1" applyFont="1" applyFill="1" applyBorder="1" applyAlignment="1">
      <alignment horizontal="center" vertical="center" readingOrder="1"/>
    </xf>
    <xf numFmtId="9" fontId="0" fillId="5" borderId="1" xfId="0" applyNumberForma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15" fillId="5" borderId="26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 wrapText="1" readingOrder="1"/>
    </xf>
    <xf numFmtId="0" fontId="1" fillId="14" borderId="1" xfId="0" applyFont="1" applyFill="1" applyBorder="1"/>
    <xf numFmtId="169" fontId="15" fillId="5" borderId="1" xfId="0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1" fontId="1" fillId="5" borderId="14" xfId="0" applyNumberFormat="1" applyFont="1" applyFill="1" applyBorder="1" applyAlignment="1">
      <alignment horizontal="center" vertical="center"/>
    </xf>
    <xf numFmtId="1" fontId="1" fillId="2" borderId="14" xfId="0" applyNumberFormat="1" applyFont="1" applyFill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1" fontId="1" fillId="10" borderId="34" xfId="0" applyNumberFormat="1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/>
    </xf>
    <xf numFmtId="49" fontId="17" fillId="5" borderId="16" xfId="3" applyNumberFormat="1" applyFont="1" applyFill="1" applyBorder="1" applyAlignment="1">
      <alignment horizontal="center" vertical="center" wrapText="1"/>
    </xf>
    <xf numFmtId="0" fontId="16" fillId="5" borderId="16" xfId="0" applyFont="1" applyFill="1" applyBorder="1" applyAlignment="1">
      <alignment horizontal="center" vertical="center" wrapText="1" readingOrder="1"/>
    </xf>
    <xf numFmtId="0" fontId="15" fillId="5" borderId="24" xfId="0" applyFont="1" applyFill="1" applyBorder="1" applyAlignment="1">
      <alignment vertical="center"/>
    </xf>
    <xf numFmtId="0" fontId="0" fillId="5" borderId="1" xfId="0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 wrapText="1"/>
    </xf>
    <xf numFmtId="2" fontId="21" fillId="5" borderId="1" xfId="0" applyNumberFormat="1" applyFont="1" applyFill="1" applyBorder="1" applyAlignment="1">
      <alignment horizontal="center" vertical="center" wrapText="1"/>
    </xf>
    <xf numFmtId="1" fontId="21" fillId="5" borderId="1" xfId="0" applyNumberFormat="1" applyFont="1" applyFill="1" applyBorder="1" applyAlignment="1">
      <alignment horizontal="center" vertical="center" wrapText="1" readingOrder="1"/>
    </xf>
    <xf numFmtId="1" fontId="21" fillId="5" borderId="1" xfId="0" applyNumberFormat="1" applyFont="1" applyFill="1" applyBorder="1" applyAlignment="1">
      <alignment horizontal="center" vertical="center" wrapText="1"/>
    </xf>
    <xf numFmtId="9" fontId="1" fillId="5" borderId="1" xfId="0" applyNumberFormat="1" applyFont="1" applyFill="1" applyBorder="1" applyAlignment="1">
      <alignment horizontal="center" vertical="center"/>
    </xf>
    <xf numFmtId="0" fontId="1" fillId="14" borderId="1" xfId="4" applyFont="1" applyFill="1" applyBorder="1" applyAlignment="1">
      <alignment vertical="center"/>
    </xf>
    <xf numFmtId="14" fontId="1" fillId="3" borderId="0" xfId="0" applyNumberFormat="1" applyFont="1" applyFill="1"/>
    <xf numFmtId="14" fontId="1" fillId="0" borderId="0" xfId="0" applyNumberFormat="1" applyFont="1"/>
    <xf numFmtId="14" fontId="1" fillId="5" borderId="1" xfId="0" applyNumberFormat="1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26" fillId="3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0" borderId="0" xfId="0" applyFill="1" applyAlignment="1">
      <alignment horizontal="center"/>
    </xf>
    <xf numFmtId="16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9" fontId="0" fillId="3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/>
    </xf>
    <xf numFmtId="169" fontId="1" fillId="3" borderId="6" xfId="0" applyNumberFormat="1" applyFont="1" applyFill="1" applyBorder="1" applyAlignment="1">
      <alignment horizontal="center" wrapText="1"/>
    </xf>
    <xf numFmtId="169" fontId="1" fillId="5" borderId="3" xfId="0" applyNumberFormat="1" applyFont="1" applyFill="1" applyBorder="1" applyAlignment="1">
      <alignment horizontal="center"/>
    </xf>
    <xf numFmtId="169" fontId="1" fillId="2" borderId="3" xfId="0" applyNumberFormat="1" applyFont="1" applyFill="1" applyBorder="1" applyAlignment="1">
      <alignment horizontal="center"/>
    </xf>
    <xf numFmtId="169" fontId="1" fillId="3" borderId="6" xfId="0" applyNumberFormat="1" applyFont="1" applyFill="1" applyBorder="1" applyAlignment="1">
      <alignment horizontal="center"/>
    </xf>
    <xf numFmtId="169" fontId="1" fillId="10" borderId="6" xfId="0" applyNumberFormat="1" applyFont="1" applyFill="1" applyBorder="1" applyAlignment="1">
      <alignment horizontal="center"/>
    </xf>
    <xf numFmtId="169" fontId="0" fillId="14" borderId="1" xfId="0" applyNumberFormat="1" applyFill="1" applyBorder="1" applyAlignment="1">
      <alignment horizontal="center" vertical="center"/>
    </xf>
    <xf numFmtId="1" fontId="4" fillId="5" borderId="1" xfId="17" applyNumberFormat="1" applyFont="1" applyFill="1" applyBorder="1" applyAlignment="1">
      <alignment horizontal="center" vertical="center"/>
    </xf>
    <xf numFmtId="169" fontId="1" fillId="5" borderId="1" xfId="4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9" fontId="31" fillId="4" borderId="16" xfId="0" applyNumberFormat="1" applyFont="1" applyFill="1" applyBorder="1" applyAlignment="1">
      <alignment horizontal="center" vertical="center" wrapText="1"/>
    </xf>
    <xf numFmtId="1" fontId="0" fillId="5" borderId="1" xfId="21" applyNumberFormat="1" applyFont="1" applyFill="1" applyBorder="1" applyAlignment="1">
      <alignment horizontal="center" vertical="center" readingOrder="1"/>
    </xf>
    <xf numFmtId="49" fontId="8" fillId="4" borderId="16" xfId="0" applyNumberFormat="1" applyFont="1" applyFill="1" applyBorder="1" applyAlignment="1">
      <alignment horizontal="center" vertical="center" wrapText="1"/>
    </xf>
    <xf numFmtId="169" fontId="1" fillId="3" borderId="1" xfId="4" applyNumberFormat="1" applyFont="1" applyFill="1" applyBorder="1" applyAlignment="1">
      <alignment horizontal="center" vertical="center"/>
    </xf>
    <xf numFmtId="2" fontId="21" fillId="5" borderId="1" xfId="0" applyNumberFormat="1" applyFont="1" applyFill="1" applyBorder="1" applyAlignment="1">
      <alignment horizontal="center" vertical="center" wrapText="1" readingOrder="1"/>
    </xf>
    <xf numFmtId="169" fontId="0" fillId="5" borderId="1" xfId="0" applyNumberFormat="1" applyFill="1" applyBorder="1" applyAlignment="1">
      <alignment horizontal="center" vertical="center" readingOrder="1"/>
    </xf>
    <xf numFmtId="169" fontId="33" fillId="5" borderId="1" xfId="0" applyNumberFormat="1" applyFont="1" applyFill="1" applyBorder="1" applyAlignment="1">
      <alignment horizontal="center" wrapText="1"/>
    </xf>
    <xf numFmtId="14" fontId="1" fillId="0" borderId="1" xfId="4" applyNumberFormat="1" applyFont="1" applyFill="1" applyBorder="1" applyAlignment="1">
      <alignment horizontal="center" vertical="center"/>
    </xf>
    <xf numFmtId="166" fontId="1" fillId="0" borderId="1" xfId="4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 wrapText="1" readingOrder="1"/>
    </xf>
    <xf numFmtId="1" fontId="21" fillId="0" borderId="1" xfId="0" applyNumberFormat="1" applyFont="1" applyBorder="1" applyAlignment="1">
      <alignment horizontal="center" vertical="center" wrapText="1" readingOrder="1"/>
    </xf>
    <xf numFmtId="170" fontId="1" fillId="0" borderId="1" xfId="0" applyNumberFormat="1" applyFont="1" applyBorder="1" applyAlignment="1">
      <alignment horizontal="center" vertical="center"/>
    </xf>
    <xf numFmtId="169" fontId="23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69" fontId="1" fillId="0" borderId="1" xfId="4" applyNumberFormat="1" applyFont="1" applyFill="1" applyBorder="1" applyAlignment="1">
      <alignment horizontal="center" vertical="center"/>
    </xf>
    <xf numFmtId="0" fontId="1" fillId="0" borderId="1" xfId="4" applyFont="1" applyFill="1" applyBorder="1" applyAlignment="1">
      <alignment horizontal="center" vertical="center"/>
    </xf>
    <xf numFmtId="49" fontId="7" fillId="0" borderId="1" xfId="3" applyNumberFormat="1" applyFont="1" applyFill="1" applyBorder="1" applyAlignment="1">
      <alignment horizontal="center" vertical="center" wrapText="1"/>
    </xf>
    <xf numFmtId="2" fontId="21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166" fontId="1" fillId="5" borderId="0" xfId="0" applyNumberFormat="1" applyFont="1" applyFill="1"/>
    <xf numFmtId="169" fontId="28" fillId="5" borderId="1" xfId="0" applyNumberFormat="1" applyFont="1" applyFill="1" applyBorder="1" applyAlignment="1">
      <alignment horizontal="center"/>
    </xf>
    <xf numFmtId="169" fontId="28" fillId="5" borderId="5" xfId="0" applyNumberFormat="1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 wrapText="1"/>
    </xf>
    <xf numFmtId="171" fontId="1" fillId="3" borderId="0" xfId="1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 vertical="center" wrapText="1"/>
    </xf>
    <xf numFmtId="169" fontId="1" fillId="2" borderId="14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wrapText="1"/>
    </xf>
    <xf numFmtId="0" fontId="1" fillId="12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 wrapText="1" readingOrder="1"/>
    </xf>
    <xf numFmtId="2" fontId="15" fillId="12" borderId="26" xfId="17" applyNumberFormat="1" applyFont="1" applyFill="1" applyBorder="1" applyAlignment="1">
      <alignment horizontal="center" vertical="center"/>
    </xf>
    <xf numFmtId="2" fontId="14" fillId="12" borderId="26" xfId="17" applyNumberFormat="1" applyFont="1" applyFill="1" applyBorder="1" applyAlignment="1">
      <alignment horizontal="center" vertical="center"/>
    </xf>
    <xf numFmtId="171" fontId="1" fillId="12" borderId="1" xfId="1" applyNumberFormat="1" applyFont="1" applyFill="1" applyBorder="1" applyAlignment="1">
      <alignment horizontal="center"/>
    </xf>
    <xf numFmtId="0" fontId="32" fillId="12" borderId="26" xfId="0" applyFont="1" applyFill="1" applyBorder="1" applyAlignment="1">
      <alignment horizontal="center" vertical="center"/>
    </xf>
    <xf numFmtId="1" fontId="15" fillId="12" borderId="1" xfId="21" applyNumberFormat="1" applyFont="1" applyFill="1" applyBorder="1" applyAlignment="1">
      <alignment horizontal="center" vertical="center" wrapText="1" readingOrder="1"/>
    </xf>
    <xf numFmtId="169" fontId="16" fillId="12" borderId="1" xfId="0" applyNumberFormat="1" applyFont="1" applyFill="1" applyBorder="1" applyAlignment="1">
      <alignment horizontal="center" vertical="center" wrapText="1" readingOrder="1"/>
    </xf>
    <xf numFmtId="10" fontId="1" fillId="12" borderId="1" xfId="0" applyNumberFormat="1" applyFont="1" applyFill="1" applyBorder="1" applyAlignment="1">
      <alignment horizontal="center"/>
    </xf>
    <xf numFmtId="166" fontId="1" fillId="12" borderId="1" xfId="0" applyNumberFormat="1" applyFont="1" applyFill="1" applyBorder="1" applyAlignment="1">
      <alignment horizontal="center"/>
    </xf>
    <xf numFmtId="14" fontId="1" fillId="12" borderId="1" xfId="0" applyNumberFormat="1" applyFont="1" applyFill="1" applyBorder="1" applyAlignment="1">
      <alignment horizontal="center"/>
    </xf>
    <xf numFmtId="14" fontId="1" fillId="12" borderId="1" xfId="4" applyNumberFormat="1" applyFont="1" applyFill="1" applyBorder="1" applyAlignment="1">
      <alignment horizontal="center" vertical="center"/>
    </xf>
    <xf numFmtId="166" fontId="1" fillId="12" borderId="1" xfId="4" applyNumberFormat="1" applyFont="1" applyFill="1" applyBorder="1" applyAlignment="1">
      <alignment horizontal="center" vertical="center"/>
    </xf>
    <xf numFmtId="9" fontId="1" fillId="12" borderId="1" xfId="0" applyNumberFormat="1" applyFont="1" applyFill="1" applyBorder="1" applyAlignment="1">
      <alignment horizontal="center"/>
    </xf>
    <xf numFmtId="0" fontId="1" fillId="12" borderId="1" xfId="4" applyFont="1" applyFill="1" applyBorder="1" applyAlignment="1">
      <alignment horizontal="center"/>
    </xf>
    <xf numFmtId="169" fontId="1" fillId="12" borderId="1" xfId="0" applyNumberFormat="1" applyFont="1" applyFill="1" applyBorder="1" applyAlignment="1">
      <alignment horizontal="center"/>
    </xf>
    <xf numFmtId="0" fontId="1" fillId="12" borderId="0" xfId="0" applyFont="1" applyFill="1"/>
    <xf numFmtId="2" fontId="15" fillId="12" borderId="1" xfId="17" applyNumberFormat="1" applyFont="1" applyFill="1" applyBorder="1" applyAlignment="1">
      <alignment horizontal="center" vertical="center"/>
    </xf>
    <xf numFmtId="2" fontId="14" fillId="12" borderId="1" xfId="17" applyNumberFormat="1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 readingOrder="1"/>
    </xf>
    <xf numFmtId="0" fontId="1" fillId="12" borderId="1" xfId="4" applyFont="1" applyFill="1" applyBorder="1" applyAlignment="1">
      <alignment vertical="center"/>
    </xf>
    <xf numFmtId="49" fontId="17" fillId="12" borderId="1" xfId="3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/>
    </xf>
    <xf numFmtId="166" fontId="1" fillId="12" borderId="1" xfId="0" applyNumberFormat="1" applyFont="1" applyFill="1" applyBorder="1" applyAlignment="1">
      <alignment horizontal="center" vertical="center"/>
    </xf>
    <xf numFmtId="0" fontId="1" fillId="12" borderId="1" xfId="4" applyFont="1" applyFill="1" applyBorder="1" applyAlignment="1">
      <alignment horizontal="center" vertical="center"/>
    </xf>
    <xf numFmtId="14" fontId="1" fillId="12" borderId="1" xfId="4" applyNumberFormat="1" applyFont="1" applyFill="1" applyBorder="1" applyAlignment="1">
      <alignment horizontal="center"/>
    </xf>
    <xf numFmtId="166" fontId="1" fillId="12" borderId="1" xfId="4" applyNumberFormat="1" applyFont="1" applyFill="1" applyBorder="1" applyAlignment="1">
      <alignment horizontal="center"/>
    </xf>
    <xf numFmtId="2" fontId="15" fillId="12" borderId="5" xfId="17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vertical="center"/>
    </xf>
    <xf numFmtId="0" fontId="1" fillId="12" borderId="1" xfId="0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1" fontId="8" fillId="4" borderId="1" xfId="0" applyNumberFormat="1" applyFont="1" applyFill="1" applyBorder="1" applyAlignment="1">
      <alignment horizontal="center" vertical="center" wrapText="1"/>
    </xf>
    <xf numFmtId="1" fontId="1" fillId="3" borderId="0" xfId="0" applyNumberFormat="1" applyFont="1" applyFill="1" applyAlignment="1">
      <alignment horizontal="center"/>
    </xf>
    <xf numFmtId="1" fontId="1" fillId="3" borderId="0" xfId="0" applyNumberFormat="1" applyFont="1" applyFill="1"/>
    <xf numFmtId="1" fontId="1" fillId="0" borderId="0" xfId="0" applyNumberFormat="1" applyFont="1"/>
    <xf numFmtId="1" fontId="1" fillId="0" borderId="0" xfId="0" applyNumberFormat="1" applyFont="1" applyAlignment="1">
      <alignment horizontal="center" vertical="center"/>
    </xf>
    <xf numFmtId="49" fontId="7" fillId="5" borderId="1" xfId="3" applyNumberFormat="1" applyFont="1" applyFill="1" applyBorder="1" applyAlignment="1">
      <alignment horizontal="center" wrapText="1"/>
    </xf>
    <xf numFmtId="0" fontId="1" fillId="5" borderId="1" xfId="1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 wrapText="1" readingOrder="1"/>
    </xf>
    <xf numFmtId="2" fontId="13" fillId="5" borderId="1" xfId="0" applyNumberFormat="1" applyFont="1" applyFill="1" applyBorder="1" applyAlignment="1">
      <alignment horizontal="center" wrapText="1" readingOrder="1"/>
    </xf>
    <xf numFmtId="2" fontId="13" fillId="5" borderId="1" xfId="13" applyNumberFormat="1" applyFont="1" applyFill="1" applyBorder="1" applyAlignment="1">
      <alignment horizontal="center" wrapText="1" readingOrder="1"/>
    </xf>
    <xf numFmtId="2" fontId="13" fillId="5" borderId="1" xfId="17" applyNumberFormat="1" applyFill="1" applyBorder="1" applyAlignment="1">
      <alignment horizontal="center"/>
    </xf>
    <xf numFmtId="170" fontId="1" fillId="5" borderId="1" xfId="0" applyNumberFormat="1" applyFont="1" applyFill="1" applyBorder="1" applyAlignment="1">
      <alignment horizontal="center"/>
    </xf>
    <xf numFmtId="14" fontId="1" fillId="5" borderId="14" xfId="0" applyNumberFormat="1" applyFont="1" applyFill="1" applyBorder="1" applyAlignment="1">
      <alignment horizontal="center"/>
    </xf>
    <xf numFmtId="166" fontId="18" fillId="5" borderId="14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175" fontId="1" fillId="5" borderId="1" xfId="0" applyNumberFormat="1" applyFont="1" applyFill="1" applyBorder="1" applyAlignment="1">
      <alignment horizontal="center"/>
    </xf>
    <xf numFmtId="175" fontId="8" fillId="4" borderId="1" xfId="0" applyNumberFormat="1" applyFont="1" applyFill="1" applyBorder="1" applyAlignment="1">
      <alignment horizontal="center" vertical="center" wrapText="1"/>
    </xf>
    <xf numFmtId="175" fontId="1" fillId="0" borderId="0" xfId="0" applyNumberFormat="1" applyFont="1" applyAlignment="1">
      <alignment horizontal="center"/>
    </xf>
    <xf numFmtId="14" fontId="1" fillId="5" borderId="1" xfId="5" applyNumberFormat="1" applyFont="1" applyFill="1" applyBorder="1" applyAlignment="1">
      <alignment horizontal="center"/>
    </xf>
    <xf numFmtId="175" fontId="1" fillId="5" borderId="1" xfId="5" applyNumberFormat="1" applyFont="1" applyFill="1" applyBorder="1" applyAlignment="1">
      <alignment horizontal="center"/>
    </xf>
    <xf numFmtId="175" fontId="1" fillId="5" borderId="1" xfId="4" applyNumberFormat="1" applyFont="1" applyFill="1" applyBorder="1" applyAlignment="1">
      <alignment horizontal="center"/>
    </xf>
    <xf numFmtId="166" fontId="18" fillId="5" borderId="1" xfId="0" applyNumberFormat="1" applyFont="1" applyFill="1" applyBorder="1" applyAlignment="1">
      <alignment horizontal="center"/>
    </xf>
    <xf numFmtId="171" fontId="1" fillId="3" borderId="1" xfId="1" applyNumberFormat="1" applyFont="1" applyFill="1" applyBorder="1" applyAlignment="1">
      <alignment horizontal="center" vertical="center"/>
    </xf>
    <xf numFmtId="171" fontId="1" fillId="3" borderId="0" xfId="1" applyNumberFormat="1" applyFont="1" applyFill="1" applyAlignment="1">
      <alignment horizontal="center" vertical="center"/>
    </xf>
    <xf numFmtId="171" fontId="1" fillId="0" borderId="0" xfId="1" applyNumberFormat="1" applyFont="1" applyAlignment="1">
      <alignment horizontal="center" vertical="center"/>
    </xf>
    <xf numFmtId="174" fontId="28" fillId="5" borderId="1" xfId="0" applyNumberFormat="1" applyFont="1" applyFill="1" applyBorder="1" applyAlignment="1">
      <alignment horizontal="center" vertical="center"/>
    </xf>
    <xf numFmtId="168" fontId="1" fillId="5" borderId="1" xfId="0" applyNumberFormat="1" applyFont="1" applyFill="1" applyBorder="1" applyAlignment="1">
      <alignment wrapText="1"/>
    </xf>
    <xf numFmtId="2" fontId="13" fillId="5" borderId="5" xfId="17" applyNumberFormat="1" applyFill="1" applyBorder="1" applyAlignment="1">
      <alignment horizontal="center"/>
    </xf>
    <xf numFmtId="0" fontId="15" fillId="5" borderId="1" xfId="0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 vertical="center" wrapText="1"/>
    </xf>
    <xf numFmtId="14" fontId="7" fillId="5" borderId="1" xfId="2" applyNumberFormat="1" applyFont="1" applyFill="1" applyBorder="1" applyAlignment="1">
      <alignment horizontal="center" vertical="center" wrapText="1"/>
    </xf>
    <xf numFmtId="14" fontId="7" fillId="5" borderId="16" xfId="2" applyNumberFormat="1" applyFont="1" applyFill="1" applyBorder="1" applyAlignment="1">
      <alignment horizontal="center" vertical="center" wrapText="1"/>
    </xf>
    <xf numFmtId="14" fontId="7" fillId="5" borderId="1" xfId="2" applyNumberFormat="1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wrapText="1" readingOrder="1"/>
    </xf>
    <xf numFmtId="2" fontId="13" fillId="5" borderId="26" xfId="17" applyNumberFormat="1" applyFill="1" applyBorder="1" applyAlignment="1">
      <alignment horizontal="center"/>
    </xf>
    <xf numFmtId="49" fontId="13" fillId="5" borderId="1" xfId="3" applyNumberFormat="1" applyFont="1" applyFill="1" applyBorder="1" applyAlignment="1">
      <alignment horizontal="center" wrapText="1"/>
    </xf>
    <xf numFmtId="0" fontId="15" fillId="5" borderId="1" xfId="10" applyFont="1" applyFill="1" applyBorder="1" applyAlignment="1">
      <alignment horizontal="center"/>
    </xf>
    <xf numFmtId="0" fontId="24" fillId="5" borderId="1" xfId="0" applyFont="1" applyFill="1" applyBorder="1" applyAlignment="1">
      <alignment horizontal="center" wrapText="1" readingOrder="1"/>
    </xf>
    <xf numFmtId="170" fontId="15" fillId="5" borderId="1" xfId="0" applyNumberFormat="1" applyFont="1" applyFill="1" applyBorder="1" applyAlignment="1">
      <alignment horizontal="center"/>
    </xf>
    <xf numFmtId="0" fontId="15" fillId="5" borderId="14" xfId="0" applyFont="1" applyFill="1" applyBorder="1" applyAlignment="1">
      <alignment horizontal="center"/>
    </xf>
    <xf numFmtId="166" fontId="25" fillId="5" borderId="14" xfId="0" applyNumberFormat="1" applyFont="1" applyFill="1" applyBorder="1" applyAlignment="1">
      <alignment horizontal="center"/>
    </xf>
    <xf numFmtId="166" fontId="25" fillId="5" borderId="14" xfId="0" applyNumberFormat="1" applyFont="1" applyFill="1" applyBorder="1" applyAlignment="1">
      <alignment horizontal="center" vertical="center"/>
    </xf>
    <xf numFmtId="10" fontId="15" fillId="5" borderId="1" xfId="0" applyNumberFormat="1" applyFont="1" applyFill="1" applyBorder="1" applyAlignment="1">
      <alignment horizontal="center"/>
    </xf>
    <xf numFmtId="166" fontId="15" fillId="5" borderId="1" xfId="0" applyNumberFormat="1" applyFont="1" applyFill="1" applyBorder="1" applyAlignment="1">
      <alignment horizontal="center"/>
    </xf>
    <xf numFmtId="14" fontId="15" fillId="5" borderId="1" xfId="0" applyNumberFormat="1" applyFont="1" applyFill="1" applyBorder="1" applyAlignment="1">
      <alignment horizontal="center"/>
    </xf>
    <xf numFmtId="14" fontId="15" fillId="5" borderId="1" xfId="4" applyNumberFormat="1" applyFont="1" applyFill="1" applyBorder="1" applyAlignment="1">
      <alignment horizontal="center"/>
    </xf>
    <xf numFmtId="175" fontId="15" fillId="5" borderId="1" xfId="4" applyNumberFormat="1" applyFont="1" applyFill="1" applyBorder="1" applyAlignment="1">
      <alignment horizontal="center"/>
    </xf>
    <xf numFmtId="0" fontId="15" fillId="5" borderId="1" xfId="4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 vertical="center"/>
    </xf>
    <xf numFmtId="169" fontId="25" fillId="3" borderId="1" xfId="0" applyNumberFormat="1" applyFont="1" applyFill="1" applyBorder="1" applyAlignment="1">
      <alignment horizontal="center" vertical="center"/>
    </xf>
    <xf numFmtId="169" fontId="18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1" fontId="25" fillId="3" borderId="1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5" fillId="5" borderId="1" xfId="0" applyFont="1" applyFill="1" applyBorder="1" applyAlignment="1">
      <alignment horizontal="center" vertical="center" wrapText="1" readingOrder="1"/>
    </xf>
    <xf numFmtId="0" fontId="20" fillId="5" borderId="1" xfId="0" applyFont="1" applyFill="1" applyBorder="1" applyAlignment="1">
      <alignment horizontal="center" vertical="center" wrapText="1" readingOrder="1"/>
    </xf>
    <xf numFmtId="2" fontId="13" fillId="5" borderId="1" xfId="0" applyNumberFormat="1" applyFont="1" applyFill="1" applyBorder="1" applyAlignment="1">
      <alignment horizontal="center" vertical="center" wrapText="1" readingOrder="1"/>
    </xf>
    <xf numFmtId="2" fontId="13" fillId="5" borderId="1" xfId="13" applyNumberFormat="1" applyFont="1" applyFill="1" applyBorder="1" applyAlignment="1">
      <alignment horizontal="center" vertical="center" wrapText="1" readingOrder="1"/>
    </xf>
    <xf numFmtId="2" fontId="13" fillId="5" borderId="1" xfId="17" applyNumberFormat="1" applyFill="1" applyBorder="1" applyAlignment="1">
      <alignment horizontal="center" vertical="center"/>
    </xf>
    <xf numFmtId="49" fontId="7" fillId="5" borderId="24" xfId="3" applyNumberFormat="1" applyFont="1" applyFill="1" applyBorder="1" applyAlignment="1">
      <alignment horizontal="center" vertical="center" wrapText="1"/>
    </xf>
    <xf numFmtId="2" fontId="13" fillId="5" borderId="5" xfId="17" applyNumberForma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166" fontId="18" fillId="5" borderId="1" xfId="0" applyNumberFormat="1" applyFont="1" applyFill="1" applyBorder="1" applyAlignment="1">
      <alignment horizontal="center" vertical="center"/>
    </xf>
    <xf numFmtId="14" fontId="1" fillId="5" borderId="14" xfId="0" applyNumberFormat="1" applyFont="1" applyFill="1" applyBorder="1" applyAlignment="1">
      <alignment horizontal="center" vertical="center"/>
    </xf>
    <xf numFmtId="166" fontId="1" fillId="5" borderId="14" xfId="0" applyNumberFormat="1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right" vertical="center"/>
    </xf>
    <xf numFmtId="2" fontId="13" fillId="5" borderId="8" xfId="13" applyNumberFormat="1" applyFont="1" applyFill="1" applyBorder="1" applyAlignment="1">
      <alignment horizontal="center" vertical="center" wrapText="1" readingOrder="1"/>
    </xf>
    <xf numFmtId="2" fontId="13" fillId="5" borderId="26" xfId="17" applyNumberFormat="1" applyFill="1" applyBorder="1" applyAlignment="1">
      <alignment horizontal="center" vertical="center"/>
    </xf>
    <xf numFmtId="16" fontId="1" fillId="5" borderId="1" xfId="0" applyNumberFormat="1" applyFont="1" applyFill="1" applyBorder="1" applyAlignment="1">
      <alignment horizontal="center"/>
    </xf>
    <xf numFmtId="0" fontId="15" fillId="5" borderId="24" xfId="0" applyFont="1" applyFill="1" applyBorder="1" applyAlignment="1">
      <alignment horizontal="center" vertical="center"/>
    </xf>
    <xf numFmtId="16" fontId="1" fillId="5" borderId="14" xfId="0" applyNumberFormat="1" applyFont="1" applyFill="1" applyBorder="1" applyAlignment="1">
      <alignment horizontal="center"/>
    </xf>
    <xf numFmtId="49" fontId="7" fillId="5" borderId="1" xfId="3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66" fontId="15" fillId="5" borderId="1" xfId="0" applyNumberFormat="1" applyFont="1" applyFill="1" applyBorder="1" applyAlignment="1">
      <alignment horizontal="center" vertical="center" wrapText="1" readingOrder="1"/>
    </xf>
    <xf numFmtId="164" fontId="0" fillId="0" borderId="0" xfId="0" applyNumberFormat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16" fillId="5" borderId="1" xfId="0" applyNumberFormat="1" applyFont="1" applyFill="1" applyBorder="1" applyAlignment="1">
      <alignment horizontal="center" vertical="center" wrapText="1" readingOrder="1"/>
    </xf>
    <xf numFmtId="49" fontId="13" fillId="5" borderId="1" xfId="3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/>
    </xf>
    <xf numFmtId="0" fontId="27" fillId="5" borderId="1" xfId="0" applyFont="1" applyFill="1" applyBorder="1" applyAlignment="1">
      <alignment horizontal="center" vertical="center" wrapText="1"/>
    </xf>
    <xf numFmtId="2" fontId="27" fillId="5" borderId="1" xfId="0" applyNumberFormat="1" applyFont="1" applyFill="1" applyBorder="1" applyAlignment="1">
      <alignment horizontal="center" vertical="center" wrapText="1"/>
    </xf>
    <xf numFmtId="170" fontId="15" fillId="5" borderId="1" xfId="0" applyNumberFormat="1" applyFont="1" applyFill="1" applyBorder="1" applyAlignment="1">
      <alignment horizontal="center" vertical="center"/>
    </xf>
    <xf numFmtId="169" fontId="36" fillId="5" borderId="1" xfId="0" applyNumberFormat="1" applyFont="1" applyFill="1" applyBorder="1" applyAlignment="1">
      <alignment horizontal="center" vertical="center"/>
    </xf>
    <xf numFmtId="10" fontId="15" fillId="5" borderId="1" xfId="0" applyNumberFormat="1" applyFont="1" applyFill="1" applyBorder="1" applyAlignment="1">
      <alignment horizontal="center" vertical="center"/>
    </xf>
    <xf numFmtId="166" fontId="15" fillId="5" borderId="1" xfId="0" applyNumberFormat="1" applyFont="1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/>
    </xf>
    <xf numFmtId="14" fontId="15" fillId="5" borderId="1" xfId="4" applyNumberFormat="1" applyFont="1" applyFill="1" applyBorder="1" applyAlignment="1">
      <alignment horizontal="center" vertical="center"/>
    </xf>
    <xf numFmtId="169" fontId="15" fillId="5" borderId="1" xfId="4" applyNumberFormat="1" applyFont="1" applyFill="1" applyBorder="1" applyAlignment="1">
      <alignment horizontal="center" vertical="center"/>
    </xf>
    <xf numFmtId="166" fontId="15" fillId="5" borderId="1" xfId="4" applyNumberFormat="1" applyFont="1" applyFill="1" applyBorder="1" applyAlignment="1">
      <alignment horizontal="center" vertical="center"/>
    </xf>
    <xf numFmtId="0" fontId="15" fillId="5" borderId="1" xfId="4" applyFont="1" applyFill="1" applyBorder="1" applyAlignment="1">
      <alignment horizontal="center" vertical="center"/>
    </xf>
    <xf numFmtId="169" fontId="15" fillId="5" borderId="1" xfId="0" applyNumberFormat="1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1" fontId="1" fillId="0" borderId="11" xfId="0" applyNumberFormat="1" applyFont="1" applyBorder="1" applyAlignment="1">
      <alignment horizontal="center" wrapText="1"/>
    </xf>
    <xf numFmtId="1" fontId="1" fillId="0" borderId="12" xfId="0" applyNumberFormat="1" applyFont="1" applyBorder="1" applyAlignment="1">
      <alignment horizontal="center" wrapText="1"/>
    </xf>
    <xf numFmtId="169" fontId="1" fillId="0" borderId="0" xfId="0" applyNumberFormat="1" applyFont="1" applyAlignment="1">
      <alignment horizontal="center" vertical="top"/>
    </xf>
    <xf numFmtId="0" fontId="0" fillId="12" borderId="0" xfId="0" applyFill="1"/>
    <xf numFmtId="0" fontId="18" fillId="0" borderId="1" xfId="0" applyFont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top" wrapText="1"/>
    </xf>
    <xf numFmtId="169" fontId="8" fillId="4" borderId="1" xfId="0" applyNumberFormat="1" applyFont="1" applyFill="1" applyBorder="1" applyAlignment="1">
      <alignment horizontal="center" vertical="top" wrapText="1"/>
    </xf>
    <xf numFmtId="0" fontId="18" fillId="16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9" fontId="1" fillId="16" borderId="1" xfId="0" applyNumberFormat="1" applyFont="1" applyFill="1" applyBorder="1" applyAlignment="1">
      <alignment horizontal="center" vertical="center"/>
    </xf>
    <xf numFmtId="17" fontId="1" fillId="16" borderId="1" xfId="0" applyNumberFormat="1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top"/>
    </xf>
    <xf numFmtId="0" fontId="18" fillId="0" borderId="50" xfId="0" applyFont="1" applyBorder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169" fontId="1" fillId="5" borderId="1" xfId="5" applyNumberFormat="1" applyFont="1" applyFill="1" applyBorder="1" applyAlignment="1">
      <alignment horizontal="center" vertical="center"/>
    </xf>
    <xf numFmtId="49" fontId="7" fillId="5" borderId="16" xfId="3" applyNumberFormat="1" applyFont="1" applyFill="1" applyBorder="1" applyAlignment="1">
      <alignment horizontal="center" wrapText="1"/>
    </xf>
    <xf numFmtId="0" fontId="1" fillId="5" borderId="16" xfId="10" applyFont="1" applyFill="1" applyBorder="1" applyAlignment="1">
      <alignment horizontal="center"/>
    </xf>
    <xf numFmtId="0" fontId="20" fillId="5" borderId="16" xfId="0" applyFont="1" applyFill="1" applyBorder="1" applyAlignment="1">
      <alignment horizontal="center" wrapText="1" readingOrder="1"/>
    </xf>
    <xf numFmtId="2" fontId="13" fillId="5" borderId="16" xfId="0" applyNumberFormat="1" applyFont="1" applyFill="1" applyBorder="1" applyAlignment="1">
      <alignment horizontal="center" wrapText="1" readingOrder="1"/>
    </xf>
    <xf numFmtId="2" fontId="13" fillId="5" borderId="16" xfId="13" applyNumberFormat="1" applyFont="1" applyFill="1" applyBorder="1" applyAlignment="1">
      <alignment horizontal="center" wrapText="1" readingOrder="1"/>
    </xf>
    <xf numFmtId="2" fontId="13" fillId="5" borderId="16" xfId="17" applyNumberFormat="1" applyFill="1" applyBorder="1" applyAlignment="1">
      <alignment horizontal="center"/>
    </xf>
    <xf numFmtId="170" fontId="1" fillId="5" borderId="16" xfId="0" applyNumberFormat="1" applyFont="1" applyFill="1" applyBorder="1" applyAlignment="1">
      <alignment horizontal="center"/>
    </xf>
    <xf numFmtId="0" fontId="32" fillId="5" borderId="16" xfId="0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 wrapText="1" readingOrder="1"/>
    </xf>
    <xf numFmtId="166" fontId="18" fillId="5" borderId="16" xfId="0" applyNumberFormat="1" applyFont="1" applyFill="1" applyBorder="1" applyAlignment="1">
      <alignment horizontal="center"/>
    </xf>
    <xf numFmtId="166" fontId="18" fillId="5" borderId="34" xfId="0" applyNumberFormat="1" applyFont="1" applyFill="1" applyBorder="1" applyAlignment="1">
      <alignment horizontal="center" vertical="center"/>
    </xf>
    <xf numFmtId="10" fontId="1" fillId="5" borderId="16" xfId="0" applyNumberFormat="1" applyFont="1" applyFill="1" applyBorder="1" applyAlignment="1">
      <alignment horizontal="center"/>
    </xf>
    <xf numFmtId="166" fontId="1" fillId="5" borderId="16" xfId="0" applyNumberFormat="1" applyFont="1" applyFill="1" applyBorder="1" applyAlignment="1">
      <alignment horizontal="center"/>
    </xf>
    <xf numFmtId="14" fontId="1" fillId="5" borderId="16" xfId="0" applyNumberFormat="1" applyFont="1" applyFill="1" applyBorder="1" applyAlignment="1">
      <alignment horizontal="center"/>
    </xf>
    <xf numFmtId="14" fontId="1" fillId="5" borderId="16" xfId="4" applyNumberFormat="1" applyFont="1" applyFill="1" applyBorder="1" applyAlignment="1">
      <alignment horizontal="center"/>
    </xf>
    <xf numFmtId="175" fontId="1" fillId="5" borderId="16" xfId="4" applyNumberFormat="1" applyFont="1" applyFill="1" applyBorder="1" applyAlignment="1">
      <alignment horizontal="center"/>
    </xf>
    <xf numFmtId="0" fontId="1" fillId="5" borderId="16" xfId="4" applyFont="1" applyFill="1" applyBorder="1" applyAlignment="1">
      <alignment horizontal="center"/>
    </xf>
    <xf numFmtId="169" fontId="1" fillId="5" borderId="16" xfId="0" applyNumberFormat="1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49" fontId="7" fillId="5" borderId="8" xfId="3" applyNumberFormat="1" applyFont="1" applyFill="1" applyBorder="1" applyAlignment="1">
      <alignment horizontal="center" wrapText="1"/>
    </xf>
    <xf numFmtId="0" fontId="1" fillId="5" borderId="8" xfId="10" applyFont="1" applyFill="1" applyBorder="1" applyAlignment="1">
      <alignment horizontal="center"/>
    </xf>
    <xf numFmtId="0" fontId="20" fillId="5" borderId="8" xfId="0" applyFont="1" applyFill="1" applyBorder="1" applyAlignment="1">
      <alignment horizontal="center" wrapText="1" readingOrder="1"/>
    </xf>
    <xf numFmtId="2" fontId="13" fillId="5" borderId="8" xfId="0" applyNumberFormat="1" applyFont="1" applyFill="1" applyBorder="1" applyAlignment="1">
      <alignment horizontal="center" wrapText="1" readingOrder="1"/>
    </xf>
    <xf numFmtId="2" fontId="13" fillId="5" borderId="8" xfId="13" applyNumberFormat="1" applyFont="1" applyFill="1" applyBorder="1" applyAlignment="1">
      <alignment horizontal="center" wrapText="1" readingOrder="1"/>
    </xf>
    <xf numFmtId="2" fontId="13" fillId="5" borderId="8" xfId="17" applyNumberFormat="1" applyFill="1" applyBorder="1" applyAlignment="1">
      <alignment horizontal="center"/>
    </xf>
    <xf numFmtId="170" fontId="1" fillId="5" borderId="8" xfId="0" applyNumberFormat="1" applyFont="1" applyFill="1" applyBorder="1" applyAlignment="1">
      <alignment horizontal="center"/>
    </xf>
    <xf numFmtId="0" fontId="32" fillId="5" borderId="8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/>
    </xf>
    <xf numFmtId="166" fontId="18" fillId="5" borderId="8" xfId="0" applyNumberFormat="1" applyFont="1" applyFill="1" applyBorder="1" applyAlignment="1">
      <alignment horizontal="center"/>
    </xf>
    <xf numFmtId="166" fontId="18" fillId="5" borderId="13" xfId="0" applyNumberFormat="1" applyFont="1" applyFill="1" applyBorder="1" applyAlignment="1">
      <alignment horizontal="center" vertical="center"/>
    </xf>
    <xf numFmtId="10" fontId="1" fillId="5" borderId="8" xfId="0" applyNumberFormat="1" applyFont="1" applyFill="1" applyBorder="1" applyAlignment="1">
      <alignment horizontal="center"/>
    </xf>
    <xf numFmtId="166" fontId="1" fillId="5" borderId="8" xfId="0" applyNumberFormat="1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/>
    </xf>
    <xf numFmtId="14" fontId="1" fillId="5" borderId="8" xfId="4" applyNumberFormat="1" applyFont="1" applyFill="1" applyBorder="1" applyAlignment="1">
      <alignment horizontal="center"/>
    </xf>
    <xf numFmtId="175" fontId="1" fillId="5" borderId="8" xfId="4" applyNumberFormat="1" applyFont="1" applyFill="1" applyBorder="1" applyAlignment="1">
      <alignment horizontal="center"/>
    </xf>
    <xf numFmtId="0" fontId="1" fillId="5" borderId="8" xfId="4" applyFont="1" applyFill="1" applyBorder="1" applyAlignment="1">
      <alignment horizontal="center"/>
    </xf>
    <xf numFmtId="169" fontId="1" fillId="5" borderId="8" xfId="0" applyNumberFormat="1" applyFont="1" applyFill="1" applyBorder="1" applyAlignment="1">
      <alignment horizontal="center"/>
    </xf>
    <xf numFmtId="0" fontId="18" fillId="5" borderId="10" xfId="0" applyFont="1" applyFill="1" applyBorder="1" applyAlignment="1">
      <alignment horizontal="center"/>
    </xf>
    <xf numFmtId="49" fontId="6" fillId="5" borderId="11" xfId="3" applyNumberFormat="1" applyFont="1" applyFill="1" applyBorder="1" applyAlignment="1">
      <alignment horizontal="center" wrapText="1"/>
    </xf>
    <xf numFmtId="0" fontId="18" fillId="5" borderId="11" xfId="10" applyFont="1" applyFill="1" applyBorder="1" applyAlignment="1">
      <alignment horizontal="center"/>
    </xf>
    <xf numFmtId="0" fontId="20" fillId="5" borderId="11" xfId="0" applyFont="1" applyFill="1" applyBorder="1" applyAlignment="1">
      <alignment horizontal="center" wrapText="1" readingOrder="1"/>
    </xf>
    <xf numFmtId="2" fontId="24" fillId="5" borderId="11" xfId="0" applyNumberFormat="1" applyFont="1" applyFill="1" applyBorder="1" applyAlignment="1">
      <alignment horizontal="center" wrapText="1" readingOrder="1"/>
    </xf>
    <xf numFmtId="2" fontId="24" fillId="5" borderId="11" xfId="13" applyNumberFormat="1" applyFont="1" applyFill="1" applyBorder="1" applyAlignment="1">
      <alignment horizontal="center" wrapText="1" readingOrder="1"/>
    </xf>
    <xf numFmtId="2" fontId="24" fillId="5" borderId="11" xfId="17" applyNumberFormat="1" applyFont="1" applyFill="1" applyBorder="1" applyAlignment="1">
      <alignment horizontal="center"/>
    </xf>
    <xf numFmtId="170" fontId="18" fillId="5" borderId="11" xfId="0" applyNumberFormat="1" applyFont="1" applyFill="1" applyBorder="1" applyAlignment="1">
      <alignment horizontal="center"/>
    </xf>
    <xf numFmtId="0" fontId="18" fillId="5" borderId="11" xfId="0" applyFont="1" applyFill="1" applyBorder="1" applyAlignment="1">
      <alignment horizontal="center"/>
    </xf>
    <xf numFmtId="0" fontId="37" fillId="5" borderId="11" xfId="0" applyFont="1" applyFill="1" applyBorder="1" applyAlignment="1">
      <alignment horizontal="center" vertical="center"/>
    </xf>
    <xf numFmtId="1" fontId="25" fillId="5" borderId="11" xfId="21" applyNumberFormat="1" applyFont="1" applyFill="1" applyBorder="1" applyAlignment="1">
      <alignment horizontal="center" vertical="center" wrapText="1" readingOrder="1"/>
    </xf>
    <xf numFmtId="0" fontId="18" fillId="5" borderId="51" xfId="0" applyFont="1" applyFill="1" applyBorder="1" applyAlignment="1">
      <alignment horizontal="center"/>
    </xf>
    <xf numFmtId="166" fontId="18" fillId="5" borderId="51" xfId="0" applyNumberFormat="1" applyFont="1" applyFill="1" applyBorder="1" applyAlignment="1">
      <alignment horizontal="center"/>
    </xf>
    <xf numFmtId="166" fontId="18" fillId="5" borderId="51" xfId="0" applyNumberFormat="1" applyFont="1" applyFill="1" applyBorder="1" applyAlignment="1">
      <alignment horizontal="center" vertical="center"/>
    </xf>
    <xf numFmtId="10" fontId="18" fillId="5" borderId="11" xfId="0" applyNumberFormat="1" applyFont="1" applyFill="1" applyBorder="1" applyAlignment="1">
      <alignment horizontal="center"/>
    </xf>
    <xf numFmtId="166" fontId="18" fillId="5" borderId="11" xfId="0" applyNumberFormat="1" applyFont="1" applyFill="1" applyBorder="1" applyAlignment="1">
      <alignment horizontal="center"/>
    </xf>
    <xf numFmtId="14" fontId="18" fillId="5" borderId="11" xfId="0" applyNumberFormat="1" applyFont="1" applyFill="1" applyBorder="1" applyAlignment="1">
      <alignment horizontal="center"/>
    </xf>
    <xf numFmtId="175" fontId="18" fillId="5" borderId="11" xfId="0" applyNumberFormat="1" applyFont="1" applyFill="1" applyBorder="1" applyAlignment="1">
      <alignment horizontal="center"/>
    </xf>
    <xf numFmtId="0" fontId="18" fillId="5" borderId="11" xfId="4" applyFont="1" applyFill="1" applyBorder="1" applyAlignment="1">
      <alignment horizontal="center"/>
    </xf>
    <xf numFmtId="169" fontId="18" fillId="5" borderId="11" xfId="0" applyNumberFormat="1" applyFont="1" applyFill="1" applyBorder="1" applyAlignment="1">
      <alignment horizontal="center"/>
    </xf>
    <xf numFmtId="0" fontId="18" fillId="5" borderId="28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 wrapText="1" readingOrder="1"/>
    </xf>
    <xf numFmtId="0" fontId="22" fillId="3" borderId="1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 wrapText="1"/>
    </xf>
    <xf numFmtId="0" fontId="22" fillId="3" borderId="1" xfId="10" applyFont="1" applyFill="1" applyBorder="1" applyAlignment="1">
      <alignment horizontal="center"/>
    </xf>
    <xf numFmtId="170" fontId="22" fillId="3" borderId="1" xfId="0" applyNumberFormat="1" applyFont="1" applyFill="1" applyBorder="1" applyAlignment="1">
      <alignment horizontal="center"/>
    </xf>
    <xf numFmtId="0" fontId="38" fillId="4" borderId="1" xfId="0" applyFont="1" applyFill="1" applyBorder="1" applyAlignment="1">
      <alignment horizontal="center" vertical="center" wrapText="1"/>
    </xf>
    <xf numFmtId="0" fontId="38" fillId="4" borderId="16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3" borderId="14" xfId="0" applyFont="1" applyFill="1" applyBorder="1" applyAlignment="1">
      <alignment horizontal="center"/>
    </xf>
    <xf numFmtId="10" fontId="22" fillId="3" borderId="1" xfId="0" applyNumberFormat="1" applyFont="1" applyFill="1" applyBorder="1" applyAlignment="1">
      <alignment horizontal="center"/>
    </xf>
    <xf numFmtId="166" fontId="22" fillId="3" borderId="1" xfId="0" applyNumberFormat="1" applyFont="1" applyFill="1" applyBorder="1" applyAlignment="1">
      <alignment horizontal="center"/>
    </xf>
    <xf numFmtId="14" fontId="22" fillId="3" borderId="1" xfId="0" applyNumberFormat="1" applyFont="1" applyFill="1" applyBorder="1" applyAlignment="1">
      <alignment horizontal="center"/>
    </xf>
    <xf numFmtId="14" fontId="22" fillId="3" borderId="1" xfId="4" applyNumberFormat="1" applyFont="1" applyFill="1" applyBorder="1" applyAlignment="1">
      <alignment horizontal="center"/>
    </xf>
    <xf numFmtId="175" fontId="22" fillId="3" borderId="1" xfId="4" applyNumberFormat="1" applyFont="1" applyFill="1" applyBorder="1" applyAlignment="1">
      <alignment horizontal="center"/>
    </xf>
    <xf numFmtId="0" fontId="22" fillId="3" borderId="1" xfId="4" applyFont="1" applyFill="1" applyBorder="1" applyAlignment="1">
      <alignment horizontal="center"/>
    </xf>
    <xf numFmtId="169" fontId="22" fillId="3" borderId="1" xfId="0" applyNumberFormat="1" applyFont="1" applyFill="1" applyBorder="1" applyAlignment="1">
      <alignment horizontal="center"/>
    </xf>
    <xf numFmtId="0" fontId="22" fillId="3" borderId="0" xfId="0" applyFont="1" applyFill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2" fontId="22" fillId="0" borderId="0" xfId="0" applyNumberFormat="1" applyFont="1" applyAlignment="1">
      <alignment horizontal="center"/>
    </xf>
    <xf numFmtId="172" fontId="22" fillId="11" borderId="0" xfId="1" applyNumberFormat="1" applyFont="1" applyFill="1" applyAlignment="1">
      <alignment horizontal="center"/>
    </xf>
    <xf numFmtId="169" fontId="22" fillId="0" borderId="0" xfId="0" applyNumberFormat="1" applyFont="1" applyAlignment="1">
      <alignment horizontal="center"/>
    </xf>
    <xf numFmtId="172" fontId="22" fillId="0" borderId="0" xfId="1" applyNumberFormat="1" applyFont="1" applyAlignment="1">
      <alignment horizontal="center"/>
    </xf>
    <xf numFmtId="14" fontId="22" fillId="0" borderId="0" xfId="0" applyNumberFormat="1" applyFont="1" applyAlignment="1">
      <alignment horizontal="center"/>
    </xf>
    <xf numFmtId="175" fontId="22" fillId="0" borderId="0" xfId="0" applyNumberFormat="1" applyFont="1" applyAlignment="1">
      <alignment horizontal="center"/>
    </xf>
    <xf numFmtId="0" fontId="22" fillId="0" borderId="26" xfId="0" applyFont="1" applyBorder="1" applyAlignment="1">
      <alignment horizontal="center" wrapText="1"/>
    </xf>
    <xf numFmtId="0" fontId="22" fillId="0" borderId="20" xfId="0" applyFont="1" applyBorder="1" applyAlignment="1">
      <alignment horizontal="center" wrapText="1"/>
    </xf>
    <xf numFmtId="0" fontId="22" fillId="0" borderId="0" xfId="0" applyFont="1" applyAlignment="1">
      <alignment horizontal="center" wrapText="1"/>
    </xf>
    <xf numFmtId="169" fontId="22" fillId="5" borderId="1" xfId="0" applyNumberFormat="1" applyFont="1" applyFill="1" applyBorder="1" applyAlignment="1">
      <alignment horizontal="center" wrapText="1"/>
    </xf>
    <xf numFmtId="169" fontId="22" fillId="5" borderId="3" xfId="0" applyNumberFormat="1" applyFont="1" applyFill="1" applyBorder="1" applyAlignment="1">
      <alignment horizont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wrapText="1"/>
    </xf>
    <xf numFmtId="169" fontId="22" fillId="2" borderId="1" xfId="0" applyNumberFormat="1" applyFont="1" applyFill="1" applyBorder="1" applyAlignment="1">
      <alignment horizontal="center" wrapText="1"/>
    </xf>
    <xf numFmtId="169" fontId="22" fillId="2" borderId="3" xfId="0" applyNumberFormat="1" applyFont="1" applyFill="1" applyBorder="1" applyAlignment="1">
      <alignment horizontal="center" wrapText="1"/>
    </xf>
    <xf numFmtId="169" fontId="22" fillId="3" borderId="1" xfId="0" applyNumberFormat="1" applyFont="1" applyFill="1" applyBorder="1" applyAlignment="1">
      <alignment horizontal="center" wrapText="1"/>
    </xf>
    <xf numFmtId="169" fontId="22" fillId="3" borderId="3" xfId="0" applyNumberFormat="1" applyFont="1" applyFill="1" applyBorder="1" applyAlignment="1">
      <alignment horizont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10" borderId="16" xfId="0" applyFont="1" applyFill="1" applyBorder="1" applyAlignment="1">
      <alignment horizontal="center" wrapText="1"/>
    </xf>
    <xf numFmtId="169" fontId="22" fillId="10" borderId="16" xfId="0" applyNumberFormat="1" applyFont="1" applyFill="1" applyBorder="1" applyAlignment="1">
      <alignment horizontal="center" wrapText="1"/>
    </xf>
    <xf numFmtId="169" fontId="22" fillId="10" borderId="31" xfId="0" applyNumberFormat="1" applyFont="1" applyFill="1" applyBorder="1" applyAlignment="1">
      <alignment horizontal="center" wrapText="1"/>
    </xf>
    <xf numFmtId="0" fontId="22" fillId="0" borderId="0" xfId="0" applyFont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 wrapText="1"/>
    </xf>
    <xf numFmtId="10" fontId="22" fillId="0" borderId="12" xfId="0" applyNumberFormat="1" applyFont="1" applyBorder="1" applyAlignment="1">
      <alignment horizontal="center" vertical="center"/>
    </xf>
    <xf numFmtId="0" fontId="22" fillId="0" borderId="25" xfId="0" applyFont="1" applyBorder="1" applyAlignment="1">
      <alignment horizontal="center" wrapText="1"/>
    </xf>
    <xf numFmtId="0" fontId="22" fillId="5" borderId="3" xfId="0" applyFont="1" applyFill="1" applyBorder="1" applyAlignment="1">
      <alignment horizontal="center" wrapText="1"/>
    </xf>
    <xf numFmtId="0" fontId="22" fillId="2" borderId="14" xfId="0" applyFont="1" applyFill="1" applyBorder="1" applyAlignment="1">
      <alignment horizontal="center" wrapText="1"/>
    </xf>
    <xf numFmtId="0" fontId="22" fillId="2" borderId="3" xfId="0" applyFont="1" applyFill="1" applyBorder="1" applyAlignment="1">
      <alignment horizontal="center" wrapText="1"/>
    </xf>
    <xf numFmtId="0" fontId="22" fillId="3" borderId="14" xfId="0" applyFont="1" applyFill="1" applyBorder="1" applyAlignment="1">
      <alignment horizontal="center" wrapText="1"/>
    </xf>
    <xf numFmtId="0" fontId="22" fillId="3" borderId="3" xfId="0" applyFont="1" applyFill="1" applyBorder="1" applyAlignment="1">
      <alignment horizontal="center" wrapText="1"/>
    </xf>
    <xf numFmtId="0" fontId="22" fillId="10" borderId="34" xfId="0" applyFont="1" applyFill="1" applyBorder="1" applyAlignment="1">
      <alignment horizontal="center" wrapText="1"/>
    </xf>
    <xf numFmtId="0" fontId="22" fillId="10" borderId="31" xfId="0" applyFont="1" applyFill="1" applyBorder="1" applyAlignment="1">
      <alignment horizontal="center" wrapText="1"/>
    </xf>
    <xf numFmtId="0" fontId="22" fillId="3" borderId="5" xfId="0" applyFont="1" applyFill="1" applyBorder="1" applyAlignment="1">
      <alignment horizontal="center" wrapText="1"/>
    </xf>
    <xf numFmtId="0" fontId="22" fillId="0" borderId="6" xfId="0" applyFont="1" applyBorder="1" applyAlignment="1">
      <alignment horizontal="center" wrapText="1"/>
    </xf>
    <xf numFmtId="0" fontId="22" fillId="5" borderId="14" xfId="0" applyFont="1" applyFill="1" applyBorder="1" applyAlignment="1">
      <alignment horizontal="center" wrapText="1"/>
    </xf>
    <xf numFmtId="169" fontId="22" fillId="0" borderId="16" xfId="0" applyNumberFormat="1" applyFont="1" applyBorder="1" applyAlignment="1">
      <alignment horizontal="center" wrapText="1"/>
    </xf>
    <xf numFmtId="169" fontId="22" fillId="0" borderId="34" xfId="0" applyNumberFormat="1" applyFont="1" applyBorder="1" applyAlignment="1">
      <alignment horizontal="center" wrapText="1"/>
    </xf>
    <xf numFmtId="169" fontId="22" fillId="0" borderId="31" xfId="0" applyNumberFormat="1" applyFont="1" applyBorder="1" applyAlignment="1">
      <alignment horizontal="center" wrapText="1"/>
    </xf>
    <xf numFmtId="169" fontId="22" fillId="10" borderId="5" xfId="0" applyNumberFormat="1" applyFont="1" applyFill="1" applyBorder="1" applyAlignment="1">
      <alignment horizontal="center" wrapText="1"/>
    </xf>
    <xf numFmtId="169" fontId="22" fillId="10" borderId="15" xfId="0" applyNumberFormat="1" applyFont="1" applyFill="1" applyBorder="1" applyAlignment="1">
      <alignment horizontal="center" wrapText="1"/>
    </xf>
    <xf numFmtId="169" fontId="22" fillId="10" borderId="6" xfId="0" applyNumberFormat="1" applyFont="1" applyFill="1" applyBorder="1" applyAlignment="1">
      <alignment horizontal="center" wrapText="1"/>
    </xf>
    <xf numFmtId="169" fontId="22" fillId="5" borderId="14" xfId="0" applyNumberFormat="1" applyFont="1" applyFill="1" applyBorder="1" applyAlignment="1">
      <alignment horizontal="center" wrapText="1"/>
    </xf>
    <xf numFmtId="169" fontId="22" fillId="2" borderId="14" xfId="0" applyNumberFormat="1" applyFont="1" applyFill="1" applyBorder="1" applyAlignment="1">
      <alignment horizontal="center" wrapText="1"/>
    </xf>
    <xf numFmtId="169" fontId="22" fillId="0" borderId="5" xfId="0" applyNumberFormat="1" applyFont="1" applyBorder="1" applyAlignment="1">
      <alignment horizontal="center" wrapText="1"/>
    </xf>
    <xf numFmtId="169" fontId="22" fillId="0" borderId="15" xfId="0" applyNumberFormat="1" applyFont="1" applyBorder="1" applyAlignment="1">
      <alignment horizontal="center" wrapText="1"/>
    </xf>
    <xf numFmtId="169" fontId="22" fillId="0" borderId="6" xfId="0" applyNumberFormat="1" applyFont="1" applyBorder="1" applyAlignment="1">
      <alignment horizontal="center" wrapText="1"/>
    </xf>
    <xf numFmtId="1" fontId="22" fillId="5" borderId="1" xfId="0" applyNumberFormat="1" applyFont="1" applyFill="1" applyBorder="1" applyAlignment="1">
      <alignment horizontal="center" wrapText="1"/>
    </xf>
    <xf numFmtId="1" fontId="22" fillId="5" borderId="14" xfId="0" applyNumberFormat="1" applyFont="1" applyFill="1" applyBorder="1" applyAlignment="1">
      <alignment horizontal="center" wrapText="1"/>
    </xf>
    <xf numFmtId="1" fontId="22" fillId="5" borderId="3" xfId="0" applyNumberFormat="1" applyFont="1" applyFill="1" applyBorder="1" applyAlignment="1">
      <alignment horizontal="center" wrapText="1"/>
    </xf>
    <xf numFmtId="1" fontId="22" fillId="2" borderId="1" xfId="0" applyNumberFormat="1" applyFont="1" applyFill="1" applyBorder="1" applyAlignment="1">
      <alignment horizontal="center" wrapText="1"/>
    </xf>
    <xf numFmtId="1" fontId="22" fillId="2" borderId="14" xfId="0" applyNumberFormat="1" applyFont="1" applyFill="1" applyBorder="1" applyAlignment="1">
      <alignment horizontal="center" wrapText="1"/>
    </xf>
    <xf numFmtId="1" fontId="22" fillId="2" borderId="3" xfId="0" applyNumberFormat="1" applyFont="1" applyFill="1" applyBorder="1" applyAlignment="1">
      <alignment horizontal="center" wrapText="1"/>
    </xf>
    <xf numFmtId="1" fontId="22" fillId="0" borderId="5" xfId="0" applyNumberFormat="1" applyFont="1" applyBorder="1" applyAlignment="1">
      <alignment horizontal="center" wrapText="1"/>
    </xf>
    <xf numFmtId="1" fontId="22" fillId="0" borderId="15" xfId="0" applyNumberFormat="1" applyFont="1" applyBorder="1" applyAlignment="1">
      <alignment horizontal="center" wrapText="1"/>
    </xf>
    <xf numFmtId="1" fontId="22" fillId="0" borderId="6" xfId="0" applyNumberFormat="1" applyFont="1" applyBorder="1" applyAlignment="1">
      <alignment horizontal="center" wrapText="1"/>
    </xf>
    <xf numFmtId="1" fontId="22" fillId="10" borderId="5" xfId="0" applyNumberFormat="1" applyFont="1" applyFill="1" applyBorder="1" applyAlignment="1">
      <alignment horizontal="center" wrapText="1"/>
    </xf>
    <xf numFmtId="1" fontId="22" fillId="10" borderId="15" xfId="0" applyNumberFormat="1" applyFont="1" applyFill="1" applyBorder="1" applyAlignment="1">
      <alignment horizontal="center" wrapText="1"/>
    </xf>
    <xf numFmtId="1" fontId="22" fillId="10" borderId="6" xfId="0" applyNumberFormat="1" applyFont="1" applyFill="1" applyBorder="1" applyAlignment="1">
      <alignment horizontal="center" wrapText="1"/>
    </xf>
    <xf numFmtId="169" fontId="38" fillId="4" borderId="1" xfId="0" applyNumberFormat="1" applyFont="1" applyFill="1" applyBorder="1" applyAlignment="1">
      <alignment horizontal="center" vertical="center" wrapText="1"/>
    </xf>
    <xf numFmtId="14" fontId="38" fillId="4" borderId="1" xfId="0" applyNumberFormat="1" applyFont="1" applyFill="1" applyBorder="1" applyAlignment="1">
      <alignment horizontal="center" vertical="center" wrapText="1"/>
    </xf>
    <xf numFmtId="175" fontId="38" fillId="4" borderId="1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166" fontId="21" fillId="3" borderId="1" xfId="0" applyNumberFormat="1" applyFont="1" applyFill="1" applyBorder="1" applyAlignment="1">
      <alignment horizontal="center" vertical="center"/>
    </xf>
    <xf numFmtId="1" fontId="27" fillId="3" borderId="8" xfId="21" applyNumberFormat="1" applyFont="1" applyFill="1" applyBorder="1" applyAlignment="1">
      <alignment horizontal="center" vertical="center" wrapText="1" readingOrder="1"/>
    </xf>
    <xf numFmtId="166" fontId="27" fillId="3" borderId="1" xfId="0" applyNumberFormat="1" applyFont="1" applyFill="1" applyBorder="1" applyAlignment="1">
      <alignment horizontal="center" vertical="center" wrapText="1" readingOrder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42" fillId="11" borderId="11" xfId="0" applyFont="1" applyFill="1" applyBorder="1" applyAlignment="1">
      <alignment horizontal="center" vertical="center" wrapText="1"/>
    </xf>
    <xf numFmtId="169" fontId="42" fillId="11" borderId="11" xfId="0" applyNumberFormat="1" applyFont="1" applyFill="1" applyBorder="1" applyAlignment="1">
      <alignment horizontal="center" vertical="center" wrapText="1"/>
    </xf>
    <xf numFmtId="169" fontId="42" fillId="11" borderId="12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10" fontId="21" fillId="0" borderId="12" xfId="0" applyNumberFormat="1" applyFont="1" applyBorder="1" applyAlignment="1">
      <alignment horizontal="center" vertical="center"/>
    </xf>
    <xf numFmtId="0" fontId="43" fillId="3" borderId="1" xfId="0" applyFont="1" applyFill="1" applyBorder="1" applyAlignment="1">
      <alignment horizontal="center" vertical="center"/>
    </xf>
    <xf numFmtId="169" fontId="43" fillId="3" borderId="1" xfId="0" applyNumberFormat="1" applyFont="1" applyFill="1" applyBorder="1" applyAlignment="1">
      <alignment horizontal="center" vertical="center"/>
    </xf>
    <xf numFmtId="169" fontId="42" fillId="3" borderId="1" xfId="0" applyNumberFormat="1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center"/>
    </xf>
    <xf numFmtId="1" fontId="43" fillId="3" borderId="1" xfId="0" applyNumberFormat="1" applyFont="1" applyFill="1" applyBorder="1" applyAlignment="1">
      <alignment horizontal="center" vertical="center"/>
    </xf>
    <xf numFmtId="1" fontId="42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2" fontId="27" fillId="3" borderId="1" xfId="0" applyNumberFormat="1" applyFont="1" applyFill="1" applyBorder="1" applyAlignment="1">
      <alignment horizontal="center" vertical="center" wrapText="1" readingOrder="1"/>
    </xf>
    <xf numFmtId="2" fontId="27" fillId="3" borderId="1" xfId="13" applyNumberFormat="1" applyFont="1" applyFill="1" applyBorder="1" applyAlignment="1">
      <alignment horizontal="center" vertical="center" wrapText="1" readingOrder="1"/>
    </xf>
    <xf numFmtId="170" fontId="21" fillId="3" borderId="1" xfId="0" applyNumberFormat="1" applyFont="1" applyFill="1" applyBorder="1" applyAlignment="1">
      <alignment horizontal="center" vertical="center"/>
    </xf>
    <xf numFmtId="14" fontId="21" fillId="3" borderId="1" xfId="0" applyNumberFormat="1" applyFont="1" applyFill="1" applyBorder="1" applyAlignment="1">
      <alignment horizontal="center" vertical="center"/>
    </xf>
    <xf numFmtId="14" fontId="21" fillId="3" borderId="1" xfId="4" applyNumberFormat="1" applyFont="1" applyFill="1" applyBorder="1" applyAlignment="1">
      <alignment horizontal="center" vertical="center"/>
    </xf>
    <xf numFmtId="175" fontId="21" fillId="3" borderId="1" xfId="4" applyNumberFormat="1" applyFont="1" applyFill="1" applyBorder="1" applyAlignment="1">
      <alignment horizontal="center" vertical="center"/>
    </xf>
    <xf numFmtId="0" fontId="21" fillId="3" borderId="1" xfId="4" applyFont="1" applyFill="1" applyBorder="1" applyAlignment="1">
      <alignment horizontal="center" vertical="center"/>
    </xf>
    <xf numFmtId="169" fontId="21" fillId="3" borderId="1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2" fontId="27" fillId="3" borderId="1" xfId="17" applyNumberFormat="1" applyFont="1" applyFill="1" applyBorder="1" applyAlignment="1">
      <alignment horizontal="center" vertical="center"/>
    </xf>
    <xf numFmtId="49" fontId="39" fillId="3" borderId="1" xfId="3" applyNumberFormat="1" applyFont="1" applyFill="1" applyBorder="1" applyAlignment="1">
      <alignment horizontal="center" vertical="center" wrapText="1"/>
    </xf>
    <xf numFmtId="0" fontId="21" fillId="3" borderId="1" xfId="1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center" wrapText="1" readingOrder="1"/>
    </xf>
    <xf numFmtId="0" fontId="21" fillId="3" borderId="8" xfId="0" applyFont="1" applyFill="1" applyBorder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172" fontId="21" fillId="11" borderId="0" xfId="1" applyNumberFormat="1" applyFont="1" applyFill="1" applyAlignment="1">
      <alignment horizontal="center" vertical="center"/>
    </xf>
    <xf numFmtId="169" fontId="21" fillId="0" borderId="0" xfId="0" applyNumberFormat="1" applyFont="1" applyAlignment="1">
      <alignment horizontal="center" vertical="center"/>
    </xf>
    <xf numFmtId="172" fontId="21" fillId="0" borderId="0" xfId="1" applyNumberFormat="1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175" fontId="21" fillId="0" borderId="0" xfId="0" applyNumberFormat="1" applyFont="1" applyAlignment="1">
      <alignment horizontal="center" vertical="center"/>
    </xf>
    <xf numFmtId="0" fontId="21" fillId="0" borderId="26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169" fontId="21" fillId="5" borderId="1" xfId="0" applyNumberFormat="1" applyFont="1" applyFill="1" applyBorder="1" applyAlignment="1">
      <alignment horizontal="center" vertical="center" wrapText="1"/>
    </xf>
    <xf numFmtId="169" fontId="21" fillId="5" borderId="3" xfId="0" applyNumberFormat="1" applyFont="1" applyFill="1" applyBorder="1" applyAlignment="1">
      <alignment horizontal="center" vertical="center" wrapText="1"/>
    </xf>
    <xf numFmtId="167" fontId="21" fillId="0" borderId="0" xfId="0" applyNumberFormat="1" applyFont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169" fontId="21" fillId="2" borderId="1" xfId="0" applyNumberFormat="1" applyFont="1" applyFill="1" applyBorder="1" applyAlignment="1">
      <alignment horizontal="center" vertical="center" wrapText="1"/>
    </xf>
    <xf numFmtId="169" fontId="21" fillId="2" borderId="3" xfId="0" applyNumberFormat="1" applyFont="1" applyFill="1" applyBorder="1" applyAlignment="1">
      <alignment horizontal="center" vertical="center" wrapText="1"/>
    </xf>
    <xf numFmtId="169" fontId="21" fillId="3" borderId="1" xfId="0" applyNumberFormat="1" applyFont="1" applyFill="1" applyBorder="1" applyAlignment="1">
      <alignment horizontal="center" vertical="center" wrapText="1"/>
    </xf>
    <xf numFmtId="169" fontId="21" fillId="3" borderId="3" xfId="0" applyNumberFormat="1" applyFont="1" applyFill="1" applyBorder="1" applyAlignment="1">
      <alignment horizontal="center" vertical="center" wrapText="1"/>
    </xf>
    <xf numFmtId="0" fontId="21" fillId="10" borderId="16" xfId="0" applyFont="1" applyFill="1" applyBorder="1" applyAlignment="1">
      <alignment horizontal="center" vertical="center" wrapText="1"/>
    </xf>
    <xf numFmtId="169" fontId="21" fillId="10" borderId="16" xfId="0" applyNumberFormat="1" applyFont="1" applyFill="1" applyBorder="1" applyAlignment="1">
      <alignment horizontal="center" vertical="center" wrapText="1"/>
    </xf>
    <xf numFmtId="169" fontId="21" fillId="10" borderId="31" xfId="0" applyNumberFormat="1" applyFont="1" applyFill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0" fontId="21" fillId="10" borderId="34" xfId="0" applyFont="1" applyFill="1" applyBorder="1" applyAlignment="1">
      <alignment horizontal="center" vertical="center" wrapText="1"/>
    </xf>
    <xf numFmtId="0" fontId="21" fillId="10" borderId="31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169" fontId="21" fillId="0" borderId="16" xfId="0" applyNumberFormat="1" applyFont="1" applyBorder="1" applyAlignment="1">
      <alignment horizontal="center" vertical="center" wrapText="1"/>
    </xf>
    <xf numFmtId="169" fontId="21" fillId="0" borderId="34" xfId="0" applyNumberFormat="1" applyFont="1" applyBorder="1" applyAlignment="1">
      <alignment horizontal="center" vertical="center" wrapText="1"/>
    </xf>
    <xf numFmtId="169" fontId="21" fillId="0" borderId="31" xfId="0" applyNumberFormat="1" applyFont="1" applyBorder="1" applyAlignment="1">
      <alignment horizontal="center" vertical="center" wrapText="1"/>
    </xf>
    <xf numFmtId="169" fontId="21" fillId="10" borderId="5" xfId="0" applyNumberFormat="1" applyFont="1" applyFill="1" applyBorder="1" applyAlignment="1">
      <alignment horizontal="center" vertical="center" wrapText="1"/>
    </xf>
    <xf numFmtId="169" fontId="21" fillId="10" borderId="15" xfId="0" applyNumberFormat="1" applyFont="1" applyFill="1" applyBorder="1" applyAlignment="1">
      <alignment horizontal="center" vertical="center" wrapText="1"/>
    </xf>
    <xf numFmtId="169" fontId="21" fillId="10" borderId="6" xfId="0" applyNumberFormat="1" applyFont="1" applyFill="1" applyBorder="1" applyAlignment="1">
      <alignment horizontal="center" vertical="center" wrapText="1"/>
    </xf>
    <xf numFmtId="169" fontId="21" fillId="5" borderId="14" xfId="0" applyNumberFormat="1" applyFont="1" applyFill="1" applyBorder="1" applyAlignment="1">
      <alignment horizontal="center" vertical="center" wrapText="1"/>
    </xf>
    <xf numFmtId="169" fontId="21" fillId="2" borderId="14" xfId="0" applyNumberFormat="1" applyFont="1" applyFill="1" applyBorder="1" applyAlignment="1">
      <alignment horizontal="center" vertical="center" wrapText="1"/>
    </xf>
    <xf numFmtId="169" fontId="21" fillId="0" borderId="5" xfId="0" applyNumberFormat="1" applyFont="1" applyBorder="1" applyAlignment="1">
      <alignment horizontal="center" vertical="center" wrapText="1"/>
    </xf>
    <xf numFmtId="169" fontId="21" fillId="0" borderId="15" xfId="0" applyNumberFormat="1" applyFont="1" applyBorder="1" applyAlignment="1">
      <alignment horizontal="center" vertical="center" wrapText="1"/>
    </xf>
    <xf numFmtId="169" fontId="21" fillId="0" borderId="6" xfId="0" applyNumberFormat="1" applyFont="1" applyBorder="1" applyAlignment="1">
      <alignment horizontal="center" vertical="center" wrapText="1"/>
    </xf>
    <xf numFmtId="1" fontId="21" fillId="5" borderId="14" xfId="0" applyNumberFormat="1" applyFont="1" applyFill="1" applyBorder="1" applyAlignment="1">
      <alignment horizontal="center" vertical="center" wrapText="1"/>
    </xf>
    <xf numFmtId="1" fontId="21" fillId="5" borderId="3" xfId="0" applyNumberFormat="1" applyFont="1" applyFill="1" applyBorder="1" applyAlignment="1">
      <alignment horizontal="center" vertical="center" wrapText="1"/>
    </xf>
    <xf numFmtId="1" fontId="21" fillId="2" borderId="1" xfId="0" applyNumberFormat="1" applyFont="1" applyFill="1" applyBorder="1" applyAlignment="1">
      <alignment horizontal="center" vertical="center" wrapText="1"/>
    </xf>
    <xf numFmtId="1" fontId="21" fillId="2" borderId="14" xfId="0" applyNumberFormat="1" applyFont="1" applyFill="1" applyBorder="1" applyAlignment="1">
      <alignment horizontal="center" vertical="center" wrapText="1"/>
    </xf>
    <xf numFmtId="1" fontId="21" fillId="2" borderId="3" xfId="0" applyNumberFormat="1" applyFont="1" applyFill="1" applyBorder="1" applyAlignment="1">
      <alignment horizontal="center" vertical="center" wrapText="1"/>
    </xf>
    <xf numFmtId="1" fontId="21" fillId="0" borderId="5" xfId="0" applyNumberFormat="1" applyFont="1" applyBorder="1" applyAlignment="1">
      <alignment horizontal="center" vertical="center" wrapText="1"/>
    </xf>
    <xf numFmtId="1" fontId="21" fillId="0" borderId="15" xfId="0" applyNumberFormat="1" applyFont="1" applyBorder="1" applyAlignment="1">
      <alignment horizontal="center" vertical="center" wrapText="1"/>
    </xf>
    <xf numFmtId="1" fontId="21" fillId="0" borderId="6" xfId="0" applyNumberFormat="1" applyFont="1" applyBorder="1" applyAlignment="1">
      <alignment horizontal="center" vertical="center" wrapText="1"/>
    </xf>
    <xf numFmtId="1" fontId="21" fillId="10" borderId="5" xfId="0" applyNumberFormat="1" applyFont="1" applyFill="1" applyBorder="1" applyAlignment="1">
      <alignment horizontal="center" vertical="center" wrapText="1"/>
    </xf>
    <xf numFmtId="1" fontId="21" fillId="10" borderId="15" xfId="0" applyNumberFormat="1" applyFont="1" applyFill="1" applyBorder="1" applyAlignment="1">
      <alignment horizontal="center" vertical="center" wrapText="1"/>
    </xf>
    <xf numFmtId="1" fontId="21" fillId="10" borderId="6" xfId="0" applyNumberFormat="1" applyFont="1" applyFill="1" applyBorder="1" applyAlignment="1">
      <alignment horizontal="center" vertical="center" wrapText="1"/>
    </xf>
    <xf numFmtId="170" fontId="27" fillId="0" borderId="1" xfId="0" applyNumberFormat="1" applyFont="1" applyBorder="1" applyAlignment="1">
      <alignment horizontal="center" vertical="center"/>
    </xf>
    <xf numFmtId="0" fontId="22" fillId="0" borderId="0" xfId="0" applyFont="1"/>
    <xf numFmtId="0" fontId="44" fillId="4" borderId="1" xfId="0" applyFont="1" applyFill="1" applyBorder="1" applyAlignment="1">
      <alignment horizontal="center" vertical="center" wrapText="1"/>
    </xf>
    <xf numFmtId="0" fontId="44" fillId="4" borderId="16" xfId="0" applyFont="1" applyFill="1" applyBorder="1" applyAlignment="1">
      <alignment horizontal="center" vertical="center" wrapText="1"/>
    </xf>
    <xf numFmtId="169" fontId="44" fillId="4" borderId="1" xfId="0" applyNumberFormat="1" applyFont="1" applyFill="1" applyBorder="1" applyAlignment="1">
      <alignment horizontal="center" vertical="center" wrapText="1"/>
    </xf>
    <xf numFmtId="14" fontId="44" fillId="4" borderId="1" xfId="0" applyNumberFormat="1" applyFont="1" applyFill="1" applyBorder="1" applyAlignment="1">
      <alignment horizontal="center" vertical="center" wrapText="1"/>
    </xf>
    <xf numFmtId="175" fontId="44" fillId="4" borderId="1" xfId="0" applyNumberFormat="1" applyFont="1" applyFill="1" applyBorder="1" applyAlignment="1">
      <alignment horizontal="center" vertical="center" wrapText="1"/>
    </xf>
    <xf numFmtId="166" fontId="22" fillId="3" borderId="14" xfId="0" applyNumberFormat="1" applyFont="1" applyFill="1" applyBorder="1" applyAlignment="1">
      <alignment horizontal="center"/>
    </xf>
    <xf numFmtId="166" fontId="22" fillId="3" borderId="14" xfId="0" applyNumberFormat="1" applyFont="1" applyFill="1" applyBorder="1" applyAlignment="1">
      <alignment horizontal="center" vertical="center"/>
    </xf>
    <xf numFmtId="0" fontId="22" fillId="11" borderId="11" xfId="0" applyFont="1" applyFill="1" applyBorder="1" applyAlignment="1">
      <alignment horizontal="center" vertical="center" wrapText="1"/>
    </xf>
    <xf numFmtId="169" fontId="22" fillId="11" borderId="11" xfId="0" applyNumberFormat="1" applyFont="1" applyFill="1" applyBorder="1" applyAlignment="1">
      <alignment horizontal="center" vertical="center" wrapText="1"/>
    </xf>
    <xf numFmtId="169" fontId="22" fillId="11" borderId="12" xfId="0" applyNumberFormat="1" applyFont="1" applyFill="1" applyBorder="1" applyAlignment="1">
      <alignment horizontal="center" vertical="center" wrapText="1"/>
    </xf>
    <xf numFmtId="169" fontId="13" fillId="3" borderId="1" xfId="0" applyNumberFormat="1" applyFont="1" applyFill="1" applyBorder="1" applyAlignment="1">
      <alignment horizontal="center" vertical="center"/>
    </xf>
    <xf numFmtId="169" fontId="22" fillId="3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1" fontId="22" fillId="3" borderId="1" xfId="0" applyNumberFormat="1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wrapText="1" readingOrder="1"/>
    </xf>
    <xf numFmtId="0" fontId="1" fillId="3" borderId="53" xfId="0" applyFont="1" applyFill="1" applyBorder="1"/>
    <xf numFmtId="1" fontId="1" fillId="5" borderId="1" xfId="1" applyNumberFormat="1" applyFont="1" applyFill="1" applyBorder="1" applyAlignment="1">
      <alignment horizontal="center" vertical="center"/>
    </xf>
    <xf numFmtId="1" fontId="1" fillId="3" borderId="1" xfId="1" applyNumberFormat="1" applyFont="1" applyFill="1" applyBorder="1" applyAlignment="1">
      <alignment horizontal="center" vertical="center"/>
    </xf>
    <xf numFmtId="1" fontId="1" fillId="5" borderId="16" xfId="1" applyNumberFormat="1" applyFont="1" applyFill="1" applyBorder="1" applyAlignment="1">
      <alignment horizontal="center" vertical="center"/>
    </xf>
    <xf numFmtId="1" fontId="15" fillId="5" borderId="26" xfId="17" applyNumberFormat="1" applyFont="1" applyFill="1" applyBorder="1" applyAlignment="1">
      <alignment horizontal="center" vertical="center"/>
    </xf>
    <xf numFmtId="1" fontId="14" fillId="5" borderId="26" xfId="17" applyNumberFormat="1" applyFont="1" applyFill="1" applyBorder="1" applyAlignment="1">
      <alignment horizontal="center" vertical="center"/>
    </xf>
    <xf numFmtId="1" fontId="15" fillId="5" borderId="1" xfId="17" applyNumberFormat="1" applyFont="1" applyFill="1" applyBorder="1" applyAlignment="1">
      <alignment horizontal="center" vertical="center"/>
    </xf>
    <xf numFmtId="1" fontId="15" fillId="5" borderId="5" xfId="17" applyNumberFormat="1" applyFont="1" applyFill="1" applyBorder="1" applyAlignment="1">
      <alignment horizontal="center" vertical="center"/>
    </xf>
    <xf numFmtId="1" fontId="15" fillId="3" borderId="1" xfId="17" applyNumberFormat="1" applyFont="1" applyFill="1" applyBorder="1" applyAlignment="1">
      <alignment horizontal="center" vertical="center"/>
    </xf>
    <xf numFmtId="1" fontId="15" fillId="5" borderId="16" xfId="17" applyNumberFormat="1" applyFont="1" applyFill="1" applyBorder="1" applyAlignment="1">
      <alignment horizontal="center" vertical="center"/>
    </xf>
    <xf numFmtId="1" fontId="14" fillId="5" borderId="16" xfId="17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/>
    </xf>
    <xf numFmtId="1" fontId="15" fillId="3" borderId="1" xfId="0" applyNumberFormat="1" applyFont="1" applyFill="1" applyBorder="1" applyAlignment="1">
      <alignment horizontal="center" vertical="center"/>
    </xf>
    <xf numFmtId="169" fontId="1" fillId="0" borderId="8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25" fillId="3" borderId="8" xfId="0" applyFont="1" applyFill="1" applyBorder="1" applyAlignment="1">
      <alignment horizontal="center" vertical="center"/>
    </xf>
    <xf numFmtId="169" fontId="25" fillId="3" borderId="8" xfId="0" applyNumberFormat="1" applyFont="1" applyFill="1" applyBorder="1" applyAlignment="1">
      <alignment horizontal="center" vertical="center"/>
    </xf>
    <xf numFmtId="169" fontId="18" fillId="3" borderId="8" xfId="0" applyNumberFormat="1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9" fontId="15" fillId="0" borderId="1" xfId="0" applyNumberFormat="1" applyFont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169" fontId="14" fillId="3" borderId="1" xfId="0" applyNumberFormat="1" applyFont="1" applyFill="1" applyBorder="1" applyAlignment="1">
      <alignment horizontal="center"/>
    </xf>
    <xf numFmtId="171" fontId="1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 vertical="top"/>
    </xf>
    <xf numFmtId="0" fontId="1" fillId="0" borderId="55" xfId="0" applyFont="1" applyBorder="1" applyAlignment="1">
      <alignment horizontal="center" vertical="top"/>
    </xf>
    <xf numFmtId="169" fontId="1" fillId="0" borderId="55" xfId="0" applyNumberFormat="1" applyFont="1" applyBorder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169" fontId="1" fillId="0" borderId="21" xfId="0" applyNumberFormat="1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1" fontId="1" fillId="0" borderId="14" xfId="0" applyNumberFormat="1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1" fontId="1" fillId="0" borderId="56" xfId="0" applyNumberFormat="1" applyFont="1" applyBorder="1" applyAlignment="1">
      <alignment horizontal="center" vertical="top"/>
    </xf>
    <xf numFmtId="0" fontId="18" fillId="0" borderId="10" xfId="0" applyFont="1" applyBorder="1" applyAlignment="1">
      <alignment horizontal="center" vertical="top"/>
    </xf>
    <xf numFmtId="1" fontId="1" fillId="0" borderId="11" xfId="0" applyNumberFormat="1" applyFont="1" applyBorder="1" applyAlignment="1">
      <alignment horizontal="center" vertical="top"/>
    </xf>
    <xf numFmtId="1" fontId="1" fillId="18" borderId="1" xfId="0" applyNumberFormat="1" applyFont="1" applyFill="1" applyBorder="1" applyAlignment="1">
      <alignment horizontal="center" vertical="top"/>
    </xf>
    <xf numFmtId="1" fontId="1" fillId="18" borderId="14" xfId="0" applyNumberFormat="1" applyFont="1" applyFill="1" applyBorder="1" applyAlignment="1">
      <alignment horizontal="center" vertical="top"/>
    </xf>
    <xf numFmtId="1" fontId="1" fillId="18" borderId="56" xfId="0" applyNumberFormat="1" applyFont="1" applyFill="1" applyBorder="1" applyAlignment="1">
      <alignment horizontal="center" vertical="top"/>
    </xf>
    <xf numFmtId="0" fontId="1" fillId="18" borderId="1" xfId="0" applyFont="1" applyFill="1" applyBorder="1" applyAlignment="1">
      <alignment horizontal="center" vertical="top"/>
    </xf>
    <xf numFmtId="0" fontId="1" fillId="18" borderId="14" xfId="0" applyFont="1" applyFill="1" applyBorder="1" applyAlignment="1">
      <alignment horizontal="center" vertical="top"/>
    </xf>
    <xf numFmtId="0" fontId="18" fillId="18" borderId="16" xfId="0" applyFont="1" applyFill="1" applyBorder="1" applyAlignment="1">
      <alignment horizontal="center" vertical="top"/>
    </xf>
    <xf numFmtId="1" fontId="1" fillId="18" borderId="16" xfId="0" applyNumberFormat="1" applyFont="1" applyFill="1" applyBorder="1" applyAlignment="1">
      <alignment horizontal="center" vertical="top"/>
    </xf>
    <xf numFmtId="1" fontId="1" fillId="18" borderId="57" xfId="0" applyNumberFormat="1" applyFont="1" applyFill="1" applyBorder="1" applyAlignment="1">
      <alignment horizontal="center" vertical="top"/>
    </xf>
    <xf numFmtId="0" fontId="18" fillId="18" borderId="1" xfId="0" applyFont="1" applyFill="1" applyBorder="1" applyAlignment="1">
      <alignment horizontal="center" vertical="center"/>
    </xf>
    <xf numFmtId="0" fontId="18" fillId="18" borderId="1" xfId="0" applyFont="1" applyFill="1" applyBorder="1" applyAlignment="1">
      <alignment horizontal="center" vertical="top"/>
    </xf>
    <xf numFmtId="1" fontId="1" fillId="0" borderId="50" xfId="0" applyNumberFormat="1" applyFont="1" applyBorder="1" applyAlignment="1">
      <alignment horizontal="center" vertical="top"/>
    </xf>
    <xf numFmtId="0" fontId="18" fillId="3" borderId="13" xfId="0" applyFont="1" applyFill="1" applyBorder="1" applyAlignment="1">
      <alignment horizontal="center" vertical="center"/>
    </xf>
    <xf numFmtId="0" fontId="18" fillId="0" borderId="5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25" fillId="3" borderId="26" xfId="0" applyFont="1" applyFill="1" applyBorder="1" applyAlignment="1">
      <alignment horizontal="center" vertical="center"/>
    </xf>
    <xf numFmtId="169" fontId="25" fillId="3" borderId="26" xfId="0" applyNumberFormat="1" applyFont="1" applyFill="1" applyBorder="1" applyAlignment="1">
      <alignment horizontal="center" vertical="center"/>
    </xf>
    <xf numFmtId="169" fontId="18" fillId="3" borderId="26" xfId="0" applyNumberFormat="1" applyFont="1" applyFill="1" applyBorder="1" applyAlignment="1">
      <alignment horizontal="center" vertical="center"/>
    </xf>
    <xf numFmtId="0" fontId="18" fillId="3" borderId="26" xfId="0" applyFont="1" applyFill="1" applyBorder="1" applyAlignment="1">
      <alignment horizontal="center" vertical="center"/>
    </xf>
    <xf numFmtId="0" fontId="18" fillId="18" borderId="2" xfId="0" applyFont="1" applyFill="1" applyBorder="1" applyAlignment="1">
      <alignment horizontal="center" vertical="center"/>
    </xf>
    <xf numFmtId="1" fontId="1" fillId="18" borderId="3" xfId="0" applyNumberFormat="1" applyFont="1" applyFill="1" applyBorder="1" applyAlignment="1">
      <alignment horizontal="center" vertical="top"/>
    </xf>
    <xf numFmtId="0" fontId="18" fillId="0" borderId="2" xfId="0" applyFont="1" applyBorder="1" applyAlignment="1">
      <alignment horizontal="center" vertical="top"/>
    </xf>
    <xf numFmtId="1" fontId="1" fillId="0" borderId="3" xfId="0" applyNumberFormat="1" applyFont="1" applyBorder="1" applyAlignment="1">
      <alignment horizontal="center" vertical="top"/>
    </xf>
    <xf numFmtId="0" fontId="18" fillId="18" borderId="2" xfId="0" applyFont="1" applyFill="1" applyBorder="1" applyAlignment="1">
      <alignment horizontal="center" vertical="top"/>
    </xf>
    <xf numFmtId="0" fontId="18" fillId="18" borderId="4" xfId="0" applyFont="1" applyFill="1" applyBorder="1" applyAlignment="1">
      <alignment horizontal="center" vertical="top"/>
    </xf>
    <xf numFmtId="1" fontId="1" fillId="18" borderId="5" xfId="0" applyNumberFormat="1" applyFont="1" applyFill="1" applyBorder="1" applyAlignment="1">
      <alignment horizontal="center" vertical="top"/>
    </xf>
    <xf numFmtId="1" fontId="1" fillId="18" borderId="6" xfId="0" applyNumberFormat="1" applyFont="1" applyFill="1" applyBorder="1" applyAlignment="1">
      <alignment horizontal="center" vertical="top"/>
    </xf>
    <xf numFmtId="0" fontId="1" fillId="0" borderId="59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41" xfId="0" applyFont="1" applyBorder="1" applyAlignment="1">
      <alignment horizontal="center" vertical="top"/>
    </xf>
    <xf numFmtId="0" fontId="18" fillId="18" borderId="14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top"/>
    </xf>
    <xf numFmtId="0" fontId="18" fillId="18" borderId="14" xfId="0" applyFont="1" applyFill="1" applyBorder="1" applyAlignment="1">
      <alignment horizontal="center" vertical="top"/>
    </xf>
    <xf numFmtId="0" fontId="18" fillId="18" borderId="34" xfId="0" applyFont="1" applyFill="1" applyBorder="1" applyAlignment="1">
      <alignment horizontal="center" vertical="top"/>
    </xf>
    <xf numFmtId="0" fontId="25" fillId="3" borderId="16" xfId="0" applyFont="1" applyFill="1" applyBorder="1" applyAlignment="1">
      <alignment horizontal="center" vertical="center"/>
    </xf>
    <xf numFmtId="169" fontId="25" fillId="3" borderId="16" xfId="0" applyNumberFormat="1" applyFont="1" applyFill="1" applyBorder="1" applyAlignment="1">
      <alignment horizontal="center" vertical="center"/>
    </xf>
    <xf numFmtId="169" fontId="18" fillId="3" borderId="16" xfId="0" applyNumberFormat="1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top"/>
    </xf>
    <xf numFmtId="1" fontId="1" fillId="18" borderId="19" xfId="0" applyNumberFormat="1" applyFont="1" applyFill="1" applyBorder="1" applyAlignment="1">
      <alignment horizontal="center" vertical="top"/>
    </xf>
    <xf numFmtId="1" fontId="1" fillId="18" borderId="26" xfId="0" applyNumberFormat="1" applyFont="1" applyFill="1" applyBorder="1" applyAlignment="1">
      <alignment horizontal="center" vertical="top"/>
    </xf>
    <xf numFmtId="1" fontId="1" fillId="18" borderId="20" xfId="0" applyNumberFormat="1" applyFont="1" applyFill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1" fontId="1" fillId="18" borderId="2" xfId="0" applyNumberFormat="1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" fontId="1" fillId="18" borderId="4" xfId="0" applyNumberFormat="1" applyFont="1" applyFill="1" applyBorder="1" applyAlignment="1">
      <alignment horizontal="center" vertical="top"/>
    </xf>
    <xf numFmtId="1" fontId="1" fillId="18" borderId="15" xfId="0" applyNumberFormat="1" applyFont="1" applyFill="1" applyBorder="1" applyAlignment="1">
      <alignment horizontal="center" vertical="top"/>
    </xf>
    <xf numFmtId="0" fontId="1" fillId="0" borderId="21" xfId="0" applyFont="1" applyBorder="1"/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/>
    <xf numFmtId="9" fontId="1" fillId="0" borderId="3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0" fontId="1" fillId="12" borderId="2" xfId="0" applyFont="1" applyFill="1" applyBorder="1" applyAlignment="1">
      <alignment horizontal="center" vertical="center"/>
    </xf>
    <xf numFmtId="1" fontId="1" fillId="12" borderId="1" xfId="0" applyNumberFormat="1" applyFont="1" applyFill="1" applyBorder="1" applyAlignment="1">
      <alignment horizontal="center" vertical="center"/>
    </xf>
    <xf numFmtId="9" fontId="1" fillId="12" borderId="3" xfId="0" applyNumberFormat="1" applyFont="1" applyFill="1" applyBorder="1" applyAlignment="1">
      <alignment horizontal="center"/>
    </xf>
    <xf numFmtId="1" fontId="1" fillId="12" borderId="1" xfId="0" applyNumberFormat="1" applyFont="1" applyFill="1" applyBorder="1" applyAlignment="1">
      <alignment horizontal="center" vertical="top"/>
    </xf>
    <xf numFmtId="9" fontId="1" fillId="12" borderId="3" xfId="0" applyNumberFormat="1" applyFont="1" applyFill="1" applyBorder="1" applyAlignment="1">
      <alignment horizontal="center" vertical="top"/>
    </xf>
    <xf numFmtId="0" fontId="1" fillId="12" borderId="2" xfId="0" applyFont="1" applyFill="1" applyBorder="1" applyAlignment="1">
      <alignment horizontal="center" vertical="top"/>
    </xf>
    <xf numFmtId="0" fontId="1" fillId="12" borderId="4" xfId="0" applyFont="1" applyFill="1" applyBorder="1" applyAlignment="1">
      <alignment horizontal="center" vertical="top"/>
    </xf>
    <xf numFmtId="1" fontId="1" fillId="12" borderId="5" xfId="0" applyNumberFormat="1" applyFont="1" applyFill="1" applyBorder="1" applyAlignment="1">
      <alignment horizontal="center" vertical="top"/>
    </xf>
    <xf numFmtId="9" fontId="1" fillId="12" borderId="6" xfId="0" applyNumberFormat="1" applyFont="1" applyFill="1" applyBorder="1" applyAlignment="1">
      <alignment horizontal="center" vertical="top"/>
    </xf>
    <xf numFmtId="0" fontId="1" fillId="12" borderId="3" xfId="0" applyFont="1" applyFill="1" applyBorder="1" applyAlignment="1">
      <alignment horizontal="center"/>
    </xf>
    <xf numFmtId="0" fontId="1" fillId="12" borderId="2" xfId="0" applyFont="1" applyFill="1" applyBorder="1" applyAlignment="1">
      <alignment vertical="center"/>
    </xf>
    <xf numFmtId="0" fontId="1" fillId="12" borderId="3" xfId="0" applyFont="1" applyFill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9" fontId="1" fillId="0" borderId="6" xfId="0" applyNumberFormat="1" applyFont="1" applyBorder="1" applyAlignment="1">
      <alignment horizontal="center"/>
    </xf>
    <xf numFmtId="10" fontId="1" fillId="0" borderId="0" xfId="0" applyNumberFormat="1" applyFont="1"/>
    <xf numFmtId="0" fontId="1" fillId="3" borderId="2" xfId="0" applyFont="1" applyFill="1" applyBorder="1" applyAlignment="1">
      <alignment horizontal="center" vertical="top"/>
    </xf>
    <xf numFmtId="1" fontId="1" fillId="3" borderId="1" xfId="0" applyNumberFormat="1" applyFont="1" applyFill="1" applyBorder="1" applyAlignment="1">
      <alignment horizontal="center" vertical="top"/>
    </xf>
    <xf numFmtId="9" fontId="1" fillId="3" borderId="3" xfId="0" applyNumberFormat="1" applyFont="1" applyFill="1" applyBorder="1" applyAlignment="1">
      <alignment horizontal="center" vertical="top"/>
    </xf>
    <xf numFmtId="0" fontId="15" fillId="17" borderId="62" xfId="0" applyFont="1" applyFill="1" applyBorder="1" applyAlignment="1">
      <alignment horizontal="center" vertical="top"/>
    </xf>
    <xf numFmtId="0" fontId="15" fillId="17" borderId="52" xfId="0" applyFont="1" applyFill="1" applyBorder="1" applyAlignment="1">
      <alignment horizontal="center" vertical="top"/>
    </xf>
    <xf numFmtId="0" fontId="15" fillId="17" borderId="63" xfId="0" applyFont="1" applyFill="1" applyBorder="1" applyAlignment="1">
      <alignment horizontal="center" vertical="top"/>
    </xf>
    <xf numFmtId="1" fontId="1" fillId="12" borderId="19" xfId="0" applyNumberFormat="1" applyFont="1" applyFill="1" applyBorder="1" applyAlignment="1">
      <alignment horizontal="center" vertical="top"/>
    </xf>
    <xf numFmtId="1" fontId="1" fillId="12" borderId="26" xfId="0" applyNumberFormat="1" applyFont="1" applyFill="1" applyBorder="1" applyAlignment="1">
      <alignment horizontal="center" vertical="top"/>
    </xf>
    <xf numFmtId="9" fontId="1" fillId="12" borderId="20" xfId="0" applyNumberFormat="1" applyFont="1" applyFill="1" applyBorder="1" applyAlignment="1">
      <alignment horizontal="center" vertical="top"/>
    </xf>
    <xf numFmtId="10" fontId="18" fillId="0" borderId="50" xfId="0" applyNumberFormat="1" applyFont="1" applyBorder="1" applyAlignment="1">
      <alignment horizontal="center" vertical="top"/>
    </xf>
    <xf numFmtId="0" fontId="38" fillId="4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/>
    </xf>
    <xf numFmtId="0" fontId="32" fillId="2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top"/>
    </xf>
    <xf numFmtId="0" fontId="18" fillId="20" borderId="1" xfId="0" applyFont="1" applyFill="1" applyBorder="1" applyAlignment="1">
      <alignment horizontal="center" vertical="top"/>
    </xf>
    <xf numFmtId="0" fontId="1" fillId="20" borderId="1" xfId="0" applyFont="1" applyFill="1" applyBorder="1" applyAlignment="1">
      <alignment horizontal="center" vertical="center"/>
    </xf>
    <xf numFmtId="169" fontId="1" fillId="20" borderId="1" xfId="0" applyNumberFormat="1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top"/>
    </xf>
    <xf numFmtId="169" fontId="1" fillId="20" borderId="1" xfId="0" applyNumberFormat="1" applyFont="1" applyFill="1" applyBorder="1" applyAlignment="1">
      <alignment horizontal="center" vertical="top"/>
    </xf>
    <xf numFmtId="17" fontId="1" fillId="5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69" fontId="1" fillId="2" borderId="1" xfId="0" applyNumberFormat="1" applyFont="1" applyFill="1" applyBorder="1" applyAlignment="1">
      <alignment horizontal="center" vertical="top"/>
    </xf>
    <xf numFmtId="49" fontId="13" fillId="5" borderId="24" xfId="3" applyNumberFormat="1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 readingOrder="1"/>
    </xf>
    <xf numFmtId="0" fontId="15" fillId="5" borderId="14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 readingOrder="1"/>
    </xf>
    <xf numFmtId="1" fontId="15" fillId="2" borderId="1" xfId="17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/>
    </xf>
    <xf numFmtId="169" fontId="16" fillId="2" borderId="1" xfId="0" applyNumberFormat="1" applyFont="1" applyFill="1" applyBorder="1" applyAlignment="1">
      <alignment horizontal="center" vertical="center" wrapText="1" readingOrder="1"/>
    </xf>
    <xf numFmtId="9" fontId="1" fillId="2" borderId="1" xfId="0" applyNumberFormat="1" applyFont="1" applyFill="1" applyBorder="1" applyAlignment="1">
      <alignment horizontal="center"/>
    </xf>
    <xf numFmtId="172" fontId="1" fillId="0" borderId="0" xfId="0" applyNumberFormat="1" applyFont="1" applyAlignment="1">
      <alignment horizontal="center" vertical="center"/>
    </xf>
    <xf numFmtId="2" fontId="14" fillId="10" borderId="1" xfId="17" applyNumberFormat="1" applyFont="1" applyFill="1" applyBorder="1" applyAlignment="1">
      <alignment horizontal="center" vertical="center"/>
    </xf>
    <xf numFmtId="171" fontId="1" fillId="10" borderId="1" xfId="1" applyNumberFormat="1" applyFont="1" applyFill="1" applyBorder="1" applyAlignment="1">
      <alignment horizontal="center"/>
    </xf>
    <xf numFmtId="9" fontId="0" fillId="0" borderId="0" xfId="9" applyFont="1" applyAlignment="1">
      <alignment horizontal="center" vertical="center"/>
    </xf>
    <xf numFmtId="1" fontId="8" fillId="4" borderId="16" xfId="0" applyNumberFormat="1" applyFont="1" applyFill="1" applyBorder="1" applyAlignment="1">
      <alignment horizontal="center" vertical="center" wrapText="1"/>
    </xf>
    <xf numFmtId="1" fontId="1" fillId="3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8" fillId="3" borderId="8" xfId="0" applyNumberFormat="1" applyFont="1" applyFill="1" applyBorder="1" applyAlignment="1">
      <alignment horizontal="center"/>
    </xf>
    <xf numFmtId="14" fontId="1" fillId="5" borderId="16" xfId="5" applyNumberFormat="1" applyFont="1" applyFill="1" applyBorder="1" applyAlignment="1">
      <alignment horizontal="center"/>
    </xf>
    <xf numFmtId="0" fontId="1" fillId="5" borderId="16" xfId="5" applyFont="1" applyFill="1" applyBorder="1" applyAlignment="1">
      <alignment horizontal="center"/>
    </xf>
    <xf numFmtId="0" fontId="27" fillId="5" borderId="16" xfId="0" applyFont="1" applyFill="1" applyBorder="1" applyAlignment="1">
      <alignment horizontal="center" vertical="center" wrapText="1" readingOrder="1"/>
    </xf>
    <xf numFmtId="1" fontId="27" fillId="5" borderId="16" xfId="0" applyNumberFormat="1" applyFont="1" applyFill="1" applyBorder="1" applyAlignment="1">
      <alignment horizontal="center" vertical="center" wrapText="1" readingOrder="1"/>
    </xf>
    <xf numFmtId="1" fontId="27" fillId="5" borderId="16" xfId="13" applyNumberFormat="1" applyFont="1" applyFill="1" applyBorder="1" applyAlignment="1">
      <alignment horizontal="center" vertical="center" wrapText="1" readingOrder="1"/>
    </xf>
    <xf numFmtId="171" fontId="1" fillId="5" borderId="16" xfId="1" applyNumberFormat="1" applyFont="1" applyFill="1" applyBorder="1" applyAlignment="1">
      <alignment horizontal="center"/>
    </xf>
    <xf numFmtId="0" fontId="15" fillId="5" borderId="16" xfId="0" applyFont="1" applyFill="1" applyBorder="1" applyAlignment="1">
      <alignment horizontal="center" vertical="center"/>
    </xf>
    <xf numFmtId="1" fontId="15" fillId="5" borderId="16" xfId="21" applyNumberFormat="1" applyFont="1" applyFill="1" applyBorder="1" applyAlignment="1">
      <alignment horizontal="center" vertical="center" wrapText="1" readingOrder="1"/>
    </xf>
    <xf numFmtId="169" fontId="28" fillId="5" borderId="16" xfId="0" applyNumberFormat="1" applyFont="1" applyFill="1" applyBorder="1" applyAlignment="1">
      <alignment horizontal="center" vertical="center"/>
    </xf>
    <xf numFmtId="169" fontId="1" fillId="5" borderId="16" xfId="0" applyNumberFormat="1" applyFont="1" applyFill="1" applyBorder="1" applyAlignment="1">
      <alignment horizontal="center" vertical="center" wrapText="1" readingOrder="1"/>
    </xf>
    <xf numFmtId="14" fontId="1" fillId="5" borderId="16" xfId="0" applyNumberFormat="1" applyFont="1" applyFill="1" applyBorder="1" applyAlignment="1">
      <alignment horizontal="center" vertical="center"/>
    </xf>
    <xf numFmtId="166" fontId="1" fillId="5" borderId="16" xfId="0" applyNumberFormat="1" applyFont="1" applyFill="1" applyBorder="1" applyAlignment="1">
      <alignment horizontal="center" vertical="center"/>
    </xf>
    <xf numFmtId="9" fontId="1" fillId="5" borderId="16" xfId="0" applyNumberFormat="1" applyFont="1" applyFill="1" applyBorder="1" applyAlignment="1">
      <alignment horizontal="center"/>
    </xf>
    <xf numFmtId="166" fontId="1" fillId="3" borderId="65" xfId="4" applyNumberFormat="1" applyFont="1" applyFill="1" applyBorder="1" applyAlignment="1">
      <alignment horizontal="center" vertical="center"/>
    </xf>
    <xf numFmtId="0" fontId="8" fillId="3" borderId="1" xfId="0" applyFont="1" applyFill="1" applyBorder="1"/>
    <xf numFmtId="2" fontId="15" fillId="5" borderId="1" xfId="17" applyNumberFormat="1" applyFont="1" applyFill="1" applyBorder="1" applyAlignment="1">
      <alignment horizontal="center" vertical="center"/>
    </xf>
    <xf numFmtId="2" fontId="14" fillId="5" borderId="1" xfId="17" applyNumberFormat="1" applyFont="1" applyFill="1" applyBorder="1" applyAlignment="1">
      <alignment horizontal="center" vertical="center"/>
    </xf>
    <xf numFmtId="2" fontId="15" fillId="5" borderId="5" xfId="17" applyNumberFormat="1" applyFont="1" applyFill="1" applyBorder="1" applyAlignment="1">
      <alignment horizontal="center" vertical="center"/>
    </xf>
    <xf numFmtId="169" fontId="45" fillId="5" borderId="1" xfId="28" applyNumberFormat="1" applyFill="1" applyBorder="1" applyAlignment="1">
      <alignment horizontal="center" vertical="center"/>
    </xf>
    <xf numFmtId="0" fontId="45" fillId="0" borderId="0" xfId="28"/>
    <xf numFmtId="3" fontId="1" fillId="5" borderId="1" xfId="4" applyNumberFormat="1" applyFont="1" applyFill="1" applyBorder="1" applyAlignment="1">
      <alignment horizontal="center" vertical="center"/>
    </xf>
    <xf numFmtId="0" fontId="45" fillId="0" borderId="0" xfId="28" applyAlignment="1">
      <alignment vertical="center"/>
    </xf>
    <xf numFmtId="2" fontId="15" fillId="5" borderId="26" xfId="17" applyNumberFormat="1" applyFont="1" applyFill="1" applyBorder="1" applyAlignment="1">
      <alignment horizontal="center" vertical="center"/>
    </xf>
    <xf numFmtId="2" fontId="14" fillId="5" borderId="26" xfId="17" applyNumberFormat="1" applyFont="1" applyFill="1" applyBorder="1" applyAlignment="1">
      <alignment horizontal="center" vertical="center"/>
    </xf>
    <xf numFmtId="169" fontId="1" fillId="5" borderId="1" xfId="4" applyNumberFormat="1" applyFont="1" applyFill="1" applyBorder="1" applyAlignment="1">
      <alignment horizontal="center"/>
    </xf>
    <xf numFmtId="0" fontId="22" fillId="5" borderId="1" xfId="0" applyFont="1" applyFill="1" applyBorder="1" applyAlignment="1">
      <alignment horizontal="center"/>
    </xf>
    <xf numFmtId="0" fontId="22" fillId="5" borderId="1" xfId="10" applyFont="1" applyFill="1" applyBorder="1" applyAlignment="1">
      <alignment horizontal="center"/>
    </xf>
    <xf numFmtId="0" fontId="35" fillId="5" borderId="1" xfId="0" applyFont="1" applyFill="1" applyBorder="1" applyAlignment="1">
      <alignment horizontal="center" wrapText="1" readingOrder="1"/>
    </xf>
    <xf numFmtId="0" fontId="22" fillId="5" borderId="1" xfId="0" applyFont="1" applyFill="1" applyBorder="1" applyAlignment="1">
      <alignment horizontal="center" wrapText="1" readingOrder="1"/>
    </xf>
    <xf numFmtId="170" fontId="22" fillId="5" borderId="1" xfId="0" applyNumberFormat="1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 readingOrder="1"/>
    </xf>
    <xf numFmtId="166" fontId="22" fillId="5" borderId="1" xfId="0" applyNumberFormat="1" applyFont="1" applyFill="1" applyBorder="1" applyAlignment="1">
      <alignment horizontal="center"/>
    </xf>
    <xf numFmtId="166" fontId="22" fillId="5" borderId="14" xfId="0" applyNumberFormat="1" applyFont="1" applyFill="1" applyBorder="1" applyAlignment="1">
      <alignment horizontal="center" vertical="center"/>
    </xf>
    <xf numFmtId="10" fontId="22" fillId="5" borderId="1" xfId="0" applyNumberFormat="1" applyFont="1" applyFill="1" applyBorder="1" applyAlignment="1">
      <alignment horizontal="center"/>
    </xf>
    <xf numFmtId="14" fontId="22" fillId="5" borderId="1" xfId="0" applyNumberFormat="1" applyFont="1" applyFill="1" applyBorder="1" applyAlignment="1">
      <alignment horizontal="center"/>
    </xf>
    <xf numFmtId="14" fontId="22" fillId="5" borderId="1" xfId="4" applyNumberFormat="1" applyFont="1" applyFill="1" applyBorder="1" applyAlignment="1">
      <alignment horizontal="center"/>
    </xf>
    <xf numFmtId="175" fontId="22" fillId="5" borderId="1" xfId="4" applyNumberFormat="1" applyFont="1" applyFill="1" applyBorder="1" applyAlignment="1">
      <alignment horizontal="center"/>
    </xf>
    <xf numFmtId="0" fontId="22" fillId="5" borderId="1" xfId="4" applyFont="1" applyFill="1" applyBorder="1" applyAlignment="1">
      <alignment horizontal="center"/>
    </xf>
    <xf numFmtId="169" fontId="22" fillId="5" borderId="1" xfId="0" applyNumberFormat="1" applyFont="1" applyFill="1" applyBorder="1" applyAlignment="1">
      <alignment horizontal="center"/>
    </xf>
    <xf numFmtId="0" fontId="22" fillId="5" borderId="0" xfId="0" applyFont="1" applyFill="1" applyAlignment="1">
      <alignment horizontal="center"/>
    </xf>
    <xf numFmtId="1" fontId="13" fillId="5" borderId="1" xfId="21" applyNumberFormat="1" applyFont="1" applyFill="1" applyBorder="1" applyAlignment="1">
      <alignment horizontal="center" vertical="center" wrapText="1" readingOrder="1"/>
    </xf>
    <xf numFmtId="0" fontId="22" fillId="5" borderId="14" xfId="0" applyFont="1" applyFill="1" applyBorder="1" applyAlignment="1">
      <alignment horizontal="center"/>
    </xf>
    <xf numFmtId="166" fontId="22" fillId="5" borderId="14" xfId="0" applyNumberFormat="1" applyFont="1" applyFill="1" applyBorder="1" applyAlignment="1">
      <alignment horizontal="center"/>
    </xf>
    <xf numFmtId="9" fontId="1" fillId="3" borderId="1" xfId="29" applyFont="1" applyFill="1" applyBorder="1" applyAlignment="1">
      <alignment horizontal="center" vertical="center"/>
    </xf>
    <xf numFmtId="9" fontId="1" fillId="0" borderId="0" xfId="29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3" fillId="5" borderId="1" xfId="0" applyFont="1" applyFill="1" applyBorder="1" applyAlignment="1">
      <alignment horizontal="center"/>
    </xf>
    <xf numFmtId="14" fontId="22" fillId="5" borderId="14" xfId="0" applyNumberFormat="1" applyFont="1" applyFill="1" applyBorder="1" applyAlignment="1">
      <alignment horizontal="center"/>
    </xf>
    <xf numFmtId="175" fontId="22" fillId="5" borderId="1" xfId="0" applyNumberFormat="1" applyFont="1" applyFill="1" applyBorder="1" applyAlignment="1">
      <alignment horizontal="center"/>
    </xf>
    <xf numFmtId="169" fontId="0" fillId="5" borderId="1" xfId="0" applyNumberFormat="1" applyFill="1" applyBorder="1" applyAlignment="1">
      <alignment horizontal="center" vertical="center" wrapText="1" readingOrder="1"/>
    </xf>
    <xf numFmtId="16" fontId="1" fillId="5" borderId="14" xfId="0" applyNumberFormat="1" applyFont="1" applyFill="1" applyBorder="1" applyAlignment="1">
      <alignment horizontal="center" vertical="center"/>
    </xf>
    <xf numFmtId="14" fontId="22" fillId="5" borderId="1" xfId="5" applyNumberFormat="1" applyFont="1" applyFill="1" applyBorder="1" applyAlignment="1">
      <alignment horizontal="center"/>
    </xf>
    <xf numFmtId="0" fontId="22" fillId="5" borderId="1" xfId="5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 wrapText="1" readingOrder="1"/>
    </xf>
    <xf numFmtId="175" fontId="22" fillId="5" borderId="1" xfId="5" applyNumberFormat="1" applyFont="1" applyFill="1" applyBorder="1" applyAlignment="1">
      <alignment horizontal="center"/>
    </xf>
    <xf numFmtId="14" fontId="1" fillId="3" borderId="0" xfId="1" applyNumberFormat="1" applyFont="1" applyFill="1"/>
    <xf numFmtId="171" fontId="1" fillId="3" borderId="0" xfId="1" applyNumberFormat="1" applyFont="1" applyFill="1" applyBorder="1"/>
    <xf numFmtId="171" fontId="1" fillId="3" borderId="1" xfId="1" applyNumberFormat="1" applyFont="1" applyFill="1" applyBorder="1"/>
    <xf numFmtId="14" fontId="1" fillId="3" borderId="8" xfId="1" applyNumberFormat="1" applyFont="1" applyFill="1" applyBorder="1"/>
    <xf numFmtId="0" fontId="1" fillId="3" borderId="8" xfId="0" applyFont="1" applyFill="1" applyBorder="1"/>
    <xf numFmtId="0" fontId="8" fillId="4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vertical="center" wrapText="1"/>
    </xf>
    <xf numFmtId="1" fontId="1" fillId="0" borderId="0" xfId="29" applyNumberFormat="1" applyFont="1" applyAlignment="1">
      <alignment horizontal="center" vertical="center"/>
    </xf>
    <xf numFmtId="9" fontId="1" fillId="16" borderId="1" xfId="29" applyFont="1" applyFill="1" applyBorder="1" applyAlignment="1">
      <alignment horizontal="center" vertical="center"/>
    </xf>
    <xf numFmtId="9" fontId="1" fillId="5" borderId="1" xfId="29" applyFont="1" applyFill="1" applyBorder="1" applyAlignment="1">
      <alignment horizontal="center" vertical="center"/>
    </xf>
    <xf numFmtId="9" fontId="1" fillId="20" borderId="1" xfId="29" applyFont="1" applyFill="1" applyBorder="1" applyAlignment="1">
      <alignment horizontal="center" vertical="center"/>
    </xf>
    <xf numFmtId="0" fontId="1" fillId="16" borderId="14" xfId="0" applyFont="1" applyFill="1" applyBorder="1" applyAlignment="1">
      <alignment horizontal="center" vertical="center"/>
    </xf>
    <xf numFmtId="0" fontId="1" fillId="20" borderId="14" xfId="0" applyFont="1" applyFill="1" applyBorder="1" applyAlignment="1">
      <alignment horizontal="center" vertical="center"/>
    </xf>
    <xf numFmtId="0" fontId="1" fillId="20" borderId="14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18" fillId="0" borderId="27" xfId="0" applyFont="1" applyBorder="1" applyAlignment="1">
      <alignment horizontal="center" vertical="top"/>
    </xf>
    <xf numFmtId="0" fontId="8" fillId="4" borderId="16" xfId="0" applyFont="1" applyFill="1" applyBorder="1" applyAlignment="1">
      <alignment horizontal="center" vertical="top" wrapText="1"/>
    </xf>
    <xf numFmtId="0" fontId="1" fillId="0" borderId="59" xfId="0" applyFont="1" applyBorder="1" applyAlignment="1">
      <alignment horizontal="center" vertical="top"/>
    </xf>
    <xf numFmtId="0" fontId="18" fillId="17" borderId="7" xfId="0" applyFont="1" applyFill="1" applyBorder="1" applyAlignment="1">
      <alignment horizontal="center" vertical="center"/>
    </xf>
    <xf numFmtId="0" fontId="18" fillId="17" borderId="8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/>
    </xf>
    <xf numFmtId="0" fontId="1" fillId="16" borderId="49" xfId="0" applyFont="1" applyFill="1" applyBorder="1" applyAlignment="1">
      <alignment horizontal="center" vertical="center"/>
    </xf>
    <xf numFmtId="1" fontId="1" fillId="5" borderId="69" xfId="0" applyNumberFormat="1" applyFont="1" applyFill="1" applyBorder="1" applyAlignment="1">
      <alignment horizontal="center" vertical="center"/>
    </xf>
    <xf numFmtId="0" fontId="1" fillId="5" borderId="69" xfId="0" applyFont="1" applyFill="1" applyBorder="1" applyAlignment="1">
      <alignment horizontal="center" vertical="center"/>
    </xf>
    <xf numFmtId="0" fontId="1" fillId="20" borderId="69" xfId="0" applyFont="1" applyFill="1" applyBorder="1" applyAlignment="1">
      <alignment horizontal="center" vertical="center"/>
    </xf>
    <xf numFmtId="0" fontId="1" fillId="20" borderId="69" xfId="0" applyFont="1" applyFill="1" applyBorder="1" applyAlignment="1">
      <alignment horizontal="center" vertical="top"/>
    </xf>
    <xf numFmtId="0" fontId="1" fillId="0" borderId="69" xfId="0" applyFont="1" applyBorder="1" applyAlignment="1">
      <alignment horizontal="center" vertical="top"/>
    </xf>
    <xf numFmtId="0" fontId="1" fillId="2" borderId="69" xfId="0" applyFont="1" applyFill="1" applyBorder="1" applyAlignment="1">
      <alignment horizontal="center" vertical="top"/>
    </xf>
    <xf numFmtId="9" fontId="1" fillId="2" borderId="1" xfId="29" applyFont="1" applyFill="1" applyBorder="1" applyAlignment="1">
      <alignment horizontal="center" vertical="center"/>
    </xf>
    <xf numFmtId="10" fontId="18" fillId="0" borderId="27" xfId="0" applyNumberFormat="1" applyFont="1" applyBorder="1" applyAlignment="1">
      <alignment horizontal="center" vertical="top"/>
    </xf>
    <xf numFmtId="10" fontId="1" fillId="5" borderId="1" xfId="29" applyNumberFormat="1" applyFont="1" applyFill="1" applyBorder="1" applyAlignment="1">
      <alignment horizontal="center"/>
    </xf>
    <xf numFmtId="166" fontId="13" fillId="5" borderId="1" xfId="0" applyNumberFormat="1" applyFont="1" applyFill="1" applyBorder="1" applyAlignment="1">
      <alignment horizontal="center" vertical="center" wrapText="1" readingOrder="1"/>
    </xf>
    <xf numFmtId="9" fontId="22" fillId="5" borderId="1" xfId="0" applyNumberFormat="1" applyFont="1" applyFill="1" applyBorder="1" applyAlignment="1">
      <alignment horizontal="center"/>
    </xf>
    <xf numFmtId="16" fontId="22" fillId="5" borderId="14" xfId="0" applyNumberFormat="1" applyFont="1" applyFill="1" applyBorder="1" applyAlignment="1">
      <alignment horizontal="center"/>
    </xf>
    <xf numFmtId="0" fontId="13" fillId="5" borderId="17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/>
    </xf>
    <xf numFmtId="16" fontId="22" fillId="5" borderId="1" xfId="0" applyNumberFormat="1" applyFont="1" applyFill="1" applyBorder="1" applyAlignment="1">
      <alignment horizontal="center"/>
    </xf>
    <xf numFmtId="166" fontId="21" fillId="0" borderId="0" xfId="0" applyNumberFormat="1" applyFont="1" applyAlignment="1">
      <alignment horizontal="center" vertical="center"/>
    </xf>
    <xf numFmtId="1" fontId="22" fillId="3" borderId="0" xfId="0" applyNumberFormat="1" applyFont="1" applyFill="1" applyAlignment="1">
      <alignment horizontal="center" vertical="center"/>
    </xf>
    <xf numFmtId="0" fontId="13" fillId="5" borderId="26" xfId="0" applyFont="1" applyFill="1" applyBorder="1" applyAlignment="1">
      <alignment horizontal="center" vertical="center"/>
    </xf>
    <xf numFmtId="0" fontId="13" fillId="5" borderId="1" xfId="1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wrapText="1" readingOrder="1"/>
    </xf>
    <xf numFmtId="0" fontId="13" fillId="5" borderId="14" xfId="0" applyFont="1" applyFill="1" applyBorder="1" applyAlignment="1">
      <alignment horizontal="center"/>
    </xf>
    <xf numFmtId="166" fontId="13" fillId="5" borderId="14" xfId="0" applyNumberFormat="1" applyFont="1" applyFill="1" applyBorder="1" applyAlignment="1">
      <alignment horizontal="center"/>
    </xf>
    <xf numFmtId="166" fontId="13" fillId="5" borderId="1" xfId="0" applyNumberFormat="1" applyFont="1" applyFill="1" applyBorder="1" applyAlignment="1">
      <alignment horizontal="center"/>
    </xf>
    <xf numFmtId="14" fontId="13" fillId="5" borderId="1" xfId="0" applyNumberFormat="1" applyFont="1" applyFill="1" applyBorder="1" applyAlignment="1">
      <alignment horizontal="center"/>
    </xf>
    <xf numFmtId="14" fontId="13" fillId="5" borderId="1" xfId="4" applyNumberFormat="1" applyFont="1" applyFill="1" applyBorder="1" applyAlignment="1">
      <alignment horizontal="center"/>
    </xf>
    <xf numFmtId="175" fontId="13" fillId="5" borderId="1" xfId="4" applyNumberFormat="1" applyFont="1" applyFill="1" applyBorder="1" applyAlignment="1">
      <alignment horizontal="center"/>
    </xf>
    <xf numFmtId="0" fontId="13" fillId="5" borderId="1" xfId="4" applyFont="1" applyFill="1" applyBorder="1" applyAlignment="1">
      <alignment horizontal="center"/>
    </xf>
    <xf numFmtId="169" fontId="13" fillId="5" borderId="1" xfId="0" applyNumberFormat="1" applyFont="1" applyFill="1" applyBorder="1" applyAlignment="1">
      <alignment horizontal="center"/>
    </xf>
    <xf numFmtId="169" fontId="1" fillId="16" borderId="1" xfId="29" applyNumberFormat="1" applyFont="1" applyFill="1" applyBorder="1" applyAlignment="1">
      <alignment horizontal="center" vertical="center"/>
    </xf>
    <xf numFmtId="169" fontId="1" fillId="5" borderId="1" xfId="29" applyNumberFormat="1" applyFont="1" applyFill="1" applyBorder="1" applyAlignment="1">
      <alignment horizontal="center" vertical="center"/>
    </xf>
    <xf numFmtId="169" fontId="1" fillId="20" borderId="1" xfId="29" applyNumberFormat="1" applyFont="1" applyFill="1" applyBorder="1" applyAlignment="1">
      <alignment horizontal="center" vertical="center"/>
    </xf>
    <xf numFmtId="169" fontId="1" fillId="3" borderId="1" xfId="29" applyNumberFormat="1" applyFont="1" applyFill="1" applyBorder="1" applyAlignment="1">
      <alignment horizontal="center" vertical="center"/>
    </xf>
    <xf numFmtId="169" fontId="1" fillId="2" borderId="1" xfId="29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wrapText="1"/>
    </xf>
    <xf numFmtId="0" fontId="1" fillId="0" borderId="1" xfId="0" applyFont="1" applyBorder="1"/>
    <xf numFmtId="169" fontId="1" fillId="0" borderId="1" xfId="0" applyNumberFormat="1" applyFont="1" applyBorder="1"/>
    <xf numFmtId="169" fontId="46" fillId="0" borderId="50" xfId="0" applyNumberFormat="1" applyFont="1" applyBorder="1"/>
    <xf numFmtId="0" fontId="18" fillId="3" borderId="50" xfId="0" applyFont="1" applyFill="1" applyBorder="1" applyAlignment="1">
      <alignment horizontal="center" vertical="center"/>
    </xf>
    <xf numFmtId="9" fontId="18" fillId="0" borderId="50" xfId="29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top"/>
    </xf>
    <xf numFmtId="1" fontId="13" fillId="5" borderId="8" xfId="21" applyNumberFormat="1" applyFont="1" applyFill="1" applyBorder="1" applyAlignment="1">
      <alignment horizontal="center" vertical="center" wrapText="1" readingOrder="1"/>
    </xf>
    <xf numFmtId="166" fontId="21" fillId="3" borderId="14" xfId="0" applyNumberFormat="1" applyFont="1" applyFill="1" applyBorder="1" applyAlignment="1">
      <alignment horizontal="center" vertical="center"/>
    </xf>
    <xf numFmtId="0" fontId="1" fillId="3" borderId="71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169" fontId="1" fillId="0" borderId="71" xfId="0" applyNumberFormat="1" applyFont="1" applyBorder="1" applyAlignment="1">
      <alignment horizontal="center"/>
    </xf>
    <xf numFmtId="9" fontId="1" fillId="0" borderId="24" xfId="0" applyNumberFormat="1" applyFont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171" fontId="1" fillId="3" borderId="2" xfId="1" applyNumberFormat="1" applyFont="1" applyFill="1" applyBorder="1" applyAlignment="1">
      <alignment horizontal="center" vertical="center"/>
    </xf>
    <xf numFmtId="171" fontId="1" fillId="3" borderId="4" xfId="1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" fontId="1" fillId="3" borderId="2" xfId="0" applyNumberFormat="1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2" fontId="27" fillId="12" borderId="1" xfId="0" applyNumberFormat="1" applyFont="1" applyFill="1" applyBorder="1" applyAlignment="1">
      <alignment horizontal="center" vertical="center" wrapText="1" readingOrder="1"/>
    </xf>
    <xf numFmtId="2" fontId="27" fillId="12" borderId="1" xfId="13" applyNumberFormat="1" applyFont="1" applyFill="1" applyBorder="1" applyAlignment="1">
      <alignment horizontal="center" vertical="center" wrapText="1" readingOrder="1"/>
    </xf>
    <xf numFmtId="170" fontId="21" fillId="12" borderId="1" xfId="0" applyNumberFormat="1" applyFont="1" applyFill="1" applyBorder="1" applyAlignment="1">
      <alignment horizontal="center" vertical="center"/>
    </xf>
    <xf numFmtId="166" fontId="21" fillId="12" borderId="1" xfId="0" applyNumberFormat="1" applyFont="1" applyFill="1" applyBorder="1" applyAlignment="1">
      <alignment horizontal="center" vertical="center"/>
    </xf>
    <xf numFmtId="166" fontId="21" fillId="12" borderId="14" xfId="0" applyNumberFormat="1" applyFont="1" applyFill="1" applyBorder="1" applyAlignment="1">
      <alignment horizontal="center" vertical="center"/>
    </xf>
    <xf numFmtId="10" fontId="21" fillId="12" borderId="1" xfId="0" applyNumberFormat="1" applyFont="1" applyFill="1" applyBorder="1" applyAlignment="1">
      <alignment horizontal="center" vertical="center"/>
    </xf>
    <xf numFmtId="14" fontId="21" fillId="12" borderId="1" xfId="0" applyNumberFormat="1" applyFont="1" applyFill="1" applyBorder="1" applyAlignment="1">
      <alignment horizontal="center" vertical="center"/>
    </xf>
    <xf numFmtId="14" fontId="21" fillId="12" borderId="1" xfId="4" applyNumberFormat="1" applyFont="1" applyFill="1" applyBorder="1" applyAlignment="1">
      <alignment horizontal="center" vertical="center"/>
    </xf>
    <xf numFmtId="175" fontId="21" fillId="12" borderId="1" xfId="4" applyNumberFormat="1" applyFont="1" applyFill="1" applyBorder="1" applyAlignment="1">
      <alignment horizontal="center" vertical="center"/>
    </xf>
    <xf numFmtId="0" fontId="21" fillId="12" borderId="1" xfId="4" applyFont="1" applyFill="1" applyBorder="1" applyAlignment="1">
      <alignment horizontal="center" vertical="center"/>
    </xf>
    <xf numFmtId="169" fontId="21" fillId="12" borderId="1" xfId="0" applyNumberFormat="1" applyFont="1" applyFill="1" applyBorder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2" fontId="27" fillId="12" borderId="1" xfId="17" applyNumberFormat="1" applyFont="1" applyFill="1" applyBorder="1" applyAlignment="1">
      <alignment horizontal="center" vertical="center"/>
    </xf>
    <xf numFmtId="49" fontId="39" fillId="12" borderId="1" xfId="3" applyNumberFormat="1" applyFont="1" applyFill="1" applyBorder="1" applyAlignment="1">
      <alignment horizontal="center" vertical="center" wrapText="1"/>
    </xf>
    <xf numFmtId="0" fontId="21" fillId="12" borderId="1" xfId="1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 wrapText="1" readingOrder="1"/>
    </xf>
    <xf numFmtId="166" fontId="27" fillId="12" borderId="1" xfId="0" applyNumberFormat="1" applyFont="1" applyFill="1" applyBorder="1" applyAlignment="1">
      <alignment horizontal="center" vertical="center" wrapText="1" readingOrder="1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169" fontId="1" fillId="3" borderId="8" xfId="0" applyNumberFormat="1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/>
    </xf>
    <xf numFmtId="166" fontId="38" fillId="4" borderId="1" xfId="0" applyNumberFormat="1" applyFont="1" applyFill="1" applyBorder="1" applyAlignment="1">
      <alignment horizontal="center" vertical="center" wrapText="1"/>
    </xf>
    <xf numFmtId="166" fontId="21" fillId="3" borderId="1" xfId="4" applyNumberFormat="1" applyFont="1" applyFill="1" applyBorder="1" applyAlignment="1">
      <alignment horizontal="center" vertical="center"/>
    </xf>
    <xf numFmtId="169" fontId="47" fillId="4" borderId="1" xfId="0" applyNumberFormat="1" applyFont="1" applyFill="1" applyBorder="1" applyAlignment="1">
      <alignment horizontal="center" vertical="center" wrapText="1"/>
    </xf>
    <xf numFmtId="1" fontId="21" fillId="3" borderId="1" xfId="0" applyNumberFormat="1" applyFont="1" applyFill="1" applyBorder="1" applyAlignment="1">
      <alignment horizontal="center" vertical="center"/>
    </xf>
    <xf numFmtId="169" fontId="1" fillId="16" borderId="14" xfId="0" applyNumberFormat="1" applyFont="1" applyFill="1" applyBorder="1" applyAlignment="1">
      <alignment horizontal="center" vertical="center"/>
    </xf>
    <xf numFmtId="169" fontId="1" fillId="20" borderId="14" xfId="0" applyNumberFormat="1" applyFont="1" applyFill="1" applyBorder="1" applyAlignment="1">
      <alignment horizontal="center" vertical="center"/>
    </xf>
    <xf numFmtId="169" fontId="1" fillId="20" borderId="14" xfId="0" applyNumberFormat="1" applyFont="1" applyFill="1" applyBorder="1" applyAlignment="1">
      <alignment horizontal="center" vertical="top"/>
    </xf>
    <xf numFmtId="169" fontId="1" fillId="0" borderId="14" xfId="0" applyNumberFormat="1" applyFont="1" applyBorder="1" applyAlignment="1">
      <alignment horizontal="center" vertical="top"/>
    </xf>
    <xf numFmtId="169" fontId="1" fillId="2" borderId="14" xfId="0" applyNumberFormat="1" applyFont="1" applyFill="1" applyBorder="1" applyAlignment="1">
      <alignment horizontal="center" vertical="top"/>
    </xf>
    <xf numFmtId="169" fontId="1" fillId="16" borderId="24" xfId="0" applyNumberFormat="1" applyFont="1" applyFill="1" applyBorder="1" applyAlignment="1">
      <alignment horizontal="center" vertical="center"/>
    </xf>
    <xf numFmtId="169" fontId="1" fillId="5" borderId="24" xfId="0" applyNumberFormat="1" applyFont="1" applyFill="1" applyBorder="1" applyAlignment="1">
      <alignment horizontal="center" vertical="center"/>
    </xf>
    <xf numFmtId="169" fontId="1" fillId="20" borderId="24" xfId="0" applyNumberFormat="1" applyFont="1" applyFill="1" applyBorder="1" applyAlignment="1">
      <alignment horizontal="center" vertical="center"/>
    </xf>
    <xf numFmtId="169" fontId="1" fillId="20" borderId="24" xfId="0" applyNumberFormat="1" applyFont="1" applyFill="1" applyBorder="1" applyAlignment="1">
      <alignment horizontal="center" vertical="top"/>
    </xf>
    <xf numFmtId="169" fontId="1" fillId="0" borderId="24" xfId="0" applyNumberFormat="1" applyFont="1" applyBorder="1" applyAlignment="1">
      <alignment horizontal="center" vertical="top"/>
    </xf>
    <xf numFmtId="169" fontId="1" fillId="2" borderId="24" xfId="0" applyNumberFormat="1" applyFont="1" applyFill="1" applyBorder="1" applyAlignment="1">
      <alignment horizontal="center" vertical="top"/>
    </xf>
    <xf numFmtId="169" fontId="1" fillId="16" borderId="72" xfId="0" applyNumberFormat="1" applyFont="1" applyFill="1" applyBorder="1" applyAlignment="1">
      <alignment horizontal="center" vertical="center"/>
    </xf>
    <xf numFmtId="169" fontId="1" fillId="5" borderId="56" xfId="0" applyNumberFormat="1" applyFont="1" applyFill="1" applyBorder="1" applyAlignment="1">
      <alignment horizontal="center" vertical="center"/>
    </xf>
    <xf numFmtId="169" fontId="1" fillId="20" borderId="56" xfId="0" applyNumberFormat="1" applyFont="1" applyFill="1" applyBorder="1" applyAlignment="1">
      <alignment horizontal="center" vertical="center"/>
    </xf>
    <xf numFmtId="169" fontId="1" fillId="20" borderId="56" xfId="0" applyNumberFormat="1" applyFont="1" applyFill="1" applyBorder="1" applyAlignment="1">
      <alignment horizontal="center" vertical="top"/>
    </xf>
    <xf numFmtId="169" fontId="1" fillId="0" borderId="56" xfId="0" applyNumberFormat="1" applyFont="1" applyBorder="1" applyAlignment="1">
      <alignment horizontal="center" vertical="top"/>
    </xf>
    <xf numFmtId="169" fontId="1" fillId="2" borderId="56" xfId="0" applyNumberFormat="1" applyFont="1" applyFill="1" applyBorder="1" applyAlignment="1">
      <alignment horizontal="center" vertical="top"/>
    </xf>
    <xf numFmtId="0" fontId="1" fillId="21" borderId="64" xfId="0" applyFont="1" applyFill="1" applyBorder="1" applyAlignment="1">
      <alignment horizontal="center"/>
    </xf>
    <xf numFmtId="49" fontId="7" fillId="21" borderId="65" xfId="3" applyNumberFormat="1" applyFont="1" applyFill="1" applyBorder="1" applyAlignment="1">
      <alignment horizontal="center" wrapText="1"/>
    </xf>
    <xf numFmtId="0" fontId="1" fillId="21" borderId="65" xfId="10" applyFont="1" applyFill="1" applyBorder="1" applyAlignment="1">
      <alignment horizontal="center"/>
    </xf>
    <xf numFmtId="0" fontId="20" fillId="21" borderId="65" xfId="0" applyFont="1" applyFill="1" applyBorder="1" applyAlignment="1">
      <alignment horizontal="center" wrapText="1" readingOrder="1"/>
    </xf>
    <xf numFmtId="2" fontId="13" fillId="21" borderId="65" xfId="0" applyNumberFormat="1" applyFont="1" applyFill="1" applyBorder="1" applyAlignment="1">
      <alignment horizontal="center" wrapText="1" readingOrder="1"/>
    </xf>
    <xf numFmtId="2" fontId="13" fillId="21" borderId="65" xfId="13" applyNumberFormat="1" applyFont="1" applyFill="1" applyBorder="1" applyAlignment="1">
      <alignment horizontal="center" wrapText="1" readingOrder="1"/>
    </xf>
    <xf numFmtId="2" fontId="13" fillId="21" borderId="65" xfId="17" applyNumberFormat="1" applyFill="1" applyBorder="1" applyAlignment="1">
      <alignment horizontal="center"/>
    </xf>
    <xf numFmtId="170" fontId="1" fillId="21" borderId="65" xfId="0" applyNumberFormat="1" applyFont="1" applyFill="1" applyBorder="1" applyAlignment="1">
      <alignment horizontal="center"/>
    </xf>
    <xf numFmtId="0" fontId="1" fillId="21" borderId="65" xfId="0" applyFont="1" applyFill="1" applyBorder="1" applyAlignment="1">
      <alignment horizontal="center"/>
    </xf>
    <xf numFmtId="0" fontId="32" fillId="21" borderId="65" xfId="0" applyFont="1" applyFill="1" applyBorder="1" applyAlignment="1">
      <alignment horizontal="center" vertical="center"/>
    </xf>
    <xf numFmtId="1" fontId="15" fillId="21" borderId="65" xfId="21" applyNumberFormat="1" applyFont="1" applyFill="1" applyBorder="1" applyAlignment="1">
      <alignment horizontal="center" vertical="center" wrapText="1" readingOrder="1"/>
    </xf>
    <xf numFmtId="0" fontId="1" fillId="21" borderId="66" xfId="0" applyFont="1" applyFill="1" applyBorder="1" applyAlignment="1">
      <alignment horizontal="center"/>
    </xf>
    <xf numFmtId="166" fontId="18" fillId="21" borderId="66" xfId="0" applyNumberFormat="1" applyFont="1" applyFill="1" applyBorder="1" applyAlignment="1">
      <alignment horizontal="center"/>
    </xf>
    <xf numFmtId="166" fontId="18" fillId="21" borderId="66" xfId="0" applyNumberFormat="1" applyFont="1" applyFill="1" applyBorder="1" applyAlignment="1">
      <alignment horizontal="center" vertical="center"/>
    </xf>
    <xf numFmtId="10" fontId="1" fillId="21" borderId="65" xfId="0" applyNumberFormat="1" applyFont="1" applyFill="1" applyBorder="1" applyAlignment="1">
      <alignment horizontal="center"/>
    </xf>
    <xf numFmtId="166" fontId="1" fillId="21" borderId="65" xfId="0" applyNumberFormat="1" applyFont="1" applyFill="1" applyBorder="1" applyAlignment="1">
      <alignment horizontal="center"/>
    </xf>
    <xf numFmtId="14" fontId="1" fillId="21" borderId="65" xfId="0" applyNumberFormat="1" applyFont="1" applyFill="1" applyBorder="1" applyAlignment="1">
      <alignment horizontal="center"/>
    </xf>
    <xf numFmtId="14" fontId="1" fillId="21" borderId="65" xfId="4" applyNumberFormat="1" applyFont="1" applyFill="1" applyBorder="1" applyAlignment="1">
      <alignment horizontal="center"/>
    </xf>
    <xf numFmtId="175" fontId="1" fillId="21" borderId="65" xfId="4" applyNumberFormat="1" applyFont="1" applyFill="1" applyBorder="1" applyAlignment="1">
      <alignment horizontal="center"/>
    </xf>
    <xf numFmtId="0" fontId="1" fillId="21" borderId="65" xfId="4" applyFont="1" applyFill="1" applyBorder="1" applyAlignment="1">
      <alignment horizontal="center"/>
    </xf>
    <xf numFmtId="169" fontId="1" fillId="21" borderId="65" xfId="0" applyNumberFormat="1" applyFont="1" applyFill="1" applyBorder="1" applyAlignment="1">
      <alignment horizontal="center"/>
    </xf>
    <xf numFmtId="0" fontId="1" fillId="21" borderId="67" xfId="0" applyFont="1" applyFill="1" applyBorder="1" applyAlignment="1">
      <alignment horizontal="center"/>
    </xf>
    <xf numFmtId="176" fontId="1" fillId="5" borderId="1" xfId="0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center" vertical="center"/>
    </xf>
    <xf numFmtId="49" fontId="39" fillId="5" borderId="1" xfId="3" applyNumberFormat="1" applyFont="1" applyFill="1" applyBorder="1" applyAlignment="1">
      <alignment horizontal="center" vertical="center" wrapText="1"/>
    </xf>
    <xf numFmtId="0" fontId="21" fillId="5" borderId="1" xfId="1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center" vertical="center" wrapText="1" readingOrder="1"/>
    </xf>
    <xf numFmtId="0" fontId="27" fillId="5" borderId="5" xfId="0" applyFont="1" applyFill="1" applyBorder="1" applyAlignment="1">
      <alignment horizontal="center" vertical="center"/>
    </xf>
    <xf numFmtId="2" fontId="27" fillId="5" borderId="1" xfId="0" applyNumberFormat="1" applyFont="1" applyFill="1" applyBorder="1" applyAlignment="1">
      <alignment horizontal="center" vertical="center" wrapText="1" readingOrder="1"/>
    </xf>
    <xf numFmtId="2" fontId="27" fillId="5" borderId="1" xfId="13" applyNumberFormat="1" applyFont="1" applyFill="1" applyBorder="1" applyAlignment="1">
      <alignment horizontal="center" vertical="center" wrapText="1" readingOrder="1"/>
    </xf>
    <xf numFmtId="2" fontId="27" fillId="5" borderId="5" xfId="17" applyNumberFormat="1" applyFont="1" applyFill="1" applyBorder="1" applyAlignment="1">
      <alignment horizontal="center" vertical="center"/>
    </xf>
    <xf numFmtId="170" fontId="21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1" fontId="27" fillId="5" borderId="5" xfId="21" applyNumberFormat="1" applyFont="1" applyFill="1" applyBorder="1" applyAlignment="1">
      <alignment horizontal="center" vertical="center" wrapText="1" readingOrder="1"/>
    </xf>
    <xf numFmtId="0" fontId="21" fillId="5" borderId="14" xfId="0" applyFont="1" applyFill="1" applyBorder="1" applyAlignment="1">
      <alignment horizontal="center" vertical="center"/>
    </xf>
    <xf numFmtId="166" fontId="21" fillId="5" borderId="14" xfId="0" applyNumberFormat="1" applyFont="1" applyFill="1" applyBorder="1" applyAlignment="1">
      <alignment horizontal="center" vertical="center"/>
    </xf>
    <xf numFmtId="10" fontId="21" fillId="5" borderId="1" xfId="0" applyNumberFormat="1" applyFont="1" applyFill="1" applyBorder="1" applyAlignment="1">
      <alignment horizontal="center" vertical="center"/>
    </xf>
    <xf numFmtId="166" fontId="21" fillId="5" borderId="1" xfId="0" applyNumberFormat="1" applyFont="1" applyFill="1" applyBorder="1" applyAlignment="1">
      <alignment horizontal="center" vertical="center"/>
    </xf>
    <xf numFmtId="14" fontId="21" fillId="5" borderId="1" xfId="0" applyNumberFormat="1" applyFont="1" applyFill="1" applyBorder="1" applyAlignment="1">
      <alignment horizontal="center" vertical="center"/>
    </xf>
    <xf numFmtId="14" fontId="21" fillId="5" borderId="1" xfId="4" applyNumberFormat="1" applyFont="1" applyFill="1" applyBorder="1" applyAlignment="1">
      <alignment horizontal="center" vertical="center"/>
    </xf>
    <xf numFmtId="166" fontId="21" fillId="5" borderId="1" xfId="4" applyNumberFormat="1" applyFont="1" applyFill="1" applyBorder="1" applyAlignment="1">
      <alignment horizontal="center" vertical="center"/>
    </xf>
    <xf numFmtId="175" fontId="21" fillId="5" borderId="1" xfId="4" applyNumberFormat="1" applyFont="1" applyFill="1" applyBorder="1" applyAlignment="1">
      <alignment horizontal="center" vertical="center"/>
    </xf>
    <xf numFmtId="9" fontId="21" fillId="5" borderId="1" xfId="0" applyNumberFormat="1" applyFont="1" applyFill="1" applyBorder="1" applyAlignment="1">
      <alignment horizontal="center" vertical="center"/>
    </xf>
    <xf numFmtId="0" fontId="21" fillId="5" borderId="1" xfId="4" applyFont="1" applyFill="1" applyBorder="1" applyAlignment="1">
      <alignment horizontal="center" vertical="center"/>
    </xf>
    <xf numFmtId="169" fontId="21" fillId="5" borderId="1" xfId="0" applyNumberFormat="1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2" fontId="27" fillId="5" borderId="1" xfId="17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" fontId="27" fillId="5" borderId="1" xfId="21" applyNumberFormat="1" applyFont="1" applyFill="1" applyBorder="1" applyAlignment="1">
      <alignment horizontal="center" vertical="center" wrapText="1" readingOrder="1"/>
    </xf>
    <xf numFmtId="166" fontId="27" fillId="5" borderId="1" xfId="0" applyNumberFormat="1" applyFont="1" applyFill="1" applyBorder="1" applyAlignment="1">
      <alignment horizontal="center" vertical="center" wrapText="1" readingOrder="1"/>
    </xf>
    <xf numFmtId="0" fontId="21" fillId="5" borderId="8" xfId="0" applyFont="1" applyFill="1" applyBorder="1" applyAlignment="1">
      <alignment horizontal="center" vertical="center"/>
    </xf>
    <xf numFmtId="49" fontId="27" fillId="5" borderId="1" xfId="3" applyNumberFormat="1" applyFont="1" applyFill="1" applyBorder="1" applyAlignment="1">
      <alignment horizontal="center" vertical="center" wrapText="1"/>
    </xf>
    <xf numFmtId="10" fontId="21" fillId="3" borderId="1" xfId="0" applyNumberFormat="1" applyFont="1" applyFill="1" applyBorder="1" applyAlignment="1">
      <alignment horizontal="center" vertical="center"/>
    </xf>
    <xf numFmtId="49" fontId="39" fillId="5" borderId="1" xfId="3" applyNumberFormat="1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 wrapText="1" readingOrder="1"/>
    </xf>
    <xf numFmtId="0" fontId="27" fillId="5" borderId="24" xfId="0" applyFont="1" applyFill="1" applyBorder="1" applyAlignment="1">
      <alignment horizontal="center" vertical="center"/>
    </xf>
    <xf numFmtId="16" fontId="21" fillId="5" borderId="14" xfId="0" applyNumberFormat="1" applyFont="1" applyFill="1" applyBorder="1" applyAlignment="1">
      <alignment horizontal="center" vertical="center"/>
    </xf>
    <xf numFmtId="166" fontId="42" fillId="5" borderId="14" xfId="0" applyNumberFormat="1" applyFont="1" applyFill="1" applyBorder="1" applyAlignment="1">
      <alignment horizontal="center" vertical="center"/>
    </xf>
    <xf numFmtId="170" fontId="27" fillId="5" borderId="5" xfId="0" applyNumberFormat="1" applyFont="1" applyFill="1" applyBorder="1" applyAlignment="1">
      <alignment horizontal="center" vertical="center"/>
    </xf>
    <xf numFmtId="174" fontId="28" fillId="5" borderId="26" xfId="0" applyNumberFormat="1" applyFont="1" applyFill="1" applyBorder="1" applyAlignment="1">
      <alignment horizontal="center" vertical="center"/>
    </xf>
    <xf numFmtId="166" fontId="42" fillId="5" borderId="1" xfId="0" applyNumberFormat="1" applyFont="1" applyFill="1" applyBorder="1" applyAlignment="1">
      <alignment horizontal="center" vertical="center"/>
    </xf>
    <xf numFmtId="175" fontId="21" fillId="5" borderId="1" xfId="0" applyNumberFormat="1" applyFont="1" applyFill="1" applyBorder="1" applyAlignment="1">
      <alignment horizontal="center" vertical="center"/>
    </xf>
    <xf numFmtId="9" fontId="1" fillId="2" borderId="1" xfId="0" applyNumberFormat="1" applyFont="1" applyFill="1" applyBorder="1" applyAlignment="1">
      <alignment horizontal="center" vertical="center"/>
    </xf>
    <xf numFmtId="1" fontId="13" fillId="5" borderId="5" xfId="21" applyNumberFormat="1" applyFont="1" applyFill="1" applyBorder="1" applyAlignment="1">
      <alignment horizontal="center" vertical="center" wrapText="1" readingOrder="1"/>
    </xf>
    <xf numFmtId="14" fontId="21" fillId="5" borderId="1" xfId="5" applyNumberFormat="1" applyFont="1" applyFill="1" applyBorder="1" applyAlignment="1">
      <alignment horizontal="center" vertical="center"/>
    </xf>
    <xf numFmtId="175" fontId="21" fillId="5" borderId="1" xfId="5" applyNumberFormat="1" applyFont="1" applyFill="1" applyBorder="1" applyAlignment="1">
      <alignment horizontal="center" vertical="center"/>
    </xf>
    <xf numFmtId="0" fontId="21" fillId="5" borderId="1" xfId="5" applyFont="1" applyFill="1" applyBorder="1" applyAlignment="1">
      <alignment horizontal="center" vertical="center"/>
    </xf>
    <xf numFmtId="0" fontId="1" fillId="5" borderId="1" xfId="5" applyFont="1" applyFill="1" applyBorder="1" applyAlignment="1">
      <alignment vertical="center"/>
    </xf>
    <xf numFmtId="0" fontId="22" fillId="5" borderId="8" xfId="0" applyFont="1" applyFill="1" applyBorder="1" applyAlignment="1">
      <alignment horizontal="center"/>
    </xf>
    <xf numFmtId="0" fontId="22" fillId="5" borderId="8" xfId="10" applyFont="1" applyFill="1" applyBorder="1" applyAlignment="1">
      <alignment horizontal="center"/>
    </xf>
    <xf numFmtId="0" fontId="35" fillId="5" borderId="8" xfId="0" applyFont="1" applyFill="1" applyBorder="1" applyAlignment="1">
      <alignment horizontal="center" wrapText="1" readingOrder="1"/>
    </xf>
    <xf numFmtId="0" fontId="22" fillId="5" borderId="8" xfId="0" applyFont="1" applyFill="1" applyBorder="1" applyAlignment="1">
      <alignment horizontal="center" wrapText="1" readingOrder="1"/>
    </xf>
    <xf numFmtId="0" fontId="22" fillId="5" borderId="13" xfId="0" applyFont="1" applyFill="1" applyBorder="1" applyAlignment="1">
      <alignment horizontal="center"/>
    </xf>
    <xf numFmtId="166" fontId="22" fillId="5" borderId="13" xfId="0" applyNumberFormat="1" applyFont="1" applyFill="1" applyBorder="1" applyAlignment="1">
      <alignment horizontal="center"/>
    </xf>
    <xf numFmtId="166" fontId="22" fillId="5" borderId="13" xfId="0" applyNumberFormat="1" applyFont="1" applyFill="1" applyBorder="1" applyAlignment="1">
      <alignment horizontal="center" vertical="center"/>
    </xf>
    <xf numFmtId="10" fontId="22" fillId="5" borderId="8" xfId="0" applyNumberFormat="1" applyFont="1" applyFill="1" applyBorder="1" applyAlignment="1">
      <alignment horizontal="center"/>
    </xf>
    <xf numFmtId="166" fontId="22" fillId="5" borderId="8" xfId="0" applyNumberFormat="1" applyFont="1" applyFill="1" applyBorder="1" applyAlignment="1">
      <alignment horizontal="center"/>
    </xf>
    <xf numFmtId="14" fontId="22" fillId="5" borderId="8" xfId="0" applyNumberFormat="1" applyFont="1" applyFill="1" applyBorder="1" applyAlignment="1">
      <alignment horizontal="center"/>
    </xf>
    <xf numFmtId="14" fontId="22" fillId="5" borderId="8" xfId="4" applyNumberFormat="1" applyFont="1" applyFill="1" applyBorder="1" applyAlignment="1">
      <alignment horizontal="center"/>
    </xf>
    <xf numFmtId="175" fontId="22" fillId="5" borderId="8" xfId="4" applyNumberFormat="1" applyFont="1" applyFill="1" applyBorder="1" applyAlignment="1">
      <alignment horizontal="center"/>
    </xf>
    <xf numFmtId="0" fontId="22" fillId="5" borderId="8" xfId="4" applyFont="1" applyFill="1" applyBorder="1" applyAlignment="1">
      <alignment horizontal="center"/>
    </xf>
    <xf numFmtId="169" fontId="22" fillId="5" borderId="8" xfId="0" applyNumberFormat="1" applyFont="1" applyFill="1" applyBorder="1" applyAlignment="1">
      <alignment horizontal="center"/>
    </xf>
    <xf numFmtId="2" fontId="27" fillId="5" borderId="52" xfId="17" applyNumberFormat="1" applyFont="1" applyFill="1" applyBorder="1" applyAlignment="1">
      <alignment horizontal="center" vertical="center"/>
    </xf>
    <xf numFmtId="0" fontId="27" fillId="5" borderId="8" xfId="0" applyFont="1" applyFill="1" applyBorder="1" applyAlignment="1">
      <alignment horizontal="center" vertical="center" wrapText="1" readingOrder="1"/>
    </xf>
    <xf numFmtId="1" fontId="27" fillId="5" borderId="8" xfId="0" applyNumberFormat="1" applyFont="1" applyFill="1" applyBorder="1" applyAlignment="1">
      <alignment horizontal="center" vertical="center" wrapText="1" readingOrder="1"/>
    </xf>
    <xf numFmtId="1" fontId="27" fillId="5" borderId="8" xfId="13" applyNumberFormat="1" applyFont="1" applyFill="1" applyBorder="1" applyAlignment="1">
      <alignment horizontal="center" vertical="center" wrapText="1" readingOrder="1"/>
    </xf>
    <xf numFmtId="1" fontId="14" fillId="5" borderId="8" xfId="17" applyNumberFormat="1" applyFont="1" applyFill="1" applyBorder="1" applyAlignment="1">
      <alignment horizontal="center" vertical="center"/>
    </xf>
    <xf numFmtId="171" fontId="1" fillId="5" borderId="8" xfId="1" applyNumberFormat="1" applyFont="1" applyFill="1" applyBorder="1" applyAlignment="1">
      <alignment horizontal="center"/>
    </xf>
    <xf numFmtId="0" fontId="15" fillId="5" borderId="8" xfId="0" applyFont="1" applyFill="1" applyBorder="1" applyAlignment="1">
      <alignment horizontal="center" vertical="center"/>
    </xf>
    <xf numFmtId="169" fontId="16" fillId="5" borderId="8" xfId="0" applyNumberFormat="1" applyFont="1" applyFill="1" applyBorder="1" applyAlignment="1">
      <alignment horizontal="center" vertical="center" wrapText="1" readingOrder="1"/>
    </xf>
    <xf numFmtId="14" fontId="1" fillId="5" borderId="8" xfId="4" applyNumberFormat="1" applyFont="1" applyFill="1" applyBorder="1" applyAlignment="1">
      <alignment horizontal="center" vertical="center"/>
    </xf>
    <xf numFmtId="166" fontId="1" fillId="5" borderId="8" xfId="4" applyNumberFormat="1" applyFont="1" applyFill="1" applyBorder="1" applyAlignment="1">
      <alignment horizontal="center" vertical="center"/>
    </xf>
    <xf numFmtId="9" fontId="1" fillId="5" borderId="8" xfId="0" applyNumberFormat="1" applyFont="1" applyFill="1" applyBorder="1" applyAlignment="1">
      <alignment horizontal="center"/>
    </xf>
    <xf numFmtId="2" fontId="13" fillId="5" borderId="16" xfId="13" applyNumberFormat="1" applyFont="1" applyFill="1" applyBorder="1" applyAlignment="1">
      <alignment horizontal="center" vertical="center" wrapText="1" readingOrder="1"/>
    </xf>
    <xf numFmtId="0" fontId="45" fillId="5" borderId="1" xfId="28" applyFill="1" applyBorder="1" applyAlignment="1">
      <alignment horizontal="center" vertical="center"/>
    </xf>
    <xf numFmtId="166" fontId="1" fillId="0" borderId="6" xfId="0" applyNumberFormat="1" applyFont="1" applyBorder="1" applyAlignment="1">
      <alignment horizontal="center" vertical="center" wrapText="1"/>
    </xf>
    <xf numFmtId="9" fontId="1" fillId="16" borderId="1" xfId="0" applyNumberFormat="1" applyFont="1" applyFill="1" applyBorder="1" applyAlignment="1">
      <alignment horizontal="center" vertical="center"/>
    </xf>
    <xf numFmtId="9" fontId="1" fillId="20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170" fontId="15" fillId="3" borderId="1" xfId="0" applyNumberFormat="1" applyFont="1" applyFill="1" applyBorder="1" applyAlignment="1">
      <alignment horizontal="center" vertical="center"/>
    </xf>
    <xf numFmtId="169" fontId="15" fillId="3" borderId="1" xfId="0" applyNumberFormat="1" applyFont="1" applyFill="1" applyBorder="1" applyAlignment="1">
      <alignment horizontal="center" vertical="center"/>
    </xf>
    <xf numFmtId="169" fontId="36" fillId="3" borderId="1" xfId="0" applyNumberFormat="1" applyFont="1" applyFill="1" applyBorder="1" applyAlignment="1">
      <alignment horizontal="center" vertical="center"/>
    </xf>
    <xf numFmtId="10" fontId="15" fillId="3" borderId="1" xfId="0" applyNumberFormat="1" applyFont="1" applyFill="1" applyBorder="1" applyAlignment="1">
      <alignment horizontal="center" vertical="center"/>
    </xf>
    <xf numFmtId="166" fontId="15" fillId="3" borderId="1" xfId="0" applyNumberFormat="1" applyFont="1" applyFill="1" applyBorder="1" applyAlignment="1">
      <alignment horizontal="center" vertical="center"/>
    </xf>
    <xf numFmtId="14" fontId="15" fillId="3" borderId="1" xfId="0" applyNumberFormat="1" applyFont="1" applyFill="1" applyBorder="1" applyAlignment="1">
      <alignment horizontal="center" vertical="center"/>
    </xf>
    <xf numFmtId="14" fontId="15" fillId="3" borderId="1" xfId="4" applyNumberFormat="1" applyFont="1" applyFill="1" applyBorder="1" applyAlignment="1">
      <alignment horizontal="center" vertical="center"/>
    </xf>
    <xf numFmtId="169" fontId="15" fillId="3" borderId="1" xfId="4" applyNumberFormat="1" applyFont="1" applyFill="1" applyBorder="1" applyAlignment="1">
      <alignment horizontal="center" vertical="center"/>
    </xf>
    <xf numFmtId="166" fontId="15" fillId="3" borderId="1" xfId="4" applyNumberFormat="1" applyFont="1" applyFill="1" applyBorder="1" applyAlignment="1">
      <alignment horizontal="center" vertical="center"/>
    </xf>
    <xf numFmtId="0" fontId="15" fillId="3" borderId="1" xfId="4" applyFont="1" applyFill="1" applyBorder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49" fontId="13" fillId="3" borderId="1" xfId="3" applyNumberFormat="1" applyFont="1" applyFill="1" applyBorder="1" applyAlignment="1">
      <alignment horizontal="center" vertical="center" wrapText="1"/>
    </xf>
    <xf numFmtId="1" fontId="27" fillId="3" borderId="1" xfId="0" applyNumberFormat="1" applyFont="1" applyFill="1" applyBorder="1" applyAlignment="1">
      <alignment horizontal="center" vertical="center" wrapText="1"/>
    </xf>
    <xf numFmtId="9" fontId="15" fillId="3" borderId="1" xfId="0" applyNumberFormat="1" applyFont="1" applyFill="1" applyBorder="1" applyAlignment="1">
      <alignment horizontal="center" vertical="center"/>
    </xf>
    <xf numFmtId="0" fontId="49" fillId="3" borderId="1" xfId="28" applyFont="1" applyFill="1" applyBorder="1" applyAlignment="1">
      <alignment horizontal="center" vertical="center"/>
    </xf>
    <xf numFmtId="0" fontId="14" fillId="3" borderId="0" xfId="0" applyFont="1" applyFill="1"/>
    <xf numFmtId="9" fontId="15" fillId="3" borderId="1" xfId="29" applyFont="1" applyFill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/>
    </xf>
    <xf numFmtId="16" fontId="15" fillId="3" borderId="1" xfId="0" applyNumberFormat="1" applyFont="1" applyFill="1" applyBorder="1" applyAlignment="1">
      <alignment horizontal="center" vertical="center"/>
    </xf>
    <xf numFmtId="49" fontId="13" fillId="3" borderId="1" xfId="3" applyNumberFormat="1" applyFont="1" applyFill="1" applyBorder="1" applyAlignment="1">
      <alignment horizontal="center" vertical="center"/>
    </xf>
    <xf numFmtId="14" fontId="15" fillId="3" borderId="1" xfId="5" applyNumberFormat="1" applyFont="1" applyFill="1" applyBorder="1" applyAlignment="1">
      <alignment horizontal="center" vertical="center"/>
    </xf>
    <xf numFmtId="169" fontId="15" fillId="3" borderId="1" xfId="5" applyNumberFormat="1" applyFont="1" applyFill="1" applyBorder="1" applyAlignment="1">
      <alignment horizontal="center" vertical="center"/>
    </xf>
    <xf numFmtId="166" fontId="15" fillId="3" borderId="1" xfId="5" applyNumberFormat="1" applyFont="1" applyFill="1" applyBorder="1" applyAlignment="1">
      <alignment horizontal="center" vertical="center"/>
    </xf>
    <xf numFmtId="0" fontId="15" fillId="3" borderId="1" xfId="5" applyFont="1" applyFill="1" applyBorder="1" applyAlignment="1">
      <alignment horizontal="center" vertical="center"/>
    </xf>
    <xf numFmtId="166" fontId="18" fillId="0" borderId="1" xfId="0" applyNumberFormat="1" applyFont="1" applyBorder="1" applyAlignment="1">
      <alignment horizontal="center" vertical="center"/>
    </xf>
    <xf numFmtId="169" fontId="1" fillId="0" borderId="20" xfId="0" applyNumberFormat="1" applyFont="1" applyBorder="1" applyAlignment="1">
      <alignment horizontal="center" vertical="center" wrapText="1"/>
    </xf>
    <xf numFmtId="1" fontId="15" fillId="3" borderId="0" xfId="0" applyNumberFormat="1" applyFont="1" applyFill="1" applyAlignment="1">
      <alignment horizontal="center" vertical="center"/>
    </xf>
    <xf numFmtId="10" fontId="22" fillId="0" borderId="0" xfId="0" applyNumberFormat="1" applyFont="1" applyAlignment="1">
      <alignment horizontal="center" vertical="center"/>
    </xf>
    <xf numFmtId="1" fontId="43" fillId="3" borderId="0" xfId="0" applyNumberFormat="1" applyFont="1" applyFill="1" applyAlignment="1">
      <alignment horizontal="center" vertical="center"/>
    </xf>
    <xf numFmtId="1" fontId="42" fillId="3" borderId="0" xfId="0" applyNumberFormat="1" applyFont="1" applyFill="1" applyAlignment="1">
      <alignment horizontal="center" vertical="center"/>
    </xf>
    <xf numFmtId="1" fontId="21" fillId="3" borderId="0" xfId="0" applyNumberFormat="1" applyFont="1" applyFill="1" applyAlignment="1">
      <alignment horizontal="center" vertical="center"/>
    </xf>
    <xf numFmtId="1" fontId="25" fillId="3" borderId="0" xfId="0" applyNumberFormat="1" applyFont="1" applyFill="1" applyAlignment="1">
      <alignment horizontal="center" vertical="center"/>
    </xf>
    <xf numFmtId="1" fontId="1" fillId="3" borderId="53" xfId="0" applyNumberFormat="1" applyFont="1" applyFill="1" applyBorder="1" applyAlignment="1">
      <alignment horizontal="center" vertical="center"/>
    </xf>
    <xf numFmtId="0" fontId="18" fillId="16" borderId="16" xfId="0" applyFont="1" applyFill="1" applyBorder="1" applyAlignment="1">
      <alignment horizontal="center" vertical="top"/>
    </xf>
    <xf numFmtId="0" fontId="1" fillId="16" borderId="16" xfId="0" applyFont="1" applyFill="1" applyBorder="1" applyAlignment="1">
      <alignment horizontal="center" vertical="top"/>
    </xf>
    <xf numFmtId="9" fontId="1" fillId="18" borderId="16" xfId="0" applyNumberFormat="1" applyFont="1" applyFill="1" applyBorder="1" applyAlignment="1">
      <alignment horizontal="center" vertical="center"/>
    </xf>
    <xf numFmtId="169" fontId="1" fillId="16" borderId="16" xfId="0" applyNumberFormat="1" applyFont="1" applyFill="1" applyBorder="1" applyAlignment="1">
      <alignment horizontal="center" vertical="top"/>
    </xf>
    <xf numFmtId="169" fontId="1" fillId="16" borderId="34" xfId="0" applyNumberFormat="1" applyFont="1" applyFill="1" applyBorder="1" applyAlignment="1">
      <alignment horizontal="center" vertical="top"/>
    </xf>
    <xf numFmtId="169" fontId="1" fillId="16" borderId="57" xfId="0" applyNumberFormat="1" applyFont="1" applyFill="1" applyBorder="1" applyAlignment="1">
      <alignment horizontal="center" vertical="top"/>
    </xf>
    <xf numFmtId="169" fontId="1" fillId="16" borderId="73" xfId="0" applyNumberFormat="1" applyFont="1" applyFill="1" applyBorder="1" applyAlignment="1">
      <alignment horizontal="center" vertical="top"/>
    </xf>
    <xf numFmtId="0" fontId="1" fillId="16" borderId="34" xfId="0" applyFont="1" applyFill="1" applyBorder="1" applyAlignment="1">
      <alignment horizontal="center" vertical="top"/>
    </xf>
    <xf numFmtId="9" fontId="1" fillId="16" borderId="16" xfId="29" applyFont="1" applyFill="1" applyBorder="1" applyAlignment="1">
      <alignment horizontal="center" vertical="center"/>
    </xf>
    <xf numFmtId="0" fontId="1" fillId="16" borderId="74" xfId="0" applyFont="1" applyFill="1" applyBorder="1" applyAlignment="1">
      <alignment horizontal="center" vertical="top"/>
    </xf>
    <xf numFmtId="169" fontId="1" fillId="16" borderId="16" xfId="29" applyNumberFormat="1" applyFont="1" applyFill="1" applyBorder="1" applyAlignment="1">
      <alignment horizontal="center" vertical="center"/>
    </xf>
    <xf numFmtId="0" fontId="1" fillId="0" borderId="16" xfId="0" applyFont="1" applyBorder="1"/>
    <xf numFmtId="0" fontId="18" fillId="19" borderId="1" xfId="0" applyFont="1" applyFill="1" applyBorder="1" applyAlignment="1">
      <alignment horizontal="center" vertical="top"/>
    </xf>
    <xf numFmtId="0" fontId="1" fillId="19" borderId="1" xfId="0" applyFont="1" applyFill="1" applyBorder="1" applyAlignment="1">
      <alignment horizontal="center" vertical="top"/>
    </xf>
    <xf numFmtId="9" fontId="1" fillId="19" borderId="1" xfId="0" applyNumberFormat="1" applyFont="1" applyFill="1" applyBorder="1" applyAlignment="1">
      <alignment horizontal="center" vertical="center"/>
    </xf>
    <xf numFmtId="169" fontId="1" fillId="19" borderId="1" xfId="0" applyNumberFormat="1" applyFont="1" applyFill="1" applyBorder="1" applyAlignment="1">
      <alignment horizontal="center" vertical="top"/>
    </xf>
    <xf numFmtId="9" fontId="1" fillId="19" borderId="1" xfId="29" applyFont="1" applyFill="1" applyBorder="1" applyAlignment="1">
      <alignment horizontal="center" vertical="center"/>
    </xf>
    <xf numFmtId="169" fontId="1" fillId="19" borderId="1" xfId="29" applyNumberFormat="1" applyFont="1" applyFill="1" applyBorder="1" applyAlignment="1">
      <alignment horizontal="center" vertical="center"/>
    </xf>
    <xf numFmtId="0" fontId="1" fillId="19" borderId="1" xfId="0" applyFont="1" applyFill="1" applyBorder="1"/>
    <xf numFmtId="0" fontId="1" fillId="19" borderId="1" xfId="29" applyNumberFormat="1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top"/>
    </xf>
    <xf numFmtId="0" fontId="1" fillId="0" borderId="21" xfId="0" applyFont="1" applyBorder="1" applyAlignment="1">
      <alignment vertical="top"/>
    </xf>
    <xf numFmtId="0" fontId="1" fillId="0" borderId="70" xfId="0" applyFont="1" applyBorder="1" applyAlignment="1">
      <alignment vertical="top"/>
    </xf>
    <xf numFmtId="0" fontId="18" fillId="3" borderId="1" xfId="0" applyFont="1" applyFill="1" applyBorder="1" applyAlignment="1">
      <alignment horizontal="center" vertical="top"/>
    </xf>
    <xf numFmtId="1" fontId="1" fillId="3" borderId="14" xfId="0" applyNumberFormat="1" applyFont="1" applyFill="1" applyBorder="1" applyAlignment="1">
      <alignment horizontal="center" vertical="top"/>
    </xf>
    <xf numFmtId="166" fontId="1" fillId="22" borderId="1" xfId="5" applyNumberFormat="1" applyFont="1" applyFill="1" applyBorder="1" applyAlignment="1">
      <alignment horizontal="center" vertical="center"/>
    </xf>
    <xf numFmtId="14" fontId="1" fillId="22" borderId="1" xfId="5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vertical="center"/>
    </xf>
    <xf numFmtId="166" fontId="1" fillId="5" borderId="1" xfId="0" applyNumberFormat="1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/>
    <xf numFmtId="1" fontId="13" fillId="3" borderId="1" xfId="21" applyNumberFormat="1" applyFont="1" applyFill="1" applyBorder="1" applyAlignment="1">
      <alignment horizontal="center" vertical="center" wrapText="1" readingOrder="1"/>
    </xf>
    <xf numFmtId="2" fontId="1" fillId="3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" fontId="1" fillId="18" borderId="25" xfId="0" applyNumberFormat="1" applyFont="1" applyFill="1" applyBorder="1" applyAlignment="1">
      <alignment horizontal="center" vertical="top"/>
    </xf>
    <xf numFmtId="16" fontId="21" fillId="5" borderId="1" xfId="0" applyNumberFormat="1" applyFont="1" applyFill="1" applyBorder="1" applyAlignment="1">
      <alignment horizontal="center" vertical="center"/>
    </xf>
    <xf numFmtId="14" fontId="21" fillId="5" borderId="14" xfId="0" applyNumberFormat="1" applyFont="1" applyFill="1" applyBorder="1" applyAlignment="1">
      <alignment horizontal="center" vertical="center"/>
    </xf>
    <xf numFmtId="10" fontId="1" fillId="0" borderId="0" xfId="29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9" fontId="48" fillId="5" borderId="1" xfId="0" applyNumberFormat="1" applyFont="1" applyFill="1" applyBorder="1" applyAlignment="1">
      <alignment horizontal="center" vertical="center"/>
    </xf>
    <xf numFmtId="166" fontId="1" fillId="5" borderId="65" xfId="4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 readingOrder="1"/>
    </xf>
    <xf numFmtId="171" fontId="15" fillId="5" borderId="1" xfId="1" applyNumberFormat="1" applyFont="1" applyFill="1" applyBorder="1" applyAlignment="1">
      <alignment horizontal="center"/>
    </xf>
    <xf numFmtId="169" fontId="25" fillId="5" borderId="1" xfId="0" applyNumberFormat="1" applyFont="1" applyFill="1" applyBorder="1" applyAlignment="1">
      <alignment horizontal="center" vertical="center" wrapText="1" readingOrder="1"/>
    </xf>
    <xf numFmtId="9" fontId="15" fillId="5" borderId="1" xfId="0" applyNumberFormat="1" applyFont="1" applyFill="1" applyBorder="1" applyAlignment="1">
      <alignment horizontal="center"/>
    </xf>
    <xf numFmtId="0" fontId="15" fillId="5" borderId="1" xfId="4" applyFont="1" applyFill="1" applyBorder="1" applyAlignment="1">
      <alignment vertical="center"/>
    </xf>
    <xf numFmtId="0" fontId="15" fillId="5" borderId="0" xfId="0" applyFont="1" applyFill="1"/>
    <xf numFmtId="10" fontId="0" fillId="3" borderId="0" xfId="29" applyNumberFormat="1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169" fontId="1" fillId="0" borderId="9" xfId="0" applyNumberFormat="1" applyFont="1" applyBorder="1" applyAlignment="1">
      <alignment horizontal="center"/>
    </xf>
    <xf numFmtId="0" fontId="1" fillId="3" borderId="2" xfId="4" applyFont="1" applyFill="1" applyBorder="1" applyAlignment="1">
      <alignment horizontal="center"/>
    </xf>
    <xf numFmtId="9" fontId="1" fillId="3" borderId="3" xfId="0" applyNumberFormat="1" applyFont="1" applyFill="1" applyBorder="1" applyAlignment="1">
      <alignment horizontal="center"/>
    </xf>
    <xf numFmtId="0" fontId="1" fillId="3" borderId="2" xfId="4" applyFont="1" applyFill="1" applyBorder="1" applyAlignment="1">
      <alignment horizontal="center" vertical="center"/>
    </xf>
    <xf numFmtId="9" fontId="1" fillId="3" borderId="6" xfId="0" applyNumberFormat="1" applyFont="1" applyFill="1" applyBorder="1" applyAlignment="1">
      <alignment horizontal="center"/>
    </xf>
    <xf numFmtId="0" fontId="21" fillId="5" borderId="16" xfId="0" applyFont="1" applyFill="1" applyBorder="1" applyAlignment="1">
      <alignment horizontal="center" vertical="center"/>
    </xf>
    <xf numFmtId="2" fontId="15" fillId="10" borderId="1" xfId="17" applyNumberFormat="1" applyFont="1" applyFill="1" applyBorder="1" applyAlignment="1">
      <alignment horizontal="center" vertical="center"/>
    </xf>
    <xf numFmtId="0" fontId="18" fillId="17" borderId="0" xfId="0" applyFont="1" applyFill="1" applyAlignment="1">
      <alignment horizontal="center"/>
    </xf>
    <xf numFmtId="9" fontId="1" fillId="3" borderId="0" xfId="0" applyNumberFormat="1" applyFont="1" applyFill="1" applyAlignment="1">
      <alignment horizontal="center" vertical="center"/>
    </xf>
    <xf numFmtId="0" fontId="22" fillId="5" borderId="16" xfId="10" applyFont="1" applyFill="1" applyBorder="1" applyAlignment="1">
      <alignment horizontal="center"/>
    </xf>
    <xf numFmtId="0" fontId="35" fillId="5" borderId="16" xfId="0" applyFont="1" applyFill="1" applyBorder="1" applyAlignment="1">
      <alignment horizontal="center" wrapText="1" readingOrder="1"/>
    </xf>
    <xf numFmtId="0" fontId="22" fillId="5" borderId="16" xfId="0" applyFont="1" applyFill="1" applyBorder="1" applyAlignment="1">
      <alignment horizontal="center" wrapText="1" readingOrder="1"/>
    </xf>
    <xf numFmtId="2" fontId="13" fillId="5" borderId="17" xfId="17" applyNumberFormat="1" applyFill="1" applyBorder="1" applyAlignment="1">
      <alignment horizontal="center"/>
    </xf>
    <xf numFmtId="166" fontId="22" fillId="5" borderId="16" xfId="0" applyNumberFormat="1" applyFont="1" applyFill="1" applyBorder="1" applyAlignment="1">
      <alignment horizontal="center"/>
    </xf>
    <xf numFmtId="1" fontId="13" fillId="5" borderId="52" xfId="21" applyNumberFormat="1" applyFont="1" applyFill="1" applyBorder="1" applyAlignment="1">
      <alignment horizontal="center" vertical="center" wrapText="1" readingOrder="1"/>
    </xf>
    <xf numFmtId="166" fontId="22" fillId="5" borderId="34" xfId="0" applyNumberFormat="1" applyFont="1" applyFill="1" applyBorder="1" applyAlignment="1">
      <alignment horizontal="center" vertical="center"/>
    </xf>
    <xf numFmtId="10" fontId="22" fillId="5" borderId="16" xfId="0" applyNumberFormat="1" applyFont="1" applyFill="1" applyBorder="1" applyAlignment="1">
      <alignment horizontal="center"/>
    </xf>
    <xf numFmtId="14" fontId="22" fillId="5" borderId="16" xfId="0" applyNumberFormat="1" applyFont="1" applyFill="1" applyBorder="1" applyAlignment="1">
      <alignment horizontal="center"/>
    </xf>
    <xf numFmtId="14" fontId="22" fillId="5" borderId="16" xfId="4" applyNumberFormat="1" applyFont="1" applyFill="1" applyBorder="1" applyAlignment="1">
      <alignment horizontal="center"/>
    </xf>
    <xf numFmtId="175" fontId="22" fillId="5" borderId="16" xfId="4" applyNumberFormat="1" applyFont="1" applyFill="1" applyBorder="1" applyAlignment="1">
      <alignment horizontal="center"/>
    </xf>
    <xf numFmtId="0" fontId="22" fillId="5" borderId="16" xfId="4" applyFont="1" applyFill="1" applyBorder="1" applyAlignment="1">
      <alignment horizontal="center"/>
    </xf>
    <xf numFmtId="169" fontId="22" fillId="5" borderId="16" xfId="0" applyNumberFormat="1" applyFont="1" applyFill="1" applyBorder="1" applyAlignment="1">
      <alignment horizontal="center"/>
    </xf>
    <xf numFmtId="9" fontId="21" fillId="5" borderId="1" xfId="29" applyFont="1" applyFill="1" applyBorder="1" applyAlignment="1">
      <alignment horizontal="center" vertical="center"/>
    </xf>
    <xf numFmtId="1" fontId="27" fillId="5" borderId="16" xfId="21" applyNumberFormat="1" applyFont="1" applyFill="1" applyBorder="1" applyAlignment="1">
      <alignment horizontal="center" vertical="center" wrapText="1" readingOrder="1"/>
    </xf>
    <xf numFmtId="0" fontId="22" fillId="17" borderId="1" xfId="0" applyFont="1" applyFill="1" applyBorder="1" applyAlignment="1">
      <alignment horizontal="center"/>
    </xf>
    <xf numFmtId="49" fontId="7" fillId="17" borderId="1" xfId="3" applyNumberFormat="1" applyFont="1" applyFill="1" applyBorder="1" applyAlignment="1">
      <alignment horizontal="center" wrapText="1"/>
    </xf>
    <xf numFmtId="0" fontId="22" fillId="17" borderId="1" xfId="10" applyFont="1" applyFill="1" applyBorder="1" applyAlignment="1">
      <alignment horizontal="center"/>
    </xf>
    <xf numFmtId="0" fontId="1" fillId="5" borderId="64" xfId="0" applyFont="1" applyFill="1" applyBorder="1" applyAlignment="1">
      <alignment horizontal="center"/>
    </xf>
    <xf numFmtId="0" fontId="27" fillId="5" borderId="65" xfId="0" applyFont="1" applyFill="1" applyBorder="1" applyAlignment="1">
      <alignment horizontal="center" vertical="center" wrapText="1" readingOrder="1"/>
    </xf>
    <xf numFmtId="1" fontId="27" fillId="5" borderId="65" xfId="0" applyNumberFormat="1" applyFont="1" applyFill="1" applyBorder="1" applyAlignment="1">
      <alignment horizontal="center" vertical="center" wrapText="1" readingOrder="1"/>
    </xf>
    <xf numFmtId="1" fontId="27" fillId="5" borderId="65" xfId="13" applyNumberFormat="1" applyFont="1" applyFill="1" applyBorder="1" applyAlignment="1">
      <alignment horizontal="center" vertical="center" wrapText="1" readingOrder="1"/>
    </xf>
    <xf numFmtId="1" fontId="14" fillId="5" borderId="65" xfId="17" applyNumberFormat="1" applyFont="1" applyFill="1" applyBorder="1" applyAlignment="1">
      <alignment horizontal="center" vertical="center"/>
    </xf>
    <xf numFmtId="171" fontId="1" fillId="5" borderId="65" xfId="1" applyNumberFormat="1" applyFont="1" applyFill="1" applyBorder="1" applyAlignment="1">
      <alignment horizontal="center"/>
    </xf>
    <xf numFmtId="0" fontId="15" fillId="5" borderId="65" xfId="0" applyFont="1" applyFill="1" applyBorder="1" applyAlignment="1">
      <alignment horizontal="center" vertical="center"/>
    </xf>
    <xf numFmtId="0" fontId="1" fillId="5" borderId="65" xfId="0" applyFont="1" applyFill="1" applyBorder="1" applyAlignment="1">
      <alignment horizontal="center"/>
    </xf>
    <xf numFmtId="174" fontId="28" fillId="5" borderId="65" xfId="0" applyNumberFormat="1" applyFont="1" applyFill="1" applyBorder="1" applyAlignment="1">
      <alignment horizontal="center" vertical="center"/>
    </xf>
    <xf numFmtId="169" fontId="15" fillId="5" borderId="65" xfId="0" applyNumberFormat="1" applyFont="1" applyFill="1" applyBorder="1" applyAlignment="1">
      <alignment horizontal="center" vertical="center" wrapText="1" readingOrder="1"/>
    </xf>
    <xf numFmtId="169" fontId="1" fillId="5" borderId="65" xfId="0" applyNumberFormat="1" applyFont="1" applyFill="1" applyBorder="1" applyAlignment="1">
      <alignment horizontal="center"/>
    </xf>
    <xf numFmtId="166" fontId="1" fillId="5" borderId="65" xfId="0" applyNumberFormat="1" applyFont="1" applyFill="1" applyBorder="1" applyAlignment="1">
      <alignment horizontal="center"/>
    </xf>
    <xf numFmtId="14" fontId="1" fillId="5" borderId="65" xfId="0" applyNumberFormat="1" applyFont="1" applyFill="1" applyBorder="1" applyAlignment="1">
      <alignment horizontal="center"/>
    </xf>
    <xf numFmtId="14" fontId="1" fillId="5" borderId="65" xfId="4" applyNumberFormat="1" applyFont="1" applyFill="1" applyBorder="1" applyAlignment="1">
      <alignment horizontal="center" vertical="center"/>
    </xf>
    <xf numFmtId="9" fontId="1" fillId="5" borderId="65" xfId="0" applyNumberFormat="1" applyFont="1" applyFill="1" applyBorder="1" applyAlignment="1">
      <alignment horizontal="center"/>
    </xf>
    <xf numFmtId="0" fontId="1" fillId="5" borderId="65" xfId="4" applyFont="1" applyFill="1" applyBorder="1" applyAlignment="1">
      <alignment horizontal="center"/>
    </xf>
    <xf numFmtId="0" fontId="0" fillId="5" borderId="67" xfId="0" applyFill="1" applyBorder="1" applyAlignment="1">
      <alignment horizontal="center"/>
    </xf>
    <xf numFmtId="169" fontId="27" fillId="3" borderId="14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3" borderId="16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166" fontId="27" fillId="3" borderId="1" xfId="0" applyNumberFormat="1" applyFont="1" applyFill="1" applyBorder="1" applyAlignment="1">
      <alignment horizontal="center" vertical="center" wrapText="1"/>
    </xf>
    <xf numFmtId="175" fontId="27" fillId="3" borderId="1" xfId="0" applyNumberFormat="1" applyFont="1" applyFill="1" applyBorder="1" applyAlignment="1">
      <alignment horizontal="center" vertical="center" wrapText="1"/>
    </xf>
    <xf numFmtId="169" fontId="27" fillId="3" borderId="1" xfId="0" applyNumberFormat="1" applyFont="1" applyFill="1" applyBorder="1" applyAlignment="1">
      <alignment horizontal="center" vertical="center" wrapText="1"/>
    </xf>
    <xf numFmtId="0" fontId="25" fillId="17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169" fontId="23" fillId="23" borderId="1" xfId="0" applyNumberFormat="1" applyFont="1" applyFill="1" applyBorder="1" applyAlignment="1">
      <alignment horizontal="center" vertical="center"/>
    </xf>
    <xf numFmtId="10" fontId="21" fillId="0" borderId="0" xfId="0" applyNumberFormat="1" applyFont="1" applyAlignment="1">
      <alignment horizontal="center" vertical="center"/>
    </xf>
    <xf numFmtId="169" fontId="23" fillId="16" borderId="1" xfId="0" applyNumberFormat="1" applyFont="1" applyFill="1" applyBorder="1" applyAlignment="1">
      <alignment horizontal="center" vertical="center"/>
    </xf>
    <xf numFmtId="169" fontId="23" fillId="24" borderId="1" xfId="0" applyNumberFormat="1" applyFont="1" applyFill="1" applyBorder="1" applyAlignment="1">
      <alignment horizontal="center" vertical="center"/>
    </xf>
    <xf numFmtId="169" fontId="48" fillId="24" borderId="1" xfId="0" applyNumberFormat="1" applyFont="1" applyFill="1" applyBorder="1" applyAlignment="1">
      <alignment horizontal="center" vertical="center"/>
    </xf>
    <xf numFmtId="0" fontId="25" fillId="16" borderId="16" xfId="0" applyFont="1" applyFill="1" applyBorder="1" applyAlignment="1">
      <alignment horizontal="center" vertical="center" wrapText="1"/>
    </xf>
    <xf numFmtId="169" fontId="25" fillId="16" borderId="16" xfId="0" applyNumberFormat="1" applyFont="1" applyFill="1" applyBorder="1" applyAlignment="1">
      <alignment horizontal="center" vertical="center" wrapText="1"/>
    </xf>
    <xf numFmtId="0" fontId="25" fillId="24" borderId="16" xfId="0" applyFont="1" applyFill="1" applyBorder="1" applyAlignment="1">
      <alignment horizontal="center" vertical="center" wrapText="1"/>
    </xf>
    <xf numFmtId="169" fontId="25" fillId="24" borderId="16" xfId="0" applyNumberFormat="1" applyFont="1" applyFill="1" applyBorder="1" applyAlignment="1">
      <alignment horizontal="center" vertical="center" wrapText="1"/>
    </xf>
    <xf numFmtId="169" fontId="25" fillId="23" borderId="16" xfId="0" applyNumberFormat="1" applyFont="1" applyFill="1" applyBorder="1" applyAlignment="1">
      <alignment horizontal="center" vertical="center" wrapText="1"/>
    </xf>
    <xf numFmtId="10" fontId="1" fillId="5" borderId="1" xfId="4" applyNumberFormat="1" applyFont="1" applyFill="1" applyBorder="1" applyAlignment="1">
      <alignment horizontal="center" vertical="center"/>
    </xf>
    <xf numFmtId="172" fontId="1" fillId="0" borderId="0" xfId="0" applyNumberFormat="1" applyFont="1"/>
    <xf numFmtId="177" fontId="1" fillId="0" borderId="0" xfId="0" applyNumberFormat="1" applyFont="1"/>
    <xf numFmtId="49" fontId="15" fillId="5" borderId="1" xfId="3" applyNumberFormat="1" applyFont="1" applyFill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top" wrapText="1"/>
    </xf>
    <xf numFmtId="169" fontId="18" fillId="0" borderId="50" xfId="0" applyNumberFormat="1" applyFont="1" applyBorder="1" applyAlignment="1">
      <alignment horizontal="center" vertical="center" wrapText="1"/>
    </xf>
    <xf numFmtId="0" fontId="1" fillId="0" borderId="28" xfId="0" applyFont="1" applyBorder="1"/>
    <xf numFmtId="0" fontId="1" fillId="0" borderId="50" xfId="0" applyFont="1" applyBorder="1" applyAlignment="1">
      <alignment horizontal="center" vertical="center" wrapText="1"/>
    </xf>
    <xf numFmtId="169" fontId="1" fillId="0" borderId="50" xfId="0" applyNumberFormat="1" applyFont="1" applyBorder="1" applyAlignment="1">
      <alignment horizontal="center" vertical="center"/>
    </xf>
    <xf numFmtId="49" fontId="39" fillId="5" borderId="16" xfId="3" applyNumberFormat="1" applyFont="1" applyFill="1" applyBorder="1" applyAlignment="1">
      <alignment horizontal="center" vertical="center" wrapText="1"/>
    </xf>
    <xf numFmtId="0" fontId="21" fillId="5" borderId="16" xfId="10" applyFont="1" applyFill="1" applyBorder="1" applyAlignment="1">
      <alignment horizontal="center" vertical="center"/>
    </xf>
    <xf numFmtId="0" fontId="40" fillId="5" borderId="16" xfId="0" applyFont="1" applyFill="1" applyBorder="1" applyAlignment="1">
      <alignment horizontal="center" vertical="center" wrapText="1" readingOrder="1"/>
    </xf>
    <xf numFmtId="0" fontId="41" fillId="5" borderId="16" xfId="0" applyFont="1" applyFill="1" applyBorder="1" applyAlignment="1">
      <alignment horizontal="center" vertical="center" wrapText="1" readingOrder="1"/>
    </xf>
    <xf numFmtId="2" fontId="27" fillId="5" borderId="16" xfId="0" applyNumberFormat="1" applyFont="1" applyFill="1" applyBorder="1" applyAlignment="1">
      <alignment horizontal="center" vertical="center" wrapText="1" readingOrder="1"/>
    </xf>
    <xf numFmtId="2" fontId="27" fillId="5" borderId="16" xfId="13" applyNumberFormat="1" applyFont="1" applyFill="1" applyBorder="1" applyAlignment="1">
      <alignment horizontal="center" vertical="center" wrapText="1" readingOrder="1"/>
    </xf>
    <xf numFmtId="2" fontId="27" fillId="5" borderId="17" xfId="17" applyNumberFormat="1" applyFont="1" applyFill="1" applyBorder="1" applyAlignment="1">
      <alignment horizontal="center" vertical="center"/>
    </xf>
    <xf numFmtId="1" fontId="27" fillId="5" borderId="52" xfId="21" applyNumberFormat="1" applyFont="1" applyFill="1" applyBorder="1" applyAlignment="1">
      <alignment horizontal="center" vertical="center" wrapText="1" readingOrder="1"/>
    </xf>
    <xf numFmtId="166" fontId="21" fillId="5" borderId="16" xfId="0" applyNumberFormat="1" applyFont="1" applyFill="1" applyBorder="1" applyAlignment="1">
      <alignment horizontal="center" vertical="center"/>
    </xf>
    <xf numFmtId="166" fontId="21" fillId="5" borderId="34" xfId="0" applyNumberFormat="1" applyFont="1" applyFill="1" applyBorder="1" applyAlignment="1">
      <alignment horizontal="center" vertical="center"/>
    </xf>
    <xf numFmtId="14" fontId="21" fillId="5" borderId="16" xfId="0" applyNumberFormat="1" applyFont="1" applyFill="1" applyBorder="1" applyAlignment="1">
      <alignment horizontal="center" vertical="center"/>
    </xf>
    <xf numFmtId="14" fontId="21" fillId="5" borderId="16" xfId="4" applyNumberFormat="1" applyFont="1" applyFill="1" applyBorder="1" applyAlignment="1">
      <alignment horizontal="center" vertical="center"/>
    </xf>
    <xf numFmtId="166" fontId="21" fillId="5" borderId="16" xfId="4" applyNumberFormat="1" applyFont="1" applyFill="1" applyBorder="1" applyAlignment="1">
      <alignment horizontal="center" vertical="center"/>
    </xf>
    <xf numFmtId="175" fontId="21" fillId="5" borderId="16" xfId="4" applyNumberFormat="1" applyFont="1" applyFill="1" applyBorder="1" applyAlignment="1">
      <alignment horizontal="center" vertical="center"/>
    </xf>
    <xf numFmtId="0" fontId="21" fillId="5" borderId="16" xfId="4" applyFont="1" applyFill="1" applyBorder="1" applyAlignment="1">
      <alignment horizontal="center" vertical="center"/>
    </xf>
    <xf numFmtId="166" fontId="18" fillId="3" borderId="1" xfId="0" applyNumberFormat="1" applyFont="1" applyFill="1" applyBorder="1" applyAlignment="1">
      <alignment horizontal="center" vertical="center"/>
    </xf>
    <xf numFmtId="166" fontId="25" fillId="3" borderId="1" xfId="0" applyNumberFormat="1" applyFont="1" applyFill="1" applyBorder="1" applyAlignment="1">
      <alignment horizontal="center" vertical="center"/>
    </xf>
    <xf numFmtId="166" fontId="25" fillId="3" borderId="0" xfId="0" applyNumberFormat="1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1" fontId="27" fillId="2" borderId="1" xfId="0" applyNumberFormat="1" applyFont="1" applyFill="1" applyBorder="1" applyAlignment="1">
      <alignment horizontal="center" vertical="center" wrapText="1" readingOrder="1"/>
    </xf>
    <xf numFmtId="0" fontId="45" fillId="5" borderId="1" xfId="28" applyFill="1" applyBorder="1" applyAlignment="1">
      <alignment horizontal="center"/>
    </xf>
    <xf numFmtId="0" fontId="50" fillId="5" borderId="1" xfId="4" applyFont="1" applyFill="1" applyBorder="1" applyAlignment="1">
      <alignment horizontal="center"/>
    </xf>
    <xf numFmtId="0" fontId="51" fillId="5" borderId="1" xfId="4" applyFont="1" applyFill="1" applyBorder="1" applyAlignment="1">
      <alignment horizontal="center"/>
    </xf>
    <xf numFmtId="0" fontId="51" fillId="5" borderId="1" xfId="28" applyFont="1" applyFill="1" applyBorder="1" applyAlignment="1">
      <alignment horizontal="center"/>
    </xf>
    <xf numFmtId="0" fontId="52" fillId="5" borderId="1" xfId="4" applyFont="1" applyFill="1" applyBorder="1" applyAlignment="1">
      <alignment horizontal="center"/>
    </xf>
    <xf numFmtId="0" fontId="52" fillId="5" borderId="1" xfId="0" applyFont="1" applyFill="1" applyBorder="1" applyAlignment="1">
      <alignment horizontal="center"/>
    </xf>
    <xf numFmtId="0" fontId="52" fillId="5" borderId="1" xfId="5" applyFont="1" applyFill="1" applyBorder="1" applyAlignment="1">
      <alignment horizontal="center" vertical="center"/>
    </xf>
    <xf numFmtId="0" fontId="52" fillId="5" borderId="1" xfId="4" applyFont="1" applyFill="1" applyBorder="1" applyAlignment="1">
      <alignment horizontal="center" vertical="center"/>
    </xf>
    <xf numFmtId="0" fontId="1" fillId="5" borderId="1" xfId="5" applyNumberFormat="1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 wrapText="1" readingOrder="1"/>
    </xf>
    <xf numFmtId="49" fontId="13" fillId="2" borderId="1" xfId="3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 vertical="center" wrapText="1"/>
    </xf>
    <xf numFmtId="1" fontId="27" fillId="2" borderId="1" xfId="0" applyNumberFormat="1" applyFont="1" applyFill="1" applyBorder="1" applyAlignment="1">
      <alignment horizontal="center" vertical="center" wrapText="1"/>
    </xf>
    <xf numFmtId="170" fontId="15" fillId="2" borderId="1" xfId="0" applyNumberFormat="1" applyFont="1" applyFill="1" applyBorder="1" applyAlignment="1">
      <alignment horizontal="center" vertical="center"/>
    </xf>
    <xf numFmtId="1" fontId="15" fillId="2" borderId="1" xfId="0" applyNumberFormat="1" applyFont="1" applyFill="1" applyBorder="1" applyAlignment="1">
      <alignment horizontal="center" vertical="center"/>
    </xf>
    <xf numFmtId="169" fontId="36" fillId="2" borderId="1" xfId="0" applyNumberFormat="1" applyFont="1" applyFill="1" applyBorder="1" applyAlignment="1">
      <alignment horizontal="center" vertical="center"/>
    </xf>
    <xf numFmtId="10" fontId="15" fillId="2" borderId="1" xfId="0" applyNumberFormat="1" applyFont="1" applyFill="1" applyBorder="1" applyAlignment="1">
      <alignment horizontal="center" vertical="center"/>
    </xf>
    <xf numFmtId="166" fontId="15" fillId="2" borderId="1" xfId="0" applyNumberFormat="1" applyFont="1" applyFill="1" applyBorder="1" applyAlignment="1">
      <alignment horizontal="center" vertical="center"/>
    </xf>
    <xf numFmtId="169" fontId="15" fillId="2" borderId="1" xfId="0" applyNumberFormat="1" applyFont="1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/>
    </xf>
    <xf numFmtId="14" fontId="15" fillId="2" borderId="1" xfId="4" applyNumberFormat="1" applyFont="1" applyFill="1" applyBorder="1" applyAlignment="1">
      <alignment horizontal="center" vertical="center"/>
    </xf>
    <xf numFmtId="169" fontId="15" fillId="2" borderId="1" xfId="4" applyNumberFormat="1" applyFont="1" applyFill="1" applyBorder="1" applyAlignment="1">
      <alignment horizontal="center" vertical="center"/>
    </xf>
    <xf numFmtId="166" fontId="15" fillId="2" borderId="1" xfId="4" applyNumberFormat="1" applyFont="1" applyFill="1" applyBorder="1" applyAlignment="1">
      <alignment horizontal="center" vertical="center"/>
    </xf>
    <xf numFmtId="0" fontId="15" fillId="2" borderId="1" xfId="4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9" fontId="15" fillId="2" borderId="1" xfId="0" applyNumberFormat="1" applyFont="1" applyFill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31" fillId="4" borderId="16" xfId="0" applyFont="1" applyFill="1" applyBorder="1" applyAlignment="1">
      <alignment horizontal="center" vertical="center" wrapText="1"/>
    </xf>
    <xf numFmtId="169" fontId="1" fillId="3" borderId="6" xfId="0" applyNumberFormat="1" applyFont="1" applyFill="1" applyBorder="1" applyAlignment="1">
      <alignment horizontal="center" vertical="center" wrapText="1"/>
    </xf>
    <xf numFmtId="166" fontId="1" fillId="5" borderId="1" xfId="29" applyNumberFormat="1" applyFont="1" applyFill="1" applyBorder="1" applyAlignment="1">
      <alignment horizontal="center" vertical="center"/>
    </xf>
    <xf numFmtId="0" fontId="1" fillId="2" borderId="1" xfId="4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/>
    </xf>
    <xf numFmtId="14" fontId="1" fillId="3" borderId="1" xfId="5" applyNumberFormat="1" applyFont="1" applyFill="1" applyBorder="1" applyAlignment="1">
      <alignment vertical="center"/>
    </xf>
    <xf numFmtId="166" fontId="1" fillId="3" borderId="1" xfId="5" applyNumberFormat="1" applyFont="1" applyFill="1" applyBorder="1" applyAlignment="1">
      <alignment vertical="center"/>
    </xf>
    <xf numFmtId="0" fontId="1" fillId="3" borderId="1" xfId="5" applyFont="1" applyFill="1" applyBorder="1" applyAlignment="1">
      <alignment horizontal="center"/>
    </xf>
    <xf numFmtId="0" fontId="1" fillId="3" borderId="1" xfId="5" applyFont="1" applyFill="1" applyBorder="1"/>
    <xf numFmtId="14" fontId="1" fillId="3" borderId="1" xfId="0" applyNumberFormat="1" applyFont="1" applyFill="1" applyBorder="1" applyAlignment="1">
      <alignment vertical="center"/>
    </xf>
    <xf numFmtId="166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171" fontId="8" fillId="4" borderId="16" xfId="1" applyNumberFormat="1" applyFont="1" applyFill="1" applyBorder="1" applyAlignment="1">
      <alignment horizontal="center" vertical="center" wrapText="1"/>
    </xf>
    <xf numFmtId="166" fontId="1" fillId="3" borderId="1" xfId="0" applyNumberFormat="1" applyFont="1" applyFill="1" applyBorder="1"/>
    <xf numFmtId="171" fontId="1" fillId="3" borderId="0" xfId="1" applyNumberFormat="1" applyFont="1" applyFill="1" applyBorder="1" applyAlignment="1">
      <alignment horizontal="center" vertical="center"/>
    </xf>
    <xf numFmtId="0" fontId="25" fillId="3" borderId="7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1" fontId="15" fillId="3" borderId="4" xfId="0" applyNumberFormat="1" applyFont="1" applyFill="1" applyBorder="1" applyAlignment="1">
      <alignment horizontal="center" vertical="center"/>
    </xf>
    <xf numFmtId="1" fontId="1" fillId="3" borderId="5" xfId="0" applyNumberFormat="1" applyFont="1" applyFill="1" applyBorder="1" applyAlignment="1">
      <alignment horizontal="center" vertical="center"/>
    </xf>
    <xf numFmtId="1" fontId="1" fillId="3" borderId="6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16" fillId="19" borderId="1" xfId="0" applyFont="1" applyFill="1" applyBorder="1" applyAlignment="1">
      <alignment horizontal="center" vertical="center" wrapText="1" readingOrder="1"/>
    </xf>
    <xf numFmtId="1" fontId="15" fillId="12" borderId="1" xfId="17" applyNumberFormat="1" applyFont="1" applyFill="1" applyBorder="1" applyAlignment="1">
      <alignment horizontal="center" vertical="center"/>
    </xf>
    <xf numFmtId="1" fontId="14" fillId="12" borderId="1" xfId="17" applyNumberFormat="1" applyFont="1" applyFill="1" applyBorder="1" applyAlignment="1">
      <alignment horizontal="center" vertical="center"/>
    </xf>
    <xf numFmtId="1" fontId="1" fillId="12" borderId="1" xfId="1" applyNumberFormat="1" applyFont="1" applyFill="1" applyBorder="1" applyAlignment="1">
      <alignment horizontal="center" vertical="center"/>
    </xf>
    <xf numFmtId="1" fontId="1" fillId="12" borderId="1" xfId="0" applyNumberFormat="1" applyFont="1" applyFill="1" applyBorder="1" applyAlignment="1">
      <alignment horizontal="center"/>
    </xf>
    <xf numFmtId="14" fontId="1" fillId="12" borderId="1" xfId="5" applyNumberFormat="1" applyFont="1" applyFill="1" applyBorder="1" applyAlignment="1">
      <alignment horizontal="center" vertical="center"/>
    </xf>
    <xf numFmtId="166" fontId="1" fillId="12" borderId="1" xfId="5" applyNumberFormat="1" applyFont="1" applyFill="1" applyBorder="1" applyAlignment="1">
      <alignment horizontal="center" vertical="center"/>
    </xf>
    <xf numFmtId="0" fontId="1" fillId="12" borderId="1" xfId="5" applyFont="1" applyFill="1" applyBorder="1" applyAlignment="1">
      <alignment horizontal="center" vertical="center"/>
    </xf>
    <xf numFmtId="49" fontId="17" fillId="12" borderId="1" xfId="3" applyNumberFormat="1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vertical="center"/>
    </xf>
    <xf numFmtId="14" fontId="1" fillId="12" borderId="1" xfId="5" applyNumberFormat="1" applyFont="1" applyFill="1" applyBorder="1" applyAlignment="1">
      <alignment vertical="center"/>
    </xf>
    <xf numFmtId="166" fontId="1" fillId="12" borderId="1" xfId="5" applyNumberFormat="1" applyFont="1" applyFill="1" applyBorder="1" applyAlignment="1">
      <alignment vertical="center"/>
    </xf>
    <xf numFmtId="0" fontId="1" fillId="12" borderId="1" xfId="5" applyFont="1" applyFill="1" applyBorder="1" applyAlignment="1">
      <alignment vertical="center"/>
    </xf>
    <xf numFmtId="0" fontId="1" fillId="12" borderId="1" xfId="5" applyFont="1" applyFill="1" applyBorder="1" applyAlignment="1">
      <alignment horizontal="center"/>
    </xf>
    <xf numFmtId="0" fontId="1" fillId="12" borderId="1" xfId="5" applyFont="1" applyFill="1" applyBorder="1"/>
    <xf numFmtId="0" fontId="15" fillId="12" borderId="1" xfId="0" applyFont="1" applyFill="1" applyBorder="1" applyAlignment="1">
      <alignment horizontal="center" vertical="center"/>
    </xf>
    <xf numFmtId="16" fontId="1" fillId="12" borderId="1" xfId="0" applyNumberFormat="1" applyFont="1" applyFill="1" applyBorder="1" applyAlignment="1">
      <alignment horizontal="center"/>
    </xf>
    <xf numFmtId="179" fontId="8" fillId="4" borderId="16" xfId="0" applyNumberFormat="1" applyFont="1" applyFill="1" applyBorder="1" applyAlignment="1">
      <alignment horizontal="center" vertical="center" wrapText="1"/>
    </xf>
    <xf numFmtId="179" fontId="1" fillId="12" borderId="1" xfId="0" applyNumberFormat="1" applyFont="1" applyFill="1" applyBorder="1" applyAlignment="1">
      <alignment horizontal="center"/>
    </xf>
    <xf numFmtId="179" fontId="16" fillId="12" borderId="1" xfId="0" applyNumberFormat="1" applyFont="1" applyFill="1" applyBorder="1" applyAlignment="1">
      <alignment horizontal="center" vertical="center" wrapText="1" readingOrder="1"/>
    </xf>
    <xf numFmtId="179" fontId="1" fillId="3" borderId="1" xfId="0" applyNumberFormat="1" applyFont="1" applyFill="1" applyBorder="1" applyAlignment="1">
      <alignment horizontal="center"/>
    </xf>
    <xf numFmtId="179" fontId="16" fillId="3" borderId="1" xfId="0" applyNumberFormat="1" applyFont="1" applyFill="1" applyBorder="1" applyAlignment="1">
      <alignment horizontal="center" vertical="center" wrapText="1" readingOrder="1"/>
    </xf>
    <xf numFmtId="179" fontId="1" fillId="3" borderId="0" xfId="0" applyNumberFormat="1" applyFont="1" applyFill="1" applyAlignment="1">
      <alignment horizontal="center"/>
    </xf>
    <xf numFmtId="179" fontId="18" fillId="3" borderId="8" xfId="0" applyNumberFormat="1" applyFont="1" applyFill="1" applyBorder="1" applyAlignment="1">
      <alignment horizontal="center" vertical="center"/>
    </xf>
    <xf numFmtId="179" fontId="1" fillId="3" borderId="5" xfId="0" applyNumberFormat="1" applyFont="1" applyFill="1" applyBorder="1" applyAlignment="1">
      <alignment horizontal="center" vertical="center"/>
    </xf>
    <xf numFmtId="179" fontId="0" fillId="0" borderId="0" xfId="0" applyNumberFormat="1"/>
    <xf numFmtId="179" fontId="0" fillId="3" borderId="0" xfId="0" applyNumberFormat="1" applyFill="1"/>
    <xf numFmtId="179" fontId="0" fillId="3" borderId="3" xfId="0" applyNumberFormat="1" applyFill="1" applyBorder="1"/>
    <xf numFmtId="179" fontId="0" fillId="3" borderId="6" xfId="0" applyNumberFormat="1" applyFill="1" applyBorder="1"/>
    <xf numFmtId="179" fontId="1" fillId="3" borderId="0" xfId="0" applyNumberFormat="1" applyFont="1" applyFill="1"/>
    <xf numFmtId="179" fontId="8" fillId="4" borderId="16" xfId="2" applyNumberFormat="1" applyFont="1" applyFill="1" applyBorder="1" applyAlignment="1">
      <alignment horizontal="center" vertical="center" wrapText="1"/>
    </xf>
    <xf numFmtId="179" fontId="1" fillId="12" borderId="1" xfId="2" applyNumberFormat="1" applyFont="1" applyFill="1" applyBorder="1" applyAlignment="1">
      <alignment horizontal="center"/>
    </xf>
    <xf numFmtId="179" fontId="1" fillId="3" borderId="1" xfId="2" applyNumberFormat="1" applyFont="1" applyFill="1" applyBorder="1" applyAlignment="1">
      <alignment horizontal="center"/>
    </xf>
    <xf numFmtId="179" fontId="1" fillId="3" borderId="0" xfId="2" applyNumberFormat="1" applyFont="1" applyFill="1" applyAlignment="1">
      <alignment horizontal="center"/>
    </xf>
    <xf numFmtId="179" fontId="0" fillId="3" borderId="0" xfId="2" applyNumberFormat="1" applyFont="1" applyFill="1" applyBorder="1"/>
    <xf numFmtId="179" fontId="1" fillId="3" borderId="0" xfId="2" applyNumberFormat="1" applyFont="1" applyFill="1" applyBorder="1" applyAlignment="1">
      <alignment horizontal="center"/>
    </xf>
    <xf numFmtId="179" fontId="0" fillId="0" borderId="0" xfId="2" applyNumberFormat="1" applyFont="1"/>
    <xf numFmtId="0" fontId="1" fillId="3" borderId="0" xfId="0" applyFont="1" applyFill="1" applyAlignment="1">
      <alignment horizontal="center" vertical="center" wrapText="1"/>
    </xf>
    <xf numFmtId="1" fontId="25" fillId="3" borderId="2" xfId="0" applyNumberFormat="1" applyFont="1" applyFill="1" applyBorder="1" applyAlignment="1">
      <alignment horizontal="center" vertical="center"/>
    </xf>
    <xf numFmtId="166" fontId="18" fillId="0" borderId="3" xfId="0" applyNumberFormat="1" applyFont="1" applyBorder="1" applyAlignment="1">
      <alignment horizontal="center" vertical="center"/>
    </xf>
    <xf numFmtId="1" fontId="25" fillId="3" borderId="4" xfId="0" applyNumberFormat="1" applyFont="1" applyFill="1" applyBorder="1" applyAlignment="1">
      <alignment horizontal="center" vertical="center"/>
    </xf>
    <xf numFmtId="1" fontId="25" fillId="3" borderId="5" xfId="0" applyNumberFormat="1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top"/>
    </xf>
    <xf numFmtId="0" fontId="1" fillId="17" borderId="1" xfId="0" applyFont="1" applyFill="1" applyBorder="1" applyAlignment="1">
      <alignment horizontal="center" vertical="top"/>
    </xf>
    <xf numFmtId="9" fontId="1" fillId="17" borderId="1" xfId="0" applyNumberFormat="1" applyFont="1" applyFill="1" applyBorder="1" applyAlignment="1">
      <alignment horizontal="center" vertical="center"/>
    </xf>
    <xf numFmtId="169" fontId="1" fillId="17" borderId="1" xfId="0" applyNumberFormat="1" applyFont="1" applyFill="1" applyBorder="1" applyAlignment="1">
      <alignment horizontal="center" vertical="top"/>
    </xf>
    <xf numFmtId="9" fontId="1" fillId="17" borderId="1" xfId="29" applyFont="1" applyFill="1" applyBorder="1" applyAlignment="1">
      <alignment horizontal="center" vertical="center"/>
    </xf>
    <xf numFmtId="169" fontId="1" fillId="17" borderId="1" xfId="29" applyNumberFormat="1" applyFont="1" applyFill="1" applyBorder="1" applyAlignment="1">
      <alignment horizontal="center" vertical="center"/>
    </xf>
    <xf numFmtId="0" fontId="1" fillId="17" borderId="1" xfId="0" applyFont="1" applyFill="1" applyBorder="1"/>
    <xf numFmtId="0" fontId="1" fillId="17" borderId="1" xfId="29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top"/>
    </xf>
    <xf numFmtId="169" fontId="1" fillId="3" borderId="1" xfId="0" applyNumberFormat="1" applyFont="1" applyFill="1" applyBorder="1" applyAlignment="1">
      <alignment horizontal="center" vertical="top"/>
    </xf>
    <xf numFmtId="0" fontId="1" fillId="3" borderId="1" xfId="29" applyNumberFormat="1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wrapText="1"/>
    </xf>
    <xf numFmtId="179" fontId="1" fillId="5" borderId="3" xfId="0" applyNumberFormat="1" applyFont="1" applyFill="1" applyBorder="1" applyAlignment="1">
      <alignment horizontal="center" wrapText="1"/>
    </xf>
    <xf numFmtId="179" fontId="1" fillId="2" borderId="3" xfId="0" applyNumberFormat="1" applyFont="1" applyFill="1" applyBorder="1" applyAlignment="1">
      <alignment horizontal="center" wrapText="1"/>
    </xf>
    <xf numFmtId="179" fontId="1" fillId="3" borderId="3" xfId="0" applyNumberFormat="1" applyFont="1" applyFill="1" applyBorder="1" applyAlignment="1">
      <alignment horizontal="center" wrapText="1"/>
    </xf>
    <xf numFmtId="179" fontId="1" fillId="10" borderId="6" xfId="0" applyNumberFormat="1" applyFont="1" applyFill="1" applyBorder="1" applyAlignment="1">
      <alignment horizontal="center" wrapText="1"/>
    </xf>
    <xf numFmtId="170" fontId="1" fillId="3" borderId="3" xfId="0" applyNumberFormat="1" applyFont="1" applyFill="1" applyBorder="1" applyAlignment="1">
      <alignment horizontal="center" wrapText="1"/>
    </xf>
    <xf numFmtId="165" fontId="1" fillId="0" borderId="0" xfId="2" applyFont="1" applyAlignment="1">
      <alignment horizontal="center"/>
    </xf>
    <xf numFmtId="0" fontId="21" fillId="10" borderId="1" xfId="0" applyFont="1" applyFill="1" applyBorder="1" applyAlignment="1">
      <alignment horizontal="center" vertical="center"/>
    </xf>
    <xf numFmtId="49" fontId="39" fillId="10" borderId="1" xfId="3" applyNumberFormat="1" applyFont="1" applyFill="1" applyBorder="1" applyAlignment="1">
      <alignment horizontal="center" vertical="center" wrapText="1"/>
    </xf>
    <xf numFmtId="0" fontId="21" fillId="10" borderId="1" xfId="10" applyFont="1" applyFill="1" applyBorder="1" applyAlignment="1">
      <alignment horizontal="center" vertical="center"/>
    </xf>
    <xf numFmtId="0" fontId="41" fillId="10" borderId="1" xfId="0" applyFont="1" applyFill="1" applyBorder="1" applyAlignment="1">
      <alignment horizontal="center" vertical="center" wrapText="1" readingOrder="1"/>
    </xf>
    <xf numFmtId="2" fontId="27" fillId="10" borderId="1" xfId="0" applyNumberFormat="1" applyFont="1" applyFill="1" applyBorder="1" applyAlignment="1">
      <alignment horizontal="center" vertical="center" wrapText="1" readingOrder="1"/>
    </xf>
    <xf numFmtId="2" fontId="27" fillId="10" borderId="1" xfId="13" applyNumberFormat="1" applyFont="1" applyFill="1" applyBorder="1" applyAlignment="1">
      <alignment horizontal="center" vertical="center" wrapText="1" readingOrder="1"/>
    </xf>
    <xf numFmtId="2" fontId="27" fillId="10" borderId="1" xfId="17" applyNumberFormat="1" applyFont="1" applyFill="1" applyBorder="1" applyAlignment="1">
      <alignment horizontal="center" vertical="center"/>
    </xf>
    <xf numFmtId="170" fontId="21" fillId="10" borderId="1" xfId="0" applyNumberFormat="1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166" fontId="21" fillId="10" borderId="14" xfId="0" applyNumberFormat="1" applyFont="1" applyFill="1" applyBorder="1" applyAlignment="1">
      <alignment horizontal="center" vertical="center"/>
    </xf>
    <xf numFmtId="10" fontId="21" fillId="10" borderId="1" xfId="0" applyNumberFormat="1" applyFont="1" applyFill="1" applyBorder="1" applyAlignment="1">
      <alignment horizontal="center" vertical="center"/>
    </xf>
    <xf numFmtId="166" fontId="21" fillId="10" borderId="1" xfId="0" applyNumberFormat="1" applyFont="1" applyFill="1" applyBorder="1" applyAlignment="1">
      <alignment horizontal="center" vertical="center"/>
    </xf>
    <xf numFmtId="14" fontId="21" fillId="10" borderId="1" xfId="0" applyNumberFormat="1" applyFont="1" applyFill="1" applyBorder="1" applyAlignment="1">
      <alignment horizontal="center" vertical="center"/>
    </xf>
    <xf numFmtId="14" fontId="21" fillId="10" borderId="1" xfId="4" applyNumberFormat="1" applyFont="1" applyFill="1" applyBorder="1" applyAlignment="1">
      <alignment horizontal="center" vertical="center"/>
    </xf>
    <xf numFmtId="166" fontId="21" fillId="10" borderId="1" xfId="4" applyNumberFormat="1" applyFont="1" applyFill="1" applyBorder="1" applyAlignment="1">
      <alignment horizontal="center" vertical="center"/>
    </xf>
    <xf numFmtId="175" fontId="21" fillId="10" borderId="1" xfId="4" applyNumberFormat="1" applyFont="1" applyFill="1" applyBorder="1" applyAlignment="1">
      <alignment horizontal="center" vertical="center"/>
    </xf>
    <xf numFmtId="0" fontId="21" fillId="10" borderId="1" xfId="4" applyFont="1" applyFill="1" applyBorder="1" applyAlignment="1">
      <alignment horizontal="center" vertical="center"/>
    </xf>
    <xf numFmtId="169" fontId="21" fillId="10" borderId="1" xfId="0" applyNumberFormat="1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49" fontId="17" fillId="17" borderId="1" xfId="3" applyNumberFormat="1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 wrapText="1" readingOrder="1"/>
    </xf>
    <xf numFmtId="0" fontId="1" fillId="25" borderId="16" xfId="4" applyFont="1" applyFill="1" applyBorder="1" applyAlignment="1">
      <alignment horizontal="center"/>
    </xf>
    <xf numFmtId="49" fontId="17" fillId="2" borderId="1" xfId="3" applyNumberFormat="1" applyFont="1" applyFill="1" applyBorder="1" applyAlignment="1">
      <alignment horizontal="center" vertical="center" wrapText="1"/>
    </xf>
    <xf numFmtId="1" fontId="15" fillId="2" borderId="1" xfId="21" applyNumberFormat="1" applyFont="1" applyFill="1" applyBorder="1" applyAlignment="1">
      <alignment horizontal="center" vertical="center" wrapText="1" readingOrder="1"/>
    </xf>
    <xf numFmtId="179" fontId="1" fillId="2" borderId="1" xfId="0" applyNumberFormat="1" applyFont="1" applyFill="1" applyBorder="1" applyAlignment="1">
      <alignment horizontal="center"/>
    </xf>
    <xf numFmtId="179" fontId="16" fillId="2" borderId="1" xfId="0" applyNumberFormat="1" applyFont="1" applyFill="1" applyBorder="1" applyAlignment="1">
      <alignment horizontal="center" vertical="center" wrapText="1" readingOrder="1"/>
    </xf>
    <xf numFmtId="179" fontId="1" fillId="2" borderId="1" xfId="2" applyNumberFormat="1" applyFont="1" applyFill="1" applyBorder="1" applyAlignment="1">
      <alignment horizontal="center"/>
    </xf>
    <xf numFmtId="0" fontId="0" fillId="2" borderId="0" xfId="0" applyFill="1"/>
    <xf numFmtId="49" fontId="7" fillId="10" borderId="1" xfId="3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/>
    </xf>
    <xf numFmtId="2" fontId="21" fillId="10" borderId="1" xfId="0" applyNumberFormat="1" applyFont="1" applyFill="1" applyBorder="1" applyAlignment="1">
      <alignment horizontal="center" vertical="center" wrapText="1"/>
    </xf>
    <xf numFmtId="1" fontId="21" fillId="10" borderId="1" xfId="0" applyNumberFormat="1" applyFont="1" applyFill="1" applyBorder="1" applyAlignment="1">
      <alignment horizontal="center" vertical="center" wrapText="1" readingOrder="1"/>
    </xf>
    <xf numFmtId="170" fontId="1" fillId="10" borderId="1" xfId="0" applyNumberFormat="1" applyFont="1" applyFill="1" applyBorder="1" applyAlignment="1">
      <alignment horizontal="center" vertical="center"/>
    </xf>
    <xf numFmtId="169" fontId="23" fillId="10" borderId="1" xfId="0" applyNumberFormat="1" applyFont="1" applyFill="1" applyBorder="1" applyAlignment="1">
      <alignment horizontal="center" vertical="center"/>
    </xf>
    <xf numFmtId="10" fontId="1" fillId="10" borderId="1" xfId="0" applyNumberFormat="1" applyFont="1" applyFill="1" applyBorder="1" applyAlignment="1">
      <alignment horizontal="center" vertical="center"/>
    </xf>
    <xf numFmtId="166" fontId="1" fillId="10" borderId="1" xfId="0" applyNumberFormat="1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2" fontId="27" fillId="5" borderId="26" xfId="17" applyNumberFormat="1" applyFont="1" applyFill="1" applyBorder="1" applyAlignment="1">
      <alignment horizontal="center" vertical="center"/>
    </xf>
    <xf numFmtId="1" fontId="15" fillId="10" borderId="1" xfId="17" applyNumberFormat="1" applyFont="1" applyFill="1" applyBorder="1" applyAlignment="1">
      <alignment horizontal="center" vertical="center"/>
    </xf>
    <xf numFmtId="1" fontId="14" fillId="10" borderId="1" xfId="17" applyNumberFormat="1" applyFont="1" applyFill="1" applyBorder="1" applyAlignment="1">
      <alignment horizontal="center" vertical="center"/>
    </xf>
    <xf numFmtId="1" fontId="1" fillId="10" borderId="1" xfId="1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 wrapText="1" readingOrder="1"/>
    </xf>
    <xf numFmtId="1" fontId="1" fillId="10" borderId="1" xfId="0" applyNumberFormat="1" applyFont="1" applyFill="1" applyBorder="1" applyAlignment="1">
      <alignment horizontal="center"/>
    </xf>
    <xf numFmtId="14" fontId="1" fillId="3" borderId="1" xfId="4" applyNumberFormat="1" applyFont="1" applyFill="1" applyBorder="1" applyAlignment="1">
      <alignment horizontal="center"/>
    </xf>
    <xf numFmtId="166" fontId="1" fillId="3" borderId="1" xfId="4" applyNumberFormat="1" applyFont="1" applyFill="1" applyBorder="1" applyAlignment="1">
      <alignment horizontal="center"/>
    </xf>
    <xf numFmtId="169" fontId="18" fillId="5" borderId="1" xfId="0" applyNumberFormat="1" applyFont="1" applyFill="1" applyBorder="1" applyAlignment="1">
      <alignment horizontal="center"/>
    </xf>
    <xf numFmtId="169" fontId="1" fillId="21" borderId="1" xfId="0" applyNumberFormat="1" applyFont="1" applyFill="1" applyBorder="1" applyAlignment="1">
      <alignment horizontal="center"/>
    </xf>
    <xf numFmtId="0" fontId="18" fillId="26" borderId="1" xfId="0" applyFont="1" applyFill="1" applyBorder="1" applyAlignment="1">
      <alignment horizontal="center" vertical="top"/>
    </xf>
    <xf numFmtId="0" fontId="1" fillId="26" borderId="1" xfId="0" applyFont="1" applyFill="1" applyBorder="1" applyAlignment="1">
      <alignment horizontal="center" vertical="top"/>
    </xf>
    <xf numFmtId="9" fontId="1" fillId="26" borderId="1" xfId="0" applyNumberFormat="1" applyFont="1" applyFill="1" applyBorder="1" applyAlignment="1">
      <alignment horizontal="center" vertical="center"/>
    </xf>
    <xf numFmtId="169" fontId="1" fillId="26" borderId="1" xfId="0" applyNumberFormat="1" applyFont="1" applyFill="1" applyBorder="1" applyAlignment="1">
      <alignment horizontal="center" vertical="top"/>
    </xf>
    <xf numFmtId="9" fontId="1" fillId="26" borderId="1" xfId="29" applyFont="1" applyFill="1" applyBorder="1" applyAlignment="1">
      <alignment horizontal="center" vertical="center"/>
    </xf>
    <xf numFmtId="169" fontId="1" fillId="26" borderId="1" xfId="29" applyNumberFormat="1" applyFont="1" applyFill="1" applyBorder="1" applyAlignment="1">
      <alignment horizontal="center" vertical="center"/>
    </xf>
    <xf numFmtId="0" fontId="1" fillId="26" borderId="1" xfId="0" applyFont="1" applyFill="1" applyBorder="1"/>
    <xf numFmtId="0" fontId="1" fillId="26" borderId="1" xfId="29" applyNumberFormat="1" applyFont="1" applyFill="1" applyBorder="1" applyAlignment="1">
      <alignment horizontal="center" vertical="center"/>
    </xf>
    <xf numFmtId="0" fontId="0" fillId="5" borderId="0" xfId="0" applyFill="1"/>
    <xf numFmtId="49" fontId="17" fillId="5" borderId="1" xfId="3" applyNumberFormat="1" applyFont="1" applyFill="1" applyBorder="1" applyAlignment="1">
      <alignment horizontal="center" vertical="center"/>
    </xf>
    <xf numFmtId="8" fontId="0" fillId="0" borderId="0" xfId="0" applyNumberFormat="1" applyAlignment="1">
      <alignment horizontal="center"/>
    </xf>
    <xf numFmtId="0" fontId="22" fillId="5" borderId="35" xfId="0" applyFont="1" applyFill="1" applyBorder="1" applyAlignment="1">
      <alignment horizontal="center" vertical="center" wrapText="1"/>
    </xf>
    <xf numFmtId="2" fontId="21" fillId="5" borderId="37" xfId="0" applyNumberFormat="1" applyFont="1" applyFill="1" applyBorder="1" applyAlignment="1">
      <alignment horizontal="center" vertical="center" wrapText="1"/>
    </xf>
    <xf numFmtId="169" fontId="23" fillId="5" borderId="0" xfId="0" applyNumberFormat="1" applyFont="1" applyFill="1" applyAlignment="1">
      <alignment horizontal="center" vertical="center"/>
    </xf>
    <xf numFmtId="0" fontId="1" fillId="5" borderId="24" xfId="4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2" fontId="21" fillId="5" borderId="40" xfId="0" applyNumberFormat="1" applyFont="1" applyFill="1" applyBorder="1" applyAlignment="1">
      <alignment horizontal="center" vertical="center" wrapText="1"/>
    </xf>
    <xf numFmtId="0" fontId="1" fillId="5" borderId="24" xfId="5" applyFont="1" applyFill="1" applyBorder="1" applyAlignment="1">
      <alignment horizontal="center" vertical="center"/>
    </xf>
    <xf numFmtId="169" fontId="23" fillId="5" borderId="1" xfId="0" applyNumberFormat="1" applyFont="1" applyFill="1" applyBorder="1" applyAlignment="1">
      <alignment horizontal="center"/>
    </xf>
    <xf numFmtId="10" fontId="1" fillId="5" borderId="14" xfId="0" applyNumberFormat="1" applyFont="1" applyFill="1" applyBorder="1" applyAlignment="1">
      <alignment horizontal="center" vertical="center"/>
    </xf>
    <xf numFmtId="164" fontId="1" fillId="5" borderId="14" xfId="0" applyNumberFormat="1" applyFont="1" applyFill="1" applyBorder="1" applyAlignment="1">
      <alignment horizontal="center" vertical="center"/>
    </xf>
    <xf numFmtId="2" fontId="21" fillId="5" borderId="35" xfId="0" applyNumberFormat="1" applyFont="1" applyFill="1" applyBorder="1" applyAlignment="1">
      <alignment horizontal="center" vertical="center" wrapText="1"/>
    </xf>
    <xf numFmtId="2" fontId="21" fillId="5" borderId="36" xfId="0" applyNumberFormat="1" applyFont="1" applyFill="1" applyBorder="1" applyAlignment="1">
      <alignment horizontal="center" vertical="center" wrapText="1"/>
    </xf>
    <xf numFmtId="11" fontId="21" fillId="5" borderId="1" xfId="0" applyNumberFormat="1" applyFont="1" applyFill="1" applyBorder="1" applyAlignment="1">
      <alignment horizontal="center" vertical="center"/>
    </xf>
    <xf numFmtId="11" fontId="21" fillId="5" borderId="1" xfId="4" applyNumberFormat="1" applyFont="1" applyFill="1" applyBorder="1" applyAlignment="1">
      <alignment horizontal="center" vertical="center"/>
    </xf>
    <xf numFmtId="0" fontId="45" fillId="5" borderId="16" xfId="28" applyFill="1" applyBorder="1" applyAlignment="1">
      <alignment horizontal="center"/>
    </xf>
    <xf numFmtId="0" fontId="45" fillId="5" borderId="11" xfId="28" applyFill="1" applyBorder="1" applyAlignment="1">
      <alignment horizontal="center"/>
    </xf>
    <xf numFmtId="0" fontId="45" fillId="5" borderId="8" xfId="28" applyFill="1" applyBorder="1" applyAlignment="1">
      <alignment horizontal="center"/>
    </xf>
    <xf numFmtId="0" fontId="45" fillId="21" borderId="65" xfId="28" applyFill="1" applyBorder="1" applyAlignment="1">
      <alignment horizontal="center"/>
    </xf>
    <xf numFmtId="3" fontId="1" fillId="5" borderId="1" xfId="0" applyNumberFormat="1" applyFont="1" applyFill="1" applyBorder="1" applyAlignment="1">
      <alignment horizontal="center" vertical="center"/>
    </xf>
    <xf numFmtId="9" fontId="1" fillId="0" borderId="0" xfId="0" applyNumberFormat="1" applyFont="1"/>
    <xf numFmtId="1" fontId="1" fillId="0" borderId="76" xfId="0" applyNumberFormat="1" applyFont="1" applyBorder="1" applyAlignment="1">
      <alignment horizontal="center" wrapText="1"/>
    </xf>
    <xf numFmtId="1" fontId="1" fillId="0" borderId="77" xfId="0" applyNumberFormat="1" applyFont="1" applyBorder="1" applyAlignment="1">
      <alignment horizontal="center" wrapText="1"/>
    </xf>
    <xf numFmtId="1" fontId="1" fillId="10" borderId="1" xfId="0" applyNumberFormat="1" applyFont="1" applyFill="1" applyBorder="1" applyAlignment="1">
      <alignment horizontal="center" wrapText="1"/>
    </xf>
    <xf numFmtId="169" fontId="1" fillId="10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180" fontId="21" fillId="0" borderId="0" xfId="0" applyNumberFormat="1" applyFont="1" applyAlignment="1">
      <alignment horizontal="center" vertical="center"/>
    </xf>
    <xf numFmtId="0" fontId="27" fillId="5" borderId="1" xfId="10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center" vertical="center" wrapText="1" readingOrder="1"/>
    </xf>
    <xf numFmtId="0" fontId="27" fillId="5" borderId="14" xfId="0" applyFont="1" applyFill="1" applyBorder="1" applyAlignment="1">
      <alignment horizontal="center" vertical="center"/>
    </xf>
    <xf numFmtId="166" fontId="27" fillId="5" borderId="14" xfId="0" applyNumberFormat="1" applyFont="1" applyFill="1" applyBorder="1" applyAlignment="1">
      <alignment horizontal="center" vertical="center"/>
    </xf>
    <xf numFmtId="166" fontId="27" fillId="5" borderId="1" xfId="0" applyNumberFormat="1" applyFont="1" applyFill="1" applyBorder="1" applyAlignment="1">
      <alignment horizontal="center" vertical="center"/>
    </xf>
    <xf numFmtId="14" fontId="27" fillId="5" borderId="1" xfId="0" applyNumberFormat="1" applyFont="1" applyFill="1" applyBorder="1" applyAlignment="1">
      <alignment horizontal="center" vertical="center"/>
    </xf>
    <xf numFmtId="14" fontId="27" fillId="5" borderId="1" xfId="4" applyNumberFormat="1" applyFont="1" applyFill="1" applyBorder="1" applyAlignment="1">
      <alignment horizontal="center" vertical="center"/>
    </xf>
    <xf numFmtId="175" fontId="27" fillId="5" borderId="1" xfId="4" applyNumberFormat="1" applyFont="1" applyFill="1" applyBorder="1" applyAlignment="1">
      <alignment horizontal="center" vertical="center"/>
    </xf>
    <xf numFmtId="0" fontId="27" fillId="5" borderId="1" xfId="4" applyFont="1" applyFill="1" applyBorder="1" applyAlignment="1">
      <alignment horizontal="center" vertical="center"/>
    </xf>
    <xf numFmtId="169" fontId="8" fillId="4" borderId="0" xfId="0" applyNumberFormat="1" applyFont="1" applyFill="1" applyAlignment="1">
      <alignment horizontal="center" vertical="center"/>
    </xf>
    <xf numFmtId="169" fontId="48" fillId="0" borderId="1" xfId="0" applyNumberFormat="1" applyFont="1" applyBorder="1" applyAlignment="1">
      <alignment horizontal="center" vertical="center"/>
    </xf>
    <xf numFmtId="166" fontId="27" fillId="10" borderId="1" xfId="0" applyNumberFormat="1" applyFont="1" applyFill="1" applyBorder="1" applyAlignment="1">
      <alignment horizontal="center" vertical="center" wrapText="1" readingOrder="1"/>
    </xf>
    <xf numFmtId="169" fontId="33" fillId="5" borderId="1" xfId="0" applyNumberFormat="1" applyFont="1" applyFill="1" applyBorder="1" applyAlignment="1">
      <alignment horizontal="center" vertical="center" wrapText="1" readingOrder="1"/>
    </xf>
    <xf numFmtId="0" fontId="0" fillId="5" borderId="1" xfId="5" applyFont="1" applyFill="1" applyBorder="1" applyAlignment="1">
      <alignment horizontal="center" vertical="center"/>
    </xf>
    <xf numFmtId="14" fontId="0" fillId="5" borderId="1" xfId="5" applyNumberFormat="1" applyFont="1" applyFill="1" applyBorder="1" applyAlignment="1">
      <alignment horizontal="center" vertical="center"/>
    </xf>
    <xf numFmtId="166" fontId="0" fillId="5" borderId="1" xfId="5" applyNumberFormat="1" applyFont="1" applyFill="1" applyBorder="1" applyAlignment="1">
      <alignment horizontal="center" vertical="center"/>
    </xf>
    <xf numFmtId="166" fontId="0" fillId="5" borderId="1" xfId="4" applyNumberFormat="1" applyFont="1" applyFill="1" applyBorder="1" applyAlignment="1">
      <alignment horizontal="center" vertical="center" wrapText="1"/>
    </xf>
    <xf numFmtId="49" fontId="39" fillId="5" borderId="8" xfId="3" applyNumberFormat="1" applyFont="1" applyFill="1" applyBorder="1" applyAlignment="1">
      <alignment horizontal="center" vertical="center" wrapText="1"/>
    </xf>
    <xf numFmtId="0" fontId="21" fillId="5" borderId="8" xfId="10" applyFont="1" applyFill="1" applyBorder="1" applyAlignment="1">
      <alignment horizontal="center" vertical="center"/>
    </xf>
    <xf numFmtId="0" fontId="41" fillId="5" borderId="8" xfId="0" applyFont="1" applyFill="1" applyBorder="1" applyAlignment="1">
      <alignment horizontal="center" vertical="center" wrapText="1" readingOrder="1"/>
    </xf>
    <xf numFmtId="2" fontId="27" fillId="5" borderId="8" xfId="0" applyNumberFormat="1" applyFont="1" applyFill="1" applyBorder="1" applyAlignment="1">
      <alignment horizontal="center" vertical="center" wrapText="1" readingOrder="1"/>
    </xf>
    <xf numFmtId="2" fontId="27" fillId="5" borderId="8" xfId="13" applyNumberFormat="1" applyFont="1" applyFill="1" applyBorder="1" applyAlignment="1">
      <alignment horizontal="center" vertical="center" wrapText="1" readingOrder="1"/>
    </xf>
    <xf numFmtId="2" fontId="27" fillId="5" borderId="8" xfId="17" applyNumberFormat="1" applyFont="1" applyFill="1" applyBorder="1" applyAlignment="1">
      <alignment horizontal="center" vertical="center"/>
    </xf>
    <xf numFmtId="1" fontId="27" fillId="5" borderId="8" xfId="21" applyNumberFormat="1" applyFont="1" applyFill="1" applyBorder="1" applyAlignment="1">
      <alignment horizontal="center" vertical="center" wrapText="1" readingOrder="1"/>
    </xf>
    <xf numFmtId="0" fontId="21" fillId="5" borderId="13" xfId="0" applyFont="1" applyFill="1" applyBorder="1" applyAlignment="1">
      <alignment horizontal="center" vertical="center"/>
    </xf>
    <xf numFmtId="166" fontId="21" fillId="5" borderId="13" xfId="0" applyNumberFormat="1" applyFont="1" applyFill="1" applyBorder="1" applyAlignment="1">
      <alignment horizontal="center" vertical="center"/>
    </xf>
    <xf numFmtId="166" fontId="21" fillId="5" borderId="8" xfId="0" applyNumberFormat="1" applyFont="1" applyFill="1" applyBorder="1" applyAlignment="1">
      <alignment horizontal="center" vertical="center"/>
    </xf>
    <xf numFmtId="14" fontId="21" fillId="5" borderId="8" xfId="0" applyNumberFormat="1" applyFont="1" applyFill="1" applyBorder="1" applyAlignment="1">
      <alignment horizontal="center" vertical="center"/>
    </xf>
    <xf numFmtId="14" fontId="21" fillId="5" borderId="8" xfId="4" applyNumberFormat="1" applyFont="1" applyFill="1" applyBorder="1" applyAlignment="1">
      <alignment horizontal="center" vertical="center"/>
    </xf>
    <xf numFmtId="166" fontId="21" fillId="5" borderId="8" xfId="4" applyNumberFormat="1" applyFont="1" applyFill="1" applyBorder="1" applyAlignment="1">
      <alignment horizontal="center" vertical="center"/>
    </xf>
    <xf numFmtId="175" fontId="21" fillId="5" borderId="8" xfId="4" applyNumberFormat="1" applyFont="1" applyFill="1" applyBorder="1" applyAlignment="1">
      <alignment horizontal="center" vertical="center"/>
    </xf>
    <xf numFmtId="0" fontId="21" fillId="5" borderId="8" xfId="4" applyFont="1" applyFill="1" applyBorder="1" applyAlignment="1">
      <alignment horizontal="center" vertical="center"/>
    </xf>
    <xf numFmtId="9" fontId="15" fillId="2" borderId="1" xfId="29" applyFont="1" applyFill="1" applyBorder="1" applyAlignment="1">
      <alignment horizontal="center" vertical="center"/>
    </xf>
    <xf numFmtId="179" fontId="1" fillId="0" borderId="0" xfId="0" applyNumberFormat="1" applyFont="1"/>
    <xf numFmtId="182" fontId="1" fillId="0" borderId="0" xfId="0" applyNumberFormat="1" applyFont="1"/>
    <xf numFmtId="0" fontId="27" fillId="10" borderId="1" xfId="0" applyFont="1" applyFill="1" applyBorder="1" applyAlignment="1">
      <alignment horizontal="center" vertical="center" wrapText="1" readingOrder="1"/>
    </xf>
    <xf numFmtId="1" fontId="27" fillId="10" borderId="1" xfId="0" applyNumberFormat="1" applyFont="1" applyFill="1" applyBorder="1" applyAlignment="1">
      <alignment horizontal="center" vertical="center" wrapText="1" readingOrder="1"/>
    </xf>
    <xf numFmtId="1" fontId="27" fillId="10" borderId="1" xfId="13" applyNumberFormat="1" applyFont="1" applyFill="1" applyBorder="1" applyAlignment="1">
      <alignment horizontal="center" vertical="center" wrapText="1" readingOrder="1"/>
    </xf>
    <xf numFmtId="0" fontId="15" fillId="10" borderId="1" xfId="0" applyFont="1" applyFill="1" applyBorder="1" applyAlignment="1">
      <alignment horizontal="center" vertical="center"/>
    </xf>
    <xf numFmtId="174" fontId="28" fillId="10" borderId="26" xfId="0" applyNumberFormat="1" applyFont="1" applyFill="1" applyBorder="1" applyAlignment="1">
      <alignment horizontal="center" vertical="center"/>
    </xf>
    <xf numFmtId="169" fontId="15" fillId="10" borderId="1" xfId="0" applyNumberFormat="1" applyFont="1" applyFill="1" applyBorder="1" applyAlignment="1">
      <alignment horizontal="center" vertical="center" wrapText="1" readingOrder="1"/>
    </xf>
    <xf numFmtId="166" fontId="1" fillId="10" borderId="65" xfId="4" applyNumberFormat="1" applyFont="1" applyFill="1" applyBorder="1" applyAlignment="1">
      <alignment horizontal="center" vertical="center"/>
    </xf>
    <xf numFmtId="166" fontId="1" fillId="10" borderId="0" xfId="0" applyNumberFormat="1" applyFont="1" applyFill="1"/>
    <xf numFmtId="181" fontId="1" fillId="0" borderId="0" xfId="0" applyNumberFormat="1" applyFont="1" applyAlignment="1">
      <alignment horizontal="center" vertical="center"/>
    </xf>
    <xf numFmtId="1" fontId="15" fillId="10" borderId="1" xfId="21" applyNumberFormat="1" applyFont="1" applyFill="1" applyBorder="1" applyAlignment="1">
      <alignment horizontal="center" vertical="center" wrapText="1" readingOrder="1"/>
    </xf>
    <xf numFmtId="0" fontId="1" fillId="5" borderId="24" xfId="0" applyFont="1" applyFill="1" applyBorder="1" applyAlignment="1">
      <alignment horizontal="center" vertical="center" wrapText="1"/>
    </xf>
    <xf numFmtId="49" fontId="7" fillId="5" borderId="24" xfId="3" applyNumberFormat="1" applyFont="1" applyFill="1" applyBorder="1" applyAlignment="1">
      <alignment horizontal="center" vertical="center"/>
    </xf>
    <xf numFmtId="0" fontId="53" fillId="5" borderId="1" xfId="0" applyFont="1" applyFill="1" applyBorder="1" applyAlignment="1">
      <alignment horizontal="center" vertical="center"/>
    </xf>
    <xf numFmtId="4" fontId="22" fillId="0" borderId="0" xfId="0" applyNumberFormat="1" applyFont="1" applyAlignment="1">
      <alignment horizontal="center"/>
    </xf>
    <xf numFmtId="182" fontId="1" fillId="3" borderId="0" xfId="0" applyNumberFormat="1" applyFont="1" applyFill="1"/>
    <xf numFmtId="182" fontId="1" fillId="3" borderId="0" xfId="0" applyNumberFormat="1" applyFont="1" applyFill="1" applyAlignment="1">
      <alignment horizontal="center"/>
    </xf>
    <xf numFmtId="182" fontId="1" fillId="3" borderId="1" xfId="0" applyNumberFormat="1" applyFont="1" applyFill="1" applyBorder="1"/>
    <xf numFmtId="182" fontId="1" fillId="5" borderId="1" xfId="0" applyNumberFormat="1" applyFont="1" applyFill="1" applyBorder="1"/>
    <xf numFmtId="182" fontId="1" fillId="12" borderId="1" xfId="0" applyNumberFormat="1" applyFont="1" applyFill="1" applyBorder="1"/>
    <xf numFmtId="182" fontId="15" fillId="5" borderId="1" xfId="0" applyNumberFormat="1" applyFont="1" applyFill="1" applyBorder="1"/>
    <xf numFmtId="0" fontId="22" fillId="5" borderId="24" xfId="0" applyFont="1" applyFill="1" applyBorder="1" applyAlignment="1">
      <alignment horizontal="center"/>
    </xf>
    <xf numFmtId="182" fontId="44" fillId="4" borderId="1" xfId="0" applyNumberFormat="1" applyFont="1" applyFill="1" applyBorder="1" applyAlignment="1">
      <alignment horizontal="center" vertical="center" wrapText="1"/>
    </xf>
    <xf numFmtId="182" fontId="22" fillId="5" borderId="1" xfId="0" applyNumberFormat="1" applyFont="1" applyFill="1" applyBorder="1" applyAlignment="1">
      <alignment horizontal="center"/>
    </xf>
    <xf numFmtId="182" fontId="22" fillId="3" borderId="1" xfId="0" applyNumberFormat="1" applyFont="1" applyFill="1" applyBorder="1" applyAlignment="1">
      <alignment horizontal="center"/>
    </xf>
    <xf numFmtId="182" fontId="22" fillId="0" borderId="0" xfId="0" applyNumberFormat="1" applyFont="1" applyAlignment="1">
      <alignment horizontal="center"/>
    </xf>
    <xf numFmtId="0" fontId="18" fillId="17" borderId="27" xfId="0" applyFont="1" applyFill="1" applyBorder="1" applyAlignment="1">
      <alignment horizontal="center" vertical="top"/>
    </xf>
    <xf numFmtId="0" fontId="18" fillId="17" borderId="28" xfId="0" applyFont="1" applyFill="1" applyBorder="1" applyAlignment="1">
      <alignment horizontal="center" vertical="top"/>
    </xf>
    <xf numFmtId="0" fontId="18" fillId="17" borderId="30" xfId="0" applyFont="1" applyFill="1" applyBorder="1" applyAlignment="1">
      <alignment horizontal="center" vertical="top"/>
    </xf>
    <xf numFmtId="0" fontId="25" fillId="17" borderId="61" xfId="0" applyFont="1" applyFill="1" applyBorder="1" applyAlignment="1">
      <alignment horizontal="center" vertical="center" wrapText="1"/>
    </xf>
    <xf numFmtId="0" fontId="25" fillId="17" borderId="60" xfId="0" applyFont="1" applyFill="1" applyBorder="1" applyAlignment="1">
      <alignment horizontal="center" vertical="center" wrapText="1"/>
    </xf>
    <xf numFmtId="0" fontId="25" fillId="17" borderId="27" xfId="0" applyFont="1" applyFill="1" applyBorder="1" applyAlignment="1">
      <alignment horizontal="center" vertical="center" wrapText="1"/>
    </xf>
    <xf numFmtId="0" fontId="25" fillId="17" borderId="28" xfId="0" applyFont="1" applyFill="1" applyBorder="1" applyAlignment="1">
      <alignment horizontal="center" vertical="center" wrapText="1"/>
    </xf>
    <xf numFmtId="0" fontId="25" fillId="17" borderId="30" xfId="0" applyFont="1" applyFill="1" applyBorder="1" applyAlignment="1">
      <alignment horizontal="center" vertical="center" wrapText="1"/>
    </xf>
    <xf numFmtId="0" fontId="18" fillId="17" borderId="27" xfId="0" applyFont="1" applyFill="1" applyBorder="1" applyAlignment="1">
      <alignment horizontal="center" vertical="center"/>
    </xf>
    <xf numFmtId="0" fontId="18" fillId="17" borderId="28" xfId="0" applyFont="1" applyFill="1" applyBorder="1" applyAlignment="1">
      <alignment horizontal="center" vertical="center"/>
    </xf>
    <xf numFmtId="0" fontId="18" fillId="17" borderId="30" xfId="0" applyFont="1" applyFill="1" applyBorder="1" applyAlignment="1">
      <alignment horizontal="center" vertical="center"/>
    </xf>
    <xf numFmtId="0" fontId="1" fillId="17" borderId="27" xfId="0" applyFont="1" applyFill="1" applyBorder="1" applyAlignment="1">
      <alignment horizontal="center"/>
    </xf>
    <xf numFmtId="0" fontId="1" fillId="17" borderId="28" xfId="0" applyFont="1" applyFill="1" applyBorder="1" applyAlignment="1">
      <alignment horizontal="center"/>
    </xf>
    <xf numFmtId="0" fontId="1" fillId="17" borderId="30" xfId="0" applyFont="1" applyFill="1" applyBorder="1" applyAlignment="1">
      <alignment horizontal="center"/>
    </xf>
    <xf numFmtId="0" fontId="18" fillId="17" borderId="27" xfId="0" applyFont="1" applyFill="1" applyBorder="1" applyAlignment="1">
      <alignment horizontal="center"/>
    </xf>
    <xf numFmtId="0" fontId="18" fillId="17" borderId="28" xfId="0" applyFont="1" applyFill="1" applyBorder="1" applyAlignment="1">
      <alignment horizontal="center"/>
    </xf>
    <xf numFmtId="0" fontId="18" fillId="17" borderId="30" xfId="0" applyFont="1" applyFill="1" applyBorder="1" applyAlignment="1">
      <alignment horizontal="center"/>
    </xf>
    <xf numFmtId="0" fontId="1" fillId="0" borderId="27" xfId="0" applyFont="1" applyBorder="1" applyAlignment="1">
      <alignment horizontal="center" wrapText="1"/>
    </xf>
    <xf numFmtId="0" fontId="1" fillId="0" borderId="28" xfId="0" applyFont="1" applyBorder="1" applyAlignment="1">
      <alignment horizontal="center" wrapText="1"/>
    </xf>
    <xf numFmtId="0" fontId="1" fillId="11" borderId="27" xfId="0" applyFont="1" applyFill="1" applyBorder="1" applyAlignment="1">
      <alignment horizontal="center" vertical="center" wrapText="1"/>
    </xf>
    <xf numFmtId="0" fontId="1" fillId="11" borderId="32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wrapText="1"/>
    </xf>
    <xf numFmtId="0" fontId="1" fillId="10" borderId="5" xfId="0" applyFont="1" applyFill="1" applyBorder="1" applyAlignment="1">
      <alignment horizontal="center" wrapText="1"/>
    </xf>
    <xf numFmtId="0" fontId="1" fillId="3" borderId="29" xfId="0" applyFont="1" applyFill="1" applyBorder="1" applyAlignment="1">
      <alignment horizontal="center" wrapText="1"/>
    </xf>
    <xf numFmtId="0" fontId="1" fillId="3" borderId="21" xfId="0" applyFont="1" applyFill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1" fillId="3" borderId="33" xfId="0" applyFont="1" applyFill="1" applyBorder="1" applyAlignment="1">
      <alignment horizontal="center" wrapText="1"/>
    </xf>
    <xf numFmtId="0" fontId="1" fillId="3" borderId="16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3" borderId="15" xfId="0" applyFont="1" applyFill="1" applyBorder="1" applyAlignment="1">
      <alignment horizontal="center" wrapText="1"/>
    </xf>
    <xf numFmtId="0" fontId="1" fillId="10" borderId="27" xfId="0" applyFont="1" applyFill="1" applyBorder="1" applyAlignment="1">
      <alignment horizontal="center" wrapText="1"/>
    </xf>
    <xf numFmtId="0" fontId="1" fillId="10" borderId="32" xfId="0" applyFont="1" applyFill="1" applyBorder="1" applyAlignment="1">
      <alignment horizontal="center" wrapText="1"/>
    </xf>
    <xf numFmtId="0" fontId="1" fillId="5" borderId="41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10" borderId="33" xfId="0" applyFont="1" applyFill="1" applyBorder="1" applyAlignment="1">
      <alignment horizontal="center" wrapText="1"/>
    </xf>
    <xf numFmtId="0" fontId="1" fillId="10" borderId="16" xfId="0" applyFont="1" applyFill="1" applyBorder="1" applyAlignment="1">
      <alignment horizontal="center" wrapText="1"/>
    </xf>
    <xf numFmtId="0" fontId="1" fillId="0" borderId="43" xfId="0" applyFont="1" applyBorder="1" applyAlignment="1">
      <alignment horizontal="center" wrapText="1"/>
    </xf>
    <xf numFmtId="0" fontId="1" fillId="0" borderId="44" xfId="0" applyFont="1" applyBorder="1" applyAlignment="1">
      <alignment horizontal="center" wrapText="1"/>
    </xf>
    <xf numFmtId="0" fontId="25" fillId="17" borderId="14" xfId="0" applyFont="1" applyFill="1" applyBorder="1" applyAlignment="1">
      <alignment horizontal="center" vertical="center" wrapText="1"/>
    </xf>
    <xf numFmtId="0" fontId="25" fillId="17" borderId="46" xfId="0" applyFont="1" applyFill="1" applyBorder="1" applyAlignment="1">
      <alignment horizontal="center" vertical="center" wrapText="1"/>
    </xf>
    <xf numFmtId="0" fontId="25" fillId="17" borderId="24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22" fillId="0" borderId="43" xfId="0" applyFont="1" applyBorder="1" applyAlignment="1">
      <alignment horizontal="center" wrapText="1"/>
    </xf>
    <xf numFmtId="0" fontId="22" fillId="0" borderId="44" xfId="0" applyFont="1" applyBorder="1" applyAlignment="1">
      <alignment horizontal="center" wrapText="1"/>
    </xf>
    <xf numFmtId="0" fontId="22" fillId="5" borderId="41" xfId="0" applyFont="1" applyFill="1" applyBorder="1" applyAlignment="1">
      <alignment horizontal="center" vertical="center" wrapText="1"/>
    </xf>
    <xf numFmtId="0" fontId="22" fillId="5" borderId="42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center" wrapText="1"/>
    </xf>
    <xf numFmtId="0" fontId="22" fillId="5" borderId="1" xfId="0" applyFont="1" applyFill="1" applyBorder="1" applyAlignment="1">
      <alignment horizontal="center" wrapText="1"/>
    </xf>
    <xf numFmtId="0" fontId="22" fillId="2" borderId="2" xfId="0" applyFont="1" applyFill="1" applyBorder="1" applyAlignment="1">
      <alignment horizontal="center" wrapText="1"/>
    </xf>
    <xf numFmtId="0" fontId="22" fillId="2" borderId="1" xfId="0" applyFont="1" applyFill="1" applyBorder="1" applyAlignment="1">
      <alignment horizontal="center" wrapText="1"/>
    </xf>
    <xf numFmtId="0" fontId="22" fillId="3" borderId="2" xfId="0" applyFont="1" applyFill="1" applyBorder="1" applyAlignment="1">
      <alignment horizontal="center" wrapText="1"/>
    </xf>
    <xf numFmtId="0" fontId="22" fillId="3" borderId="1" xfId="0" applyFont="1" applyFill="1" applyBorder="1" applyAlignment="1">
      <alignment horizontal="center" wrapText="1"/>
    </xf>
    <xf numFmtId="0" fontId="22" fillId="10" borderId="4" xfId="0" applyFont="1" applyFill="1" applyBorder="1" applyAlignment="1">
      <alignment horizontal="center" wrapText="1"/>
    </xf>
    <xf numFmtId="0" fontId="22" fillId="10" borderId="5" xfId="0" applyFont="1" applyFill="1" applyBorder="1" applyAlignment="1">
      <alignment horizontal="center" wrapText="1"/>
    </xf>
    <xf numFmtId="0" fontId="22" fillId="10" borderId="27" xfId="0" applyFont="1" applyFill="1" applyBorder="1" applyAlignment="1">
      <alignment horizontal="center" wrapText="1"/>
    </xf>
    <xf numFmtId="0" fontId="22" fillId="10" borderId="32" xfId="0" applyFont="1" applyFill="1" applyBorder="1" applyAlignment="1">
      <alignment horizontal="center" wrapText="1"/>
    </xf>
    <xf numFmtId="0" fontId="22" fillId="3" borderId="29" xfId="0" applyFont="1" applyFill="1" applyBorder="1" applyAlignment="1">
      <alignment horizontal="center" wrapText="1"/>
    </xf>
    <xf numFmtId="0" fontId="22" fillId="3" borderId="21" xfId="0" applyFont="1" applyFill="1" applyBorder="1" applyAlignment="1">
      <alignment horizontal="center" wrapText="1"/>
    </xf>
    <xf numFmtId="0" fontId="22" fillId="0" borderId="19" xfId="0" applyFont="1" applyBorder="1" applyAlignment="1">
      <alignment horizontal="center" wrapText="1"/>
    </xf>
    <xf numFmtId="0" fontId="22" fillId="0" borderId="26" xfId="0" applyFont="1" applyBorder="1" applyAlignment="1">
      <alignment horizontal="center" wrapText="1"/>
    </xf>
    <xf numFmtId="0" fontId="22" fillId="3" borderId="33" xfId="0" applyFont="1" applyFill="1" applyBorder="1" applyAlignment="1">
      <alignment horizontal="center" wrapText="1"/>
    </xf>
    <xf numFmtId="0" fontId="22" fillId="3" borderId="16" xfId="0" applyFont="1" applyFill="1" applyBorder="1" applyAlignment="1">
      <alignment horizontal="center" wrapText="1"/>
    </xf>
    <xf numFmtId="0" fontId="22" fillId="3" borderId="4" xfId="0" applyFont="1" applyFill="1" applyBorder="1" applyAlignment="1">
      <alignment horizontal="center" wrapText="1"/>
    </xf>
    <xf numFmtId="0" fontId="22" fillId="3" borderId="5" xfId="0" applyFont="1" applyFill="1" applyBorder="1" applyAlignment="1">
      <alignment horizontal="center" wrapText="1"/>
    </xf>
    <xf numFmtId="0" fontId="22" fillId="3" borderId="15" xfId="0" applyFont="1" applyFill="1" applyBorder="1" applyAlignment="1">
      <alignment horizontal="center" wrapText="1"/>
    </xf>
    <xf numFmtId="0" fontId="22" fillId="10" borderId="33" xfId="0" applyFont="1" applyFill="1" applyBorder="1" applyAlignment="1">
      <alignment horizontal="center" wrapText="1"/>
    </xf>
    <xf numFmtId="0" fontId="22" fillId="10" borderId="16" xfId="0" applyFont="1" applyFill="1" applyBorder="1" applyAlignment="1">
      <alignment horizontal="center" wrapText="1"/>
    </xf>
    <xf numFmtId="0" fontId="22" fillId="11" borderId="27" xfId="0" applyFont="1" applyFill="1" applyBorder="1" applyAlignment="1">
      <alignment horizontal="center" vertical="center" wrapText="1"/>
    </xf>
    <xf numFmtId="0" fontId="22" fillId="11" borderId="32" xfId="0" applyFont="1" applyFill="1" applyBorder="1" applyAlignment="1">
      <alignment horizontal="center" vertical="center" wrapText="1"/>
    </xf>
    <xf numFmtId="0" fontId="22" fillId="0" borderId="27" xfId="0" applyFont="1" applyBorder="1" applyAlignment="1">
      <alignment horizontal="center" wrapText="1"/>
    </xf>
    <xf numFmtId="0" fontId="22" fillId="0" borderId="28" xfId="0" applyFont="1" applyBorder="1" applyAlignment="1">
      <alignment horizontal="center" wrapText="1"/>
    </xf>
    <xf numFmtId="0" fontId="22" fillId="2" borderId="14" xfId="0" applyFont="1" applyFill="1" applyBorder="1" applyAlignment="1">
      <alignment horizontal="center" wrapText="1"/>
    </xf>
    <xf numFmtId="0" fontId="21" fillId="3" borderId="4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26" xfId="0" applyFont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3" borderId="33" xfId="0" applyFont="1" applyFill="1" applyBorder="1" applyAlignment="1">
      <alignment horizontal="center" vertical="center" wrapText="1"/>
    </xf>
    <xf numFmtId="0" fontId="21" fillId="3" borderId="16" xfId="0" applyFont="1" applyFill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10" borderId="33" xfId="0" applyFont="1" applyFill="1" applyBorder="1" applyAlignment="1">
      <alignment horizontal="center" vertical="center" wrapText="1"/>
    </xf>
    <xf numFmtId="0" fontId="21" fillId="10" borderId="16" xfId="0" applyFont="1" applyFill="1" applyBorder="1" applyAlignment="1">
      <alignment horizontal="center" vertical="center" wrapText="1"/>
    </xf>
    <xf numFmtId="0" fontId="43" fillId="17" borderId="1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1" fillId="10" borderId="27" xfId="0" applyFont="1" applyFill="1" applyBorder="1" applyAlignment="1">
      <alignment horizontal="center" vertical="center" wrapText="1"/>
    </xf>
    <xf numFmtId="0" fontId="21" fillId="10" borderId="32" xfId="0" applyFont="1" applyFill="1" applyBorder="1" applyAlignment="1">
      <alignment horizontal="center" vertical="center" wrapText="1"/>
    </xf>
    <xf numFmtId="0" fontId="21" fillId="3" borderId="29" xfId="0" applyFont="1" applyFill="1" applyBorder="1" applyAlignment="1">
      <alignment horizontal="center" vertical="center" wrapText="1"/>
    </xf>
    <xf numFmtId="0" fontId="21" fillId="3" borderId="21" xfId="0" applyFont="1" applyFill="1" applyBorder="1" applyAlignment="1">
      <alignment horizontal="center" vertical="center" wrapText="1"/>
    </xf>
    <xf numFmtId="0" fontId="21" fillId="0" borderId="27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vertical="center" wrapText="1"/>
    </xf>
    <xf numFmtId="0" fontId="21" fillId="11" borderId="27" xfId="0" applyFont="1" applyFill="1" applyBorder="1" applyAlignment="1">
      <alignment horizontal="center" vertical="center" wrapText="1"/>
    </xf>
    <xf numFmtId="0" fontId="21" fillId="11" borderId="32" xfId="0" applyFont="1" applyFill="1" applyBorder="1" applyAlignment="1">
      <alignment horizontal="center" vertical="center" wrapText="1"/>
    </xf>
    <xf numFmtId="0" fontId="21" fillId="0" borderId="43" xfId="0" applyFont="1" applyBorder="1" applyAlignment="1">
      <alignment horizontal="center" vertical="center" wrapText="1"/>
    </xf>
    <xf numFmtId="0" fontId="21" fillId="0" borderId="44" xfId="0" applyFont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center" vertical="center" wrapText="1"/>
    </xf>
    <xf numFmtId="0" fontId="1" fillId="10" borderId="32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10" borderId="33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1" fontId="25" fillId="19" borderId="14" xfId="0" applyNumberFormat="1" applyFont="1" applyFill="1" applyBorder="1" applyAlignment="1">
      <alignment horizontal="center" vertical="center"/>
    </xf>
    <xf numFmtId="1" fontId="25" fillId="19" borderId="46" xfId="0" applyNumberFormat="1" applyFont="1" applyFill="1" applyBorder="1" applyAlignment="1">
      <alignment horizontal="center" vertical="center"/>
    </xf>
    <xf numFmtId="1" fontId="25" fillId="19" borderId="24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5" borderId="43" xfId="0" applyFont="1" applyFill="1" applyBorder="1" applyAlignment="1">
      <alignment horizontal="center" vertical="center" wrapText="1"/>
    </xf>
    <xf numFmtId="0" fontId="1" fillId="5" borderId="49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horizontal="center" vertical="center" wrapText="1"/>
    </xf>
    <xf numFmtId="0" fontId="1" fillId="11" borderId="27" xfId="0" applyFont="1" applyFill="1" applyBorder="1" applyAlignment="1">
      <alignment horizontal="center"/>
    </xf>
    <xf numFmtId="0" fontId="1" fillId="11" borderId="28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 wrapText="1"/>
    </xf>
    <xf numFmtId="0" fontId="1" fillId="3" borderId="48" xfId="0" applyFont="1" applyFill="1" applyBorder="1" applyAlignment="1">
      <alignment horizontal="center" wrapText="1"/>
    </xf>
    <xf numFmtId="0" fontId="1" fillId="0" borderId="32" xfId="0" applyFont="1" applyBorder="1" applyAlignment="1">
      <alignment horizontal="center" wrapText="1"/>
    </xf>
    <xf numFmtId="0" fontId="1" fillId="5" borderId="43" xfId="0" applyFont="1" applyFill="1" applyBorder="1" applyAlignment="1">
      <alignment horizontal="center" wrapText="1"/>
    </xf>
    <xf numFmtId="0" fontId="1" fillId="5" borderId="44" xfId="0" applyFont="1" applyFill="1" applyBorder="1" applyAlignment="1">
      <alignment horizontal="center" wrapText="1"/>
    </xf>
    <xf numFmtId="171" fontId="1" fillId="3" borderId="0" xfId="1" applyNumberFormat="1" applyFont="1" applyFill="1" applyAlignment="1">
      <alignment horizontal="center"/>
    </xf>
    <xf numFmtId="171" fontId="18" fillId="17" borderId="10" xfId="1" applyNumberFormat="1" applyFont="1" applyFill="1" applyBorder="1" applyAlignment="1">
      <alignment horizontal="center"/>
    </xf>
    <xf numFmtId="171" fontId="18" fillId="17" borderId="11" xfId="1" applyNumberFormat="1" applyFont="1" applyFill="1" applyBorder="1" applyAlignment="1">
      <alignment horizontal="center"/>
    </xf>
    <xf numFmtId="171" fontId="18" fillId="17" borderId="12" xfId="1" applyNumberFormat="1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8" fillId="3" borderId="46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2" fontId="14" fillId="5" borderId="14" xfId="17" applyNumberFormat="1" applyFont="1" applyFill="1" applyBorder="1" applyAlignment="1">
      <alignment horizontal="center" vertical="center"/>
    </xf>
    <xf numFmtId="2" fontId="14" fillId="5" borderId="24" xfId="17" applyNumberFormat="1" applyFont="1" applyFill="1" applyBorder="1" applyAlignment="1">
      <alignment horizontal="center" vertical="center"/>
    </xf>
    <xf numFmtId="0" fontId="1" fillId="10" borderId="41" xfId="0" applyFont="1" applyFill="1" applyBorder="1" applyAlignment="1">
      <alignment horizontal="center" wrapText="1"/>
    </xf>
    <xf numFmtId="0" fontId="1" fillId="10" borderId="23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1" fillId="3" borderId="11" xfId="0" applyFont="1" applyFill="1" applyBorder="1" applyAlignment="1">
      <alignment horizontal="center" wrapText="1"/>
    </xf>
    <xf numFmtId="0" fontId="1" fillId="3" borderId="54" xfId="0" applyFont="1" applyFill="1" applyBorder="1" applyAlignment="1">
      <alignment horizontal="center" wrapText="1"/>
    </xf>
    <xf numFmtId="0" fontId="1" fillId="3" borderId="24" xfId="0" applyFont="1" applyFill="1" applyBorder="1" applyAlignment="1">
      <alignment horizontal="center" wrapText="1"/>
    </xf>
    <xf numFmtId="1" fontId="15" fillId="19" borderId="15" xfId="0" applyNumberFormat="1" applyFont="1" applyFill="1" applyBorder="1" applyAlignment="1">
      <alignment horizontal="center" vertical="center"/>
    </xf>
    <xf numFmtId="1" fontId="15" fillId="19" borderId="55" xfId="0" applyNumberFormat="1" applyFont="1" applyFill="1" applyBorder="1" applyAlignment="1">
      <alignment horizontal="center" vertical="center"/>
    </xf>
    <xf numFmtId="1" fontId="15" fillId="19" borderId="48" xfId="0" applyNumberFormat="1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1" fillId="3" borderId="27" xfId="0" applyFont="1" applyFill="1" applyBorder="1" applyAlignment="1">
      <alignment horizontal="center" wrapText="1"/>
    </xf>
    <xf numFmtId="0" fontId="1" fillId="3" borderId="32" xfId="0" applyFont="1" applyFill="1" applyBorder="1" applyAlignment="1">
      <alignment horizontal="center" wrapText="1"/>
    </xf>
    <xf numFmtId="0" fontId="1" fillId="10" borderId="47" xfId="0" applyFont="1" applyFill="1" applyBorder="1" applyAlignment="1">
      <alignment horizontal="center" wrapText="1"/>
    </xf>
    <xf numFmtId="0" fontId="1" fillId="10" borderId="48" xfId="0" applyFont="1" applyFill="1" applyBorder="1" applyAlignment="1">
      <alignment horizontal="center" wrapText="1"/>
    </xf>
    <xf numFmtId="0" fontId="1" fillId="5" borderId="54" xfId="0" applyFont="1" applyFill="1" applyBorder="1" applyAlignment="1">
      <alignment horizontal="center" wrapText="1"/>
    </xf>
    <xf numFmtId="0" fontId="1" fillId="5" borderId="24" xfId="0" applyFont="1" applyFill="1" applyBorder="1" applyAlignment="1">
      <alignment horizontal="center" wrapText="1"/>
    </xf>
    <xf numFmtId="0" fontId="1" fillId="0" borderId="1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19" borderId="14" xfId="0" applyFont="1" applyFill="1" applyBorder="1" applyAlignment="1">
      <alignment horizontal="center" vertical="center"/>
    </xf>
    <xf numFmtId="0" fontId="1" fillId="19" borderId="46" xfId="0" applyFont="1" applyFill="1" applyBorder="1" applyAlignment="1">
      <alignment horizontal="center" vertical="center"/>
    </xf>
    <xf numFmtId="0" fontId="1" fillId="19" borderId="2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10" borderId="27" xfId="0" applyFont="1" applyFill="1" applyBorder="1" applyAlignment="1">
      <alignment horizontal="center"/>
    </xf>
    <xf numFmtId="0" fontId="1" fillId="10" borderId="32" xfId="0" applyFont="1" applyFill="1" applyBorder="1" applyAlignment="1">
      <alignment horizontal="center"/>
    </xf>
    <xf numFmtId="0" fontId="1" fillId="11" borderId="32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1" fillId="5" borderId="66" xfId="0" applyFont="1" applyFill="1" applyBorder="1" applyAlignment="1">
      <alignment horizontal="center"/>
    </xf>
    <xf numFmtId="0" fontId="1" fillId="5" borderId="68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0" fillId="3" borderId="75" xfId="0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1" fillId="11" borderId="29" xfId="0" applyFont="1" applyFill="1" applyBorder="1" applyAlignment="1">
      <alignment horizontal="center"/>
    </xf>
    <xf numFmtId="0" fontId="1" fillId="11" borderId="21" xfId="0" applyFont="1" applyFill="1" applyBorder="1" applyAlignment="1">
      <alignment horizontal="center"/>
    </xf>
    <xf numFmtId="0" fontId="25" fillId="17" borderId="43" xfId="0" applyFont="1" applyFill="1" applyBorder="1" applyAlignment="1">
      <alignment horizontal="center" vertical="center" wrapText="1"/>
    </xf>
    <xf numFmtId="0" fontId="25" fillId="17" borderId="75" xfId="0" applyFont="1" applyFill="1" applyBorder="1" applyAlignment="1">
      <alignment horizontal="center" vertical="center" wrapText="1"/>
    </xf>
    <xf numFmtId="0" fontId="25" fillId="17" borderId="54" xfId="0" applyFont="1" applyFill="1" applyBorder="1" applyAlignment="1">
      <alignment horizontal="center" vertical="center" wrapText="1"/>
    </xf>
    <xf numFmtId="0" fontId="25" fillId="17" borderId="1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wrapText="1"/>
    </xf>
    <xf numFmtId="0" fontId="1" fillId="5" borderId="13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30" xfId="0" applyFont="1" applyBorder="1" applyAlignment="1">
      <alignment horizontal="center" wrapText="1"/>
    </xf>
    <xf numFmtId="0" fontId="1" fillId="5" borderId="19" xfId="0" applyFont="1" applyFill="1" applyBorder="1" applyAlignment="1">
      <alignment horizontal="center" wrapText="1"/>
    </xf>
    <xf numFmtId="0" fontId="1" fillId="5" borderId="20" xfId="0" applyFont="1" applyFill="1" applyBorder="1" applyAlignment="1">
      <alignment horizontal="center" wrapText="1"/>
    </xf>
    <xf numFmtId="0" fontId="1" fillId="3" borderId="22" xfId="0" applyFont="1" applyFill="1" applyBorder="1" applyAlignment="1">
      <alignment horizontal="center" wrapText="1"/>
    </xf>
    <xf numFmtId="0" fontId="1" fillId="5" borderId="25" xfId="0" applyFont="1" applyFill="1" applyBorder="1" applyAlignment="1">
      <alignment horizontal="center" wrapText="1"/>
    </xf>
    <xf numFmtId="0" fontId="1" fillId="11" borderId="27" xfId="0" applyFont="1" applyFill="1" applyBorder="1" applyAlignment="1">
      <alignment horizontal="center" wrapText="1"/>
    </xf>
    <xf numFmtId="0" fontId="1" fillId="11" borderId="32" xfId="0" applyFont="1" applyFill="1" applyBorder="1" applyAlignment="1">
      <alignment horizontal="center" wrapText="1"/>
    </xf>
  </cellXfs>
  <cellStyles count="38">
    <cellStyle name="20% - Accent4" xfId="6" builtinId="42"/>
    <cellStyle name="40% - Accent6" xfId="7" builtinId="51"/>
    <cellStyle name="Comma" xfId="1" builtinId="3"/>
    <cellStyle name="Comma 2" xfId="20" xr:uid="{5CDDFB15-3D48-420F-AE3F-F1F72E1312B3}"/>
    <cellStyle name="Comma 2 2" xfId="26" xr:uid="{CBBC70D6-DC56-4F57-8DD4-1A38AE8E707E}"/>
    <cellStyle name="Comma 2 2 2" xfId="36" xr:uid="{CF14E20F-7154-4D5D-A4A2-DF8119AB5C2D}"/>
    <cellStyle name="Comma 2 3" xfId="32" xr:uid="{23FD093B-454D-495E-91DA-6006C758718B}"/>
    <cellStyle name="Comma 3" xfId="13" xr:uid="{5087058F-B61F-4821-85DB-11544F5DABB2}"/>
    <cellStyle name="Comma 3 2" xfId="22" xr:uid="{58EA13AD-9AD4-4D17-B730-91823112DB8E}"/>
    <cellStyle name="Comma 3 2 2" xfId="27" xr:uid="{EFE6DE39-DD32-4F13-BCF6-3DD2E0B07A63}"/>
    <cellStyle name="Comma 3 2 2 2" xfId="37" xr:uid="{567A0D79-F144-4FF4-A335-1517C850C69A}"/>
    <cellStyle name="Comma 3 2 3" xfId="33" xr:uid="{659091E6-D4C9-4F23-98ED-28115F34AF8D}"/>
    <cellStyle name="Comma 3 3" xfId="24" xr:uid="{DB2EDC45-9808-4775-8CD2-F64D3F056937}"/>
    <cellStyle name="Comma 3 3 2" xfId="35" xr:uid="{30422A50-600F-4C29-B619-2E8D29155C18}"/>
    <cellStyle name="Comma 3 4" xfId="31" xr:uid="{4D15908A-056C-481F-AA5E-63C02F0B8334}"/>
    <cellStyle name="Comma 4" xfId="21" xr:uid="{A2BC6A12-D652-4631-896D-06D0B532F43A}"/>
    <cellStyle name="Comma 5" xfId="23" xr:uid="{098C5DB0-1D14-4CBE-AC56-DC2CF5D97815}"/>
    <cellStyle name="Comma 5 2" xfId="34" xr:uid="{D4A5458E-55F8-4528-89A9-930B6D5C3D64}"/>
    <cellStyle name="Comma 6" xfId="30" xr:uid="{DB0A4350-F1B3-41DF-B3F4-49973B656991}"/>
    <cellStyle name="Currency" xfId="2" builtinId="4"/>
    <cellStyle name="Currency 2" xfId="18" xr:uid="{6D526F45-0C19-4262-83B0-7E7B6A01201F}"/>
    <cellStyle name="Currency 2 2" xfId="25" xr:uid="{8C80F43C-1C9A-4EFF-AC27-84EE8867EB57}"/>
    <cellStyle name="Good" xfId="4" builtinId="26"/>
    <cellStyle name="Hyperlink" xfId="28" builtinId="8"/>
    <cellStyle name="Neutral" xfId="5" builtinId="28"/>
    <cellStyle name="Normal" xfId="0" builtinId="0"/>
    <cellStyle name="Normal 2" xfId="10" xr:uid="{C917DCB4-47EE-4B6D-824D-33D7A19D3381}"/>
    <cellStyle name="Normal 2 2" xfId="12" xr:uid="{D774496C-3BED-4CF2-99A3-E80DFB5D5DAE}"/>
    <cellStyle name="Normal 3" xfId="11" xr:uid="{901EFFE4-483D-413C-B463-4E3EAFB3DDBA}"/>
    <cellStyle name="Normal 3 2" xfId="3" xr:uid="{8B65C1BB-44C8-403F-A3D3-6F8105C21A56}"/>
    <cellStyle name="Normal 4" xfId="14" xr:uid="{E50631CA-BD74-454E-A6AB-38C87B48FDA1}"/>
    <cellStyle name="Normal 4 5" xfId="16" xr:uid="{B3C00567-6EEF-48F0-B682-918737788BF5}"/>
    <cellStyle name="Normal 5" xfId="17" xr:uid="{3CDBF51D-B24F-4C84-843D-EDA13E541EF9}"/>
    <cellStyle name="Normal 6" xfId="8" xr:uid="{BA3CF1AC-807F-434B-B2AD-1FC68686AE2F}"/>
    <cellStyle name="Percent" xfId="29" builtinId="5"/>
    <cellStyle name="Percent 2" xfId="15" xr:uid="{8B74B1CF-87B9-40B8-813B-940F71AE1D1B}"/>
    <cellStyle name="Percent 3" xfId="9" xr:uid="{B3EFC361-CA3B-4E05-8103-5AAFE074BB94}"/>
    <cellStyle name="Percent 4" xfId="19" xr:uid="{FA4005B1-6241-4D4F-B780-0F80815A4178}"/>
  </cellStyles>
  <dxfs count="1643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numFmt numFmtId="183" formatCode="\."/>
    </dxf>
    <dxf>
      <numFmt numFmtId="184" formatCode=";;;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#,##0\ &quot;€&quot;"/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#,##0.00\ &quot;€&quot;"/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#,##0.00\ &quot;€&quot;"/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9" formatCode="#,##0\ &quot;€&quot;"/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9" tint="0.79998168889431442"/>
        </patternFill>
      </fill>
      <alignment horizontal="center" vertical="center" textRotation="0" indent="0" justifyLastLine="0" shrinkToFit="0"/>
    </dxf>
    <dxf>
      <alignment horizontal="center" vertical="center" textRotation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3" formatCode="0%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rgb="FFD9E1F2"/>
        </top>
        <bottom style="thin">
          <color rgb="FFD9E1F2"/>
        </bottom>
      </border>
    </dxf>
    <dxf>
      <border>
        <top style="thin">
          <color rgb="FFD9E1F2"/>
        </top>
        <bottom style="thin">
          <color rgb="FFD9E1F2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4472C4"/>
        </bottom>
      </border>
    </dxf>
    <dxf>
      <font>
        <color rgb="FFFFFFFF"/>
      </font>
      <fill>
        <patternFill patternType="solid">
          <fgColor rgb="FF8EA9DB"/>
          <bgColor rgb="FF8EA9DB"/>
        </patternFill>
      </fill>
      <border>
        <bottom style="thin">
          <color rgb="FFD9E1F2"/>
        </bottom>
        <horizontal style="thin">
          <color rgb="FF8EA9DB"/>
        </horizontal>
      </border>
    </dxf>
    <dxf>
      <border>
        <bottom style="thin">
          <color rgb="FFB4C6E7"/>
        </bottom>
      </border>
    </dxf>
    <dxf>
      <font>
        <b/>
        <color rgb="FF000000"/>
      </font>
      <fill>
        <patternFill patternType="solid">
          <fgColor rgb="FFD9D9D9"/>
          <bgColor rgb="FFD9D9D9"/>
        </patternFill>
      </fill>
    </dxf>
    <dxf>
      <font>
        <b/>
        <color rgb="FFFFFFFF"/>
      </font>
      <fill>
        <patternFill patternType="solid">
          <fgColor rgb="FF8EA9DB"/>
          <bgColor rgb="FF8EA9DB"/>
        </patternFill>
      </fill>
    </dxf>
    <dxf>
      <font>
        <b/>
        <color rgb="FFFFFFFF"/>
      </font>
    </dxf>
    <dxf>
      <border>
        <left style="thin">
          <color rgb="FF305496"/>
        </left>
        <right style="thin">
          <color rgb="FF305496"/>
        </right>
      </border>
    </dxf>
    <dxf>
      <border>
        <top style="thin">
          <color rgb="FF305496"/>
        </top>
        <bottom style="thin">
          <color rgb="FF305496"/>
        </bottom>
        <horizontal style="thin">
          <color rgb="FF305496"/>
        </horizontal>
      </border>
    </dxf>
    <dxf>
      <font>
        <b/>
        <color rgb="FF000000"/>
      </font>
      <border>
        <top style="double">
          <color rgb="FF305496"/>
        </top>
      </border>
    </dxf>
    <dxf>
      <font>
        <color rgb="FFFFFFFF"/>
      </font>
      <fill>
        <patternFill patternType="solid">
          <fgColor rgb="FF305496"/>
          <bgColor rgb="FF305496"/>
        </patternFill>
      </fill>
      <border>
        <horizontal style="thin">
          <color rgb="FF305496"/>
        </horizontal>
      </border>
    </dxf>
    <dxf>
      <font>
        <color rgb="FF000000"/>
      </font>
      <border>
        <horizontal style="thin">
          <color rgb="FFD9E1F2"/>
        </horizontal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</dxfs>
  <tableStyles count="2" defaultTableStyle="TableStyleMedium2" defaultPivotStyle="PivotStyleLight16">
    <tableStyle name="PivotStyleLight16 2" table="0" count="11" xr9:uid="{680CC3E3-D41E-4818-A6A7-E92DD11D9E88}">
      <tableStyleElement type="headerRow" dxfId="16434"/>
      <tableStyleElement type="totalRow" dxfId="16433"/>
      <tableStyleElement type="firstRowStripe" dxfId="16432"/>
      <tableStyleElement type="firstColumnStripe" dxfId="16431"/>
      <tableStyleElement type="firstSubtotalColumn" dxfId="16430"/>
      <tableStyleElement type="firstSubtotalRow" dxfId="16429"/>
      <tableStyleElement type="secondSubtotalRow" dxfId="16428"/>
      <tableStyleElement type="firstRowSubheading" dxfId="16427"/>
      <tableStyleElement type="secondRowSubheading" dxfId="16426"/>
      <tableStyleElement type="pageFieldLabels" dxfId="16425"/>
      <tableStyleElement type="pageFieldValues" dxfId="16424"/>
    </tableStyle>
    <tableStyle name="PivotStyleMedium6 2" table="0" count="13" xr9:uid="{6D3F5A5E-FF67-4B3C-9757-1602AF8DBD81}">
      <tableStyleElement type="wholeTable" dxfId="16423"/>
      <tableStyleElement type="headerRow" dxfId="16422"/>
      <tableStyleElement type="totalRow" dxfId="16421"/>
      <tableStyleElement type="firstRowStripe" dxfId="16420"/>
      <tableStyleElement type="firstColumnStripe" dxfId="16419"/>
      <tableStyleElement type="firstHeaderCell" dxfId="16418"/>
      <tableStyleElement type="firstSubtotalRow" dxfId="16417"/>
      <tableStyleElement type="secondSubtotalRow" dxfId="16416"/>
      <tableStyleElement type="firstColumnSubheading" dxfId="16415"/>
      <tableStyleElement type="firstRowSubheading" dxfId="16414"/>
      <tableStyleElement type="secondRowSubheading" dxfId="16413"/>
      <tableStyleElement type="pageFieldLabels" dxfId="16412"/>
      <tableStyleElement type="pageFieldValues" dxfId="16411"/>
    </tableStyle>
  </tableStyles>
  <colors>
    <mruColors>
      <color rgb="FF9CFAE4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02A6F3-F2C8-4A21-822A-B11383E3152D}" name="Table1" displayName="Table1" ref="A92:C113" totalsRowShown="0" headerRowDxfId="16410" headerRowBorderDxfId="16409" tableBorderDxfId="16408" totalsRowBorderDxfId="16407">
  <tableColumns count="3">
    <tableColumn id="1" xr3:uid="{C9B58A5C-6054-43C1-89BC-ED3A9D98501D}" name="Country" dataDxfId="16406"/>
    <tableColumn id="2" xr3:uid="{0466A94E-B725-45EB-9461-55B6D3F2F75C}" name="#" dataDxfId="16405"/>
    <tableColumn id="3" xr3:uid="{9F677B43-97F8-4CC6-ABED-EE410C9BEC62}" name="%" dataDxfId="16404">
      <calculatedColumnFormula>B93/(SUM($B$93:$B$113))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C54594-E4D7-4B7F-B02B-BEE9C7117134}" name="Table4" displayName="Table4" ref="A1:XFD49" totalsRowShown="0" headerRowDxfId="16403" dataDxfId="16402">
  <autoFilter ref="A1:XFD49" xr:uid="{9DC54594-E4D7-4B7F-B02B-BEE9C7117134}"/>
  <tableColumns count="16384">
    <tableColumn id="1" xr3:uid="{6E2304CD-0575-4D46-BB72-69B3ECC6F98B}" name="Unit" dataDxfId="16401"/>
    <tableColumn id="2" xr3:uid="{E3D02E2C-9B3D-4BE1-BD40-542CFDCE380B}" name="Fraction" dataDxfId="16400"/>
    <tableColumn id="3" xr3:uid="{6EEBF8AE-9AF5-4E5C-B752-12EB7890F72C}" name="Type" dataDxfId="16399"/>
    <tableColumn id="4" xr3:uid="{FED5E7EB-268F-402F-982C-2BE7E807A72A}" name="Layout" dataDxfId="16398"/>
    <tableColumn id="5" xr3:uid="{F4D6274F-221B-4033-85F4-1BC06244B07F}" name="Floor" dataDxfId="16397"/>
    <tableColumn id="6" xr3:uid="{0070EAAF-2E1E-48AA-9551-478F3D42977D}" name="Directions" dataDxfId="16396"/>
    <tableColumn id="7" xr3:uid="{0DA9DE6A-1247-4745-B4FE-2070B80F9C8F}" name="Main area" dataDxfId="16395"/>
    <tableColumn id="8" xr3:uid="{CDF050B8-6A6B-4366-9AAB-A24A7EB3ECF3}" name="Balcony" dataDxfId="16394"/>
    <tableColumn id="9" xr3:uid="{C89F0A3C-9FDE-47D9-A3D0-12FDDAD5984D}" name="Terrace" dataDxfId="16393"/>
    <tableColumn id="10" xr3:uid="{1AC65C62-CD77-44A2-9AB1-AB52B047FD31}" name="Garden" dataDxfId="16392"/>
    <tableColumn id="11" xr3:uid="{952E1E7F-A27A-4892-8EFB-726701A63193}" name="Saleable Area " dataDxfId="16391">
      <calculatedColumnFormula>G2+H2*0.3+Table4[[#This Row],[Terrace]]*0.2</calculatedColumnFormula>
    </tableColumn>
    <tableColumn id="12" xr3:uid="{DDF03411-4679-41AB-B3DB-3C1EAFD09A1E}" name="Parking 1" dataDxfId="16390"/>
    <tableColumn id="13" xr3:uid="{5447841E-D33F-4DB8-A388-9BF1322339AB}" name="Parking 2" dataDxfId="16389"/>
    <tableColumn id="14" xr3:uid="{32064E94-616B-4156-9A0B-E06B3190C712}" name="Parking 3" dataDxfId="16388"/>
    <tableColumn id="15" xr3:uid="{52780B41-8663-432C-A2DB-25B03F7F5F9A}" name="Parking 4" dataDxfId="16387"/>
    <tableColumn id="16" xr3:uid="{B6D104B7-A4B7-40B1-8D48-16D2B358305F}" name="Storage" dataDxfId="16386">
      <calculatedColumnFormula>0.95*Table4[[#This Row],[Min. Price]]</calculatedColumnFormula>
    </tableColumn>
    <tableColumn id="17" xr3:uid="{984EAD0A-FB3F-437C-8000-C2C728EE7F90}" name="Status" dataDxfId="16385"/>
    <tableColumn id="18" xr3:uid="{1ACEE4F4-956C-4226-8B5B-1B4877FD0338}" name="Closing Price" dataDxfId="16384"/>
    <tableColumn id="19" xr3:uid="{FC4B24D1-13C3-4C11-8F8F-F8150EF3FD6A}" name="Min. Price" dataDxfId="16383"/>
    <tableColumn id="20" xr3:uid="{174ACBA5-12E9-4132-98DA-1F12D1C41778}" name="Asking Price" dataDxfId="16382"/>
    <tableColumn id="21" xr3:uid="{19F12C18-68B0-4688-9F4F-1AD9DC935432}" name="€/m² sold" dataDxfId="16381">
      <calculatedColumnFormula>Table4[[#This Row],[Closing Price]]/Table4[[#This Row],[Saleable Area ]]</calculatedColumnFormula>
    </tableColumn>
    <tableColumn id="22" xr3:uid="{AAAB95AD-AEA9-41FB-A35E-F52E2D96D701}" name="€/m² min price price" dataDxfId="16380">
      <calculatedColumnFormula>Table4[[#This Row],[Min. Price]]/Table4[[#This Row],[Saleable Area ]]</calculatedColumnFormula>
    </tableColumn>
    <tableColumn id="23" xr3:uid="{EFD76DB6-386A-4BFE-AE96-C54191E49019}" name="€/m² asking price" dataDxfId="16379">
      <calculatedColumnFormula>Table4[[#This Row],[Asking Price]]/Table4[[#This Row],[Saleable Area ]]</calculatedColumnFormula>
    </tableColumn>
    <tableColumn id="24" xr3:uid="{A3422E20-E50B-4AD9-B25D-533952CC6277}" name="% discount" dataDxfId="16378">
      <calculatedColumnFormula>1-(Table4[[#This Row],[Closing Price]]/Table4[[#This Row],[Asking Price]])</calculatedColumnFormula>
    </tableColumn>
    <tableColumn id="25" xr3:uid="{C6F5CF6A-8FE7-4F2C-A140-A2BC4A54C0EA}" name="Date of Reservation" dataDxfId="16377"/>
    <tableColumn id="26" xr3:uid="{82280D58-EEC6-4CD6-A79F-0426E0C9E8E9}" name="Date of CPCV" dataDxfId="16376"/>
    <tableColumn id="27" xr3:uid="{A43D3105-5A2F-47FB-A695-9AF913D8F7B8}" name="CPCV Value" dataDxfId="16375"/>
    <tableColumn id="28" xr3:uid="{B5F97D90-0362-40BE-994A-ECE9C5848BF1}" name="1st down payment" dataDxfId="16374"/>
    <tableColumn id="29" xr3:uid="{1D8C7E75-B46A-443B-8AB0-0129895B0282}" name="Date 1st down pmt." dataDxfId="16373"/>
    <tableColumn id="30" xr3:uid="{D9C8342C-4189-4658-A39A-FFB6F34D3B11}" name="2nd down payment" dataDxfId="16372"/>
    <tableColumn id="31" xr3:uid="{B08ACC27-C9D0-4D50-BEC3-AA991C65B213}" name="Date 2nd down pmt." dataDxfId="16371"/>
    <tableColumn id="32" xr3:uid="{C0192822-DF33-4162-80F1-CBF13DF9A49B}" name="Deed" dataDxfId="16370"/>
    <tableColumn id="33" xr3:uid="{FDCE4224-93F8-4004-A450-1190B63A0DE9}" name="Brokers company" dataDxfId="16369"/>
    <tableColumn id="34" xr3:uid="{57567ABB-7858-4512-B918-E0772AC4D2A6}" name="Broker" dataDxfId="16368"/>
    <tableColumn id="35" xr3:uid="{247F977B-0870-412F-B164-CB08A3E5205A}" name="% Commission" dataDxfId="16367"/>
    <tableColumn id="36" xr3:uid="{9F001804-FA59-4254-B8C3-80DC0EC5C830}" name="PO TRANQUIL" dataDxfId="16366"/>
    <tableColumn id="37" xr3:uid="{A447B658-613F-4BF0-B873-A9E8C696B729}" name="PO EMPRIL" dataDxfId="16365"/>
    <tableColumn id="38" xr3:uid="{9C521BA3-AB3F-447E-AD37-F37F59BBE5F7}" name="EMPRIL Invoice sent?" dataDxfId="16364"/>
    <tableColumn id="39" xr3:uid="{878E18F0-6DFF-4D81-A9A2-2BEFC18BE5FB}" name="EMPRIL Invoice Paid?" dataDxfId="16363"/>
    <tableColumn id="40" xr3:uid="{2B3ED448-F65B-4203-94E2-723AFAE8D1F9}" name="PO GLOBALKEY" dataDxfId="16362"/>
    <tableColumn id="41" xr3:uid="{29C7FF11-6422-456A-AEDA-AF2FDD8EFDD3}" name="GK Invoice sent?" dataDxfId="16361"/>
    <tableColumn id="42" xr3:uid="{6F7C6C64-7A0D-4531-BE0E-5AC163571F01}" name="GK Invoice Paid?" dataDxfId="16360"/>
    <tableColumn id="43" xr3:uid="{54D14629-AECC-44C6-8C9C-BAD5B15B7796}" name="Client" dataDxfId="16359"/>
    <tableColumn id="44" xr3:uid="{4AA6B28A-23F7-47C8-96FE-A15D50E0EAC2}" name="Client_x000a_Nationality" dataDxfId="16358"/>
    <tableColumn id="45" xr3:uid="{7F924884-0E40-4DB6-AFF7-7504A1C6512D}" name="Cancelled?" dataDxfId="16357"/>
    <tableColumn id="46" xr3:uid="{A7584778-3874-492A-913E-880C8DDC2F48}" name="Why Cancelled?" dataDxfId="16356"/>
    <tableColumn id="47" xr3:uid="{21AE6A8E-1DDF-4206-B3F6-F0B855B4BE5F}" name="Business Plan Price" dataDxfId="16355"/>
    <tableColumn id="48" xr3:uid="{46ADAB35-163A-41E6-8A97-201D2D7B3A71}" name="€/m² Business Plan" dataDxfId="16354"/>
    <tableColumn id="49" xr3:uid="{4094D1AF-6493-462B-A62A-1669F1558399}" name="Column1" dataDxfId="16353"/>
    <tableColumn id="50" xr3:uid="{09ADF3EC-F9FC-4B33-A854-9BA717AF7BC1}" name="Column2" dataDxfId="16352"/>
    <tableColumn id="51" xr3:uid="{4D608688-244C-46B5-B201-DA0BA3E9AB5C}" name="Column3" dataDxfId="16351"/>
    <tableColumn id="52" xr3:uid="{DDAC0B14-831C-4B11-8772-A7564917E029}" name="Column4" dataDxfId="16350"/>
    <tableColumn id="53" xr3:uid="{F0E1EF61-52C1-4E98-B014-06CC547BA1EE}" name="Column5" dataDxfId="16349"/>
    <tableColumn id="54" xr3:uid="{1C3F2FC1-1F97-43EC-A8C4-E465413603D7}" name="Column6" dataDxfId="16348"/>
    <tableColumn id="55" xr3:uid="{2C5E1AC3-F568-473D-A89F-9C961FC95B92}" name="Column7" dataDxfId="16347"/>
    <tableColumn id="56" xr3:uid="{24410586-CA33-4A5A-9FE9-4A8F4C45EF83}" name="Column8" dataDxfId="16346"/>
    <tableColumn id="57" xr3:uid="{FB418C5C-3985-4489-A456-DF93D056B76A}" name="Column9" dataDxfId="16345"/>
    <tableColumn id="58" xr3:uid="{3704F9C2-63D9-4CC4-BA84-8B76E46CDFE6}" name="Column10" dataDxfId="16344"/>
    <tableColumn id="59" xr3:uid="{D3D0B10C-8F69-4EF5-AFE9-C7E515E6624D}" name="Column11" dataDxfId="16343"/>
    <tableColumn id="60" xr3:uid="{F9162D66-781F-4329-920C-FD1305C9F98D}" name="Column12" dataDxfId="16342"/>
    <tableColumn id="61" xr3:uid="{4F4FD280-D046-4CE8-A827-793B164910DA}" name="Column13" dataDxfId="16341"/>
    <tableColumn id="62" xr3:uid="{53C8ADB1-8824-4A31-A3D3-B03E81324AAC}" name="Column14" dataDxfId="16340"/>
    <tableColumn id="63" xr3:uid="{9CF22C7A-01E4-4C72-876E-51B032A6F991}" name="Column15" dataDxfId="16339"/>
    <tableColumn id="64" xr3:uid="{7D4731C5-8E3C-4C2F-B9D5-0E218EBEF2B6}" name="Column16" dataDxfId="16338"/>
    <tableColumn id="65" xr3:uid="{7903880A-8E49-420C-8E27-5F766614D576}" name="Column17" dataDxfId="16337"/>
    <tableColumn id="66" xr3:uid="{8C403579-E000-49C6-87EA-FF874AAA4C09}" name="Column18" dataDxfId="16336"/>
    <tableColumn id="67" xr3:uid="{FEE9BDC9-C56B-4E1E-85F0-57DEC58EFF86}" name="Column19" dataDxfId="16335"/>
    <tableColumn id="68" xr3:uid="{99B26A63-35E5-4EE1-BD12-52BDC960EF16}" name="Column20" dataDxfId="16334"/>
    <tableColumn id="69" xr3:uid="{9F154BC6-3314-44C2-9C9F-FD6A76B0DEC3}" name="Column21" dataDxfId="16333"/>
    <tableColumn id="70" xr3:uid="{AF859B04-D4B4-47A7-8973-D83A884DB879}" name="Column22" dataDxfId="16332"/>
    <tableColumn id="71" xr3:uid="{B2824903-9941-4411-A60D-104F777C1F64}" name="Column23" dataDxfId="16331"/>
    <tableColumn id="72" xr3:uid="{FDC6F6A2-B927-48AA-988F-3CA449D42335}" name="Column24" dataDxfId="16330"/>
    <tableColumn id="73" xr3:uid="{C903DFE3-A4D0-44D3-89AA-C6F51B252EC6}" name="Column25" dataDxfId="16329"/>
    <tableColumn id="74" xr3:uid="{2CAF8047-EEC1-48F2-A1C9-EF2AED19FAB2}" name="Column26" dataDxfId="16328"/>
    <tableColumn id="75" xr3:uid="{76D39F34-53E9-4542-BF8C-C24E72EC8008}" name="Column27" dataDxfId="16327"/>
    <tableColumn id="76" xr3:uid="{D01BCE86-D87D-467D-8078-6346649833CC}" name="Column28" dataDxfId="16326"/>
    <tableColumn id="77" xr3:uid="{CDC79758-8C5B-4EEA-9849-FB88CDA30AE2}" name="Column29" dataDxfId="16325"/>
    <tableColumn id="78" xr3:uid="{C625FAF8-7E73-412B-9EBA-1426688D82F5}" name="Column30" dataDxfId="16324"/>
    <tableColumn id="79" xr3:uid="{F8FE01D4-0356-47F7-9AB8-90BF8654163A}" name="Column31" dataDxfId="16323"/>
    <tableColumn id="80" xr3:uid="{64084416-B776-438E-863F-36AD5E170902}" name="Column32" dataDxfId="16322"/>
    <tableColumn id="81" xr3:uid="{733C0A2F-4785-49F7-8072-65C5FC55E5FE}" name="Column33" dataDxfId="16321"/>
    <tableColumn id="82" xr3:uid="{E75FCA0F-CDFA-4698-8078-AEAE115822A9}" name="Column34" dataDxfId="16320"/>
    <tableColumn id="83" xr3:uid="{4936C2D1-5D5A-4E40-AD28-BEBE7DA9328C}" name="Column35" dataDxfId="16319"/>
    <tableColumn id="84" xr3:uid="{CDED1D1B-E919-4806-8195-AB079A68D729}" name="Column36" dataDxfId="16318"/>
    <tableColumn id="85" xr3:uid="{FB364C0E-9A05-43C8-A165-BF80C0738AEE}" name="Column37" dataDxfId="16317"/>
    <tableColumn id="86" xr3:uid="{3D8E9FCF-1521-4298-B8E3-B99A0A08CED1}" name="Column38" dataDxfId="16316"/>
    <tableColumn id="87" xr3:uid="{51B72E31-2837-4E24-BBA9-8880752C83CD}" name="Column39" dataDxfId="16315"/>
    <tableColumn id="88" xr3:uid="{C0606AB2-D6AD-42DB-B607-A055D6412394}" name="Column40" dataDxfId="16314"/>
    <tableColumn id="89" xr3:uid="{115C288E-37CF-4674-AD74-54BD5E2F5A29}" name="Column41" dataDxfId="16313"/>
    <tableColumn id="90" xr3:uid="{8C36C135-71C3-41CC-9E4D-68C417AB15FA}" name="Column42" dataDxfId="16312"/>
    <tableColumn id="91" xr3:uid="{0B4C6401-94D3-4050-86EF-940A3B0C2FE3}" name="Column43" dataDxfId="16311"/>
    <tableColumn id="92" xr3:uid="{5C996C7A-CD8E-4612-A3D4-FAE7278E918A}" name="Column44" dataDxfId="16310"/>
    <tableColumn id="93" xr3:uid="{83525032-DA89-4313-A8C7-6F1EB20F6F7A}" name="Column45" dataDxfId="16309"/>
    <tableColumn id="94" xr3:uid="{2E8CE15C-CDE5-486C-BDC8-2573773033A7}" name="Column46" dataDxfId="16308"/>
    <tableColumn id="95" xr3:uid="{51707A68-F80C-4B22-82B6-5396F671FFB8}" name="Column47" dataDxfId="16307"/>
    <tableColumn id="96" xr3:uid="{95D59775-BA52-4E68-B3F6-B37BFCA7E145}" name="Column48" dataDxfId="16306"/>
    <tableColumn id="97" xr3:uid="{604CDD46-83A3-4273-BDD6-2030E16F2930}" name="Column49" dataDxfId="16305"/>
    <tableColumn id="98" xr3:uid="{2000DF11-3EBC-49B6-8782-2AC9ABEF89E5}" name="Column50" dataDxfId="16304"/>
    <tableColumn id="99" xr3:uid="{F11E817F-4E28-4D13-9C96-307F27E32019}" name="Column51" dataDxfId="16303"/>
    <tableColumn id="100" xr3:uid="{C28AAD93-3AB7-4440-B953-C92293C983F6}" name="Column52" dataDxfId="16302"/>
    <tableColumn id="101" xr3:uid="{9F3DE7C5-3BAC-4700-9EBF-71C955C829E2}" name="Column53" dataDxfId="16301"/>
    <tableColumn id="102" xr3:uid="{BF9287B1-C2BF-4F46-AE0B-7BD55E145973}" name="Column54" dataDxfId="16300"/>
    <tableColumn id="103" xr3:uid="{2BA29D07-F031-43AF-A385-CB93266BFC94}" name="Column55" dataDxfId="16299"/>
    <tableColumn id="104" xr3:uid="{52828906-85C4-465E-8EE1-2F6222E031EA}" name="Column56" dataDxfId="16298"/>
    <tableColumn id="105" xr3:uid="{88F85857-5848-4A60-A41D-8982DB85188D}" name="Column57" dataDxfId="16297"/>
    <tableColumn id="106" xr3:uid="{286AC525-1951-4DBD-975A-7E7B14B8F8DB}" name="Column58" dataDxfId="16296"/>
    <tableColumn id="107" xr3:uid="{27AA8038-A8F5-4244-BE06-38C39F07DBE5}" name="Column59" dataDxfId="16295"/>
    <tableColumn id="108" xr3:uid="{FE594319-7B2C-45A6-9FFB-083F39213633}" name="Column60" dataDxfId="16294"/>
    <tableColumn id="109" xr3:uid="{BFB90D15-7AD7-4B1A-8145-249FBD0AC1B1}" name="Column61" dataDxfId="16293"/>
    <tableColumn id="110" xr3:uid="{F51549AF-BEFE-4A2A-9067-31EF16558AF9}" name="Column62" dataDxfId="16292"/>
    <tableColumn id="111" xr3:uid="{6F264A4D-7351-46F2-90BC-BA203884E2C1}" name="Column63" dataDxfId="16291"/>
    <tableColumn id="112" xr3:uid="{E9FB840E-D3C7-4E3B-A7BD-CD93F7B37221}" name="Column64" dataDxfId="16290"/>
    <tableColumn id="113" xr3:uid="{FCB36DE8-0C8A-4A6A-A3B1-37B816358590}" name="Column65" dataDxfId="16289"/>
    <tableColumn id="114" xr3:uid="{5024428C-C1FB-44C0-B880-FDD67D427A91}" name="Column66" dataDxfId="16288"/>
    <tableColumn id="115" xr3:uid="{15BD1A00-4C72-4333-801F-B3AC993DBDBD}" name="Column67" dataDxfId="16287"/>
    <tableColumn id="116" xr3:uid="{C9D8C2A1-16F4-4CD0-90E3-7BA2A0674A21}" name="Column68" dataDxfId="16286"/>
    <tableColumn id="117" xr3:uid="{7DC63D1F-CE84-426E-9E54-3F1CE987A1A5}" name="Column69" dataDxfId="16285"/>
    <tableColumn id="118" xr3:uid="{F1A84360-089B-4E57-AF06-DE42C11ED15B}" name="Column70" dataDxfId="16284"/>
    <tableColumn id="119" xr3:uid="{342AF436-2B33-4195-9DF7-BD2D500450C3}" name="Column71" dataDxfId="16283"/>
    <tableColumn id="120" xr3:uid="{C7215F64-ABA6-47CB-A1AC-F733C6A09CF1}" name="Column72" dataDxfId="16282"/>
    <tableColumn id="121" xr3:uid="{D407B15F-ABE2-40B6-88B5-2F36024596B0}" name="Column73" dataDxfId="16281"/>
    <tableColumn id="122" xr3:uid="{816D541B-1B27-45D3-AD81-F4576E67D5B3}" name="Column74" dataDxfId="16280"/>
    <tableColumn id="123" xr3:uid="{A1566914-F06F-46DE-A985-00913054CC9E}" name="Column75" dataDxfId="16279"/>
    <tableColumn id="124" xr3:uid="{DE8389F8-DC23-4D09-8440-6FB57CFB0AF0}" name="Column76" dataDxfId="16278"/>
    <tableColumn id="125" xr3:uid="{50A68D13-3140-4AD2-8583-13824672186C}" name="Column77" dataDxfId="16277"/>
    <tableColumn id="126" xr3:uid="{ED1D206C-BD23-403B-885A-BD4FCA522459}" name="Column78" dataDxfId="16276"/>
    <tableColumn id="127" xr3:uid="{AA9BEEA4-32C4-43DE-B285-964EE055E28F}" name="Column79" dataDxfId="16275"/>
    <tableColumn id="128" xr3:uid="{190169FA-81B4-4DE7-B45F-FC2DC4C022C5}" name="Column80" dataDxfId="16274"/>
    <tableColumn id="129" xr3:uid="{891DC926-D3A7-424D-9783-9A33008BA58B}" name="Column81" dataDxfId="16273"/>
    <tableColumn id="130" xr3:uid="{142CEDCA-CA38-487F-84D1-7DD080CE398C}" name="Column82" dataDxfId="16272"/>
    <tableColumn id="131" xr3:uid="{9876FED3-755B-4606-B522-C32450927839}" name="Column83" dataDxfId="16271"/>
    <tableColumn id="132" xr3:uid="{7C064507-8B8B-4061-A0F1-BAF6B6DA26F4}" name="Column84" dataDxfId="16270"/>
    <tableColumn id="133" xr3:uid="{10486138-CF5C-499C-BA6A-7820C2B1C8B8}" name="Column85" dataDxfId="16269"/>
    <tableColumn id="134" xr3:uid="{8B436A2F-D45D-44AA-BBBE-C8AD01033C53}" name="Column86" dataDxfId="16268"/>
    <tableColumn id="135" xr3:uid="{30B93F9E-F0FA-459B-BF0C-A148DAAFD95D}" name="Column87" dataDxfId="16267"/>
    <tableColumn id="136" xr3:uid="{0003531C-D453-4C57-B22A-B8E6B84F908C}" name="Column88" dataDxfId="16266"/>
    <tableColumn id="137" xr3:uid="{17C13FBC-0C8E-4597-9E06-25B4331AD51F}" name="Column89" dataDxfId="16265"/>
    <tableColumn id="138" xr3:uid="{25016E11-BC8A-4B31-BB53-1F0BDA633C17}" name="Column90" dataDxfId="16264"/>
    <tableColumn id="139" xr3:uid="{8E6C4575-DC8F-43D9-845E-E252650BA995}" name="Column91" dataDxfId="16263"/>
    <tableColumn id="140" xr3:uid="{CF7DA8E4-3D9B-4B43-8302-CFF275932903}" name="Column92" dataDxfId="16262"/>
    <tableColumn id="141" xr3:uid="{AA212704-829D-4177-9CB7-F76022615218}" name="Column93" dataDxfId="16261"/>
    <tableColumn id="142" xr3:uid="{F74FA0C9-D921-494F-A199-B149A3194A32}" name="Column94" dataDxfId="16260"/>
    <tableColumn id="143" xr3:uid="{348796AA-1752-4915-B871-FE6CC5CE7DC2}" name="Column95" dataDxfId="16259"/>
    <tableColumn id="144" xr3:uid="{332A704D-130E-4673-9945-E84C1313F2C2}" name="Column96" dataDxfId="16258"/>
    <tableColumn id="145" xr3:uid="{44F7DD2B-024E-49F8-B269-FBDBF8BF5AED}" name="Column97" dataDxfId="16257"/>
    <tableColumn id="146" xr3:uid="{739C81D5-6EAF-419E-82F3-73BAE71FBA27}" name="Column98" dataDxfId="16256"/>
    <tableColumn id="147" xr3:uid="{295E3641-8B28-47E6-869E-5A01D53325B5}" name="Column99" dataDxfId="16255"/>
    <tableColumn id="148" xr3:uid="{6270B78B-2E39-440B-9718-6BA1EDB5B13D}" name="Column100" dataDxfId="16254"/>
    <tableColumn id="149" xr3:uid="{D7A1FD7F-58F1-453C-966B-1A4B8C27F111}" name="Column101" dataDxfId="16253"/>
    <tableColumn id="150" xr3:uid="{DEFFD517-7F79-483B-B812-938F34D02CD7}" name="Column102" dataDxfId="16252"/>
    <tableColumn id="151" xr3:uid="{64809E25-D718-4BAF-A605-D49C0A5C8B9D}" name="Column103" dataDxfId="16251"/>
    <tableColumn id="152" xr3:uid="{6FF72012-7032-4E2C-84CB-80F18D5DAE6D}" name="Column104" dataDxfId="16250"/>
    <tableColumn id="153" xr3:uid="{6838CD7F-DF5B-412B-AC94-7E06AB9DF954}" name="Column105" dataDxfId="16249"/>
    <tableColumn id="154" xr3:uid="{5680CDF6-8681-4E3A-80F8-06E3DA019DBA}" name="Column106" dataDxfId="16248"/>
    <tableColumn id="155" xr3:uid="{D30DE34A-2FC4-4208-9D45-3763C85FF28B}" name="Column107" dataDxfId="16247"/>
    <tableColumn id="156" xr3:uid="{64D5063F-9723-4A37-AB63-53C24A305A9F}" name="Column108" dataDxfId="16246"/>
    <tableColumn id="157" xr3:uid="{0BFF0F27-513A-4DDE-A16F-DBA3E8119C57}" name="Column109" dataDxfId="16245"/>
    <tableColumn id="158" xr3:uid="{CD57C1B4-B7BF-45F3-AB67-F49036163D1D}" name="Column110" dataDxfId="16244"/>
    <tableColumn id="159" xr3:uid="{716E6FDF-94A2-42C3-882F-B3845D307C93}" name="Column111" dataDxfId="16243"/>
    <tableColumn id="160" xr3:uid="{8F9B7CB3-F979-4D4C-9D16-4964FC7BE9BD}" name="Column112" dataDxfId="16242"/>
    <tableColumn id="161" xr3:uid="{A8E1EA6A-7F04-4389-933F-C84FFA549EDB}" name="Column113" dataDxfId="16241"/>
    <tableColumn id="162" xr3:uid="{F71EB06B-4A47-468E-BBAE-012FE6E17445}" name="Column114" dataDxfId="16240"/>
    <tableColumn id="163" xr3:uid="{49C7793A-46AB-4FA4-97B1-59003D516C17}" name="Column115" dataDxfId="16239"/>
    <tableColumn id="164" xr3:uid="{FBA7F8ED-6129-48C6-A925-E3D587F2EC6A}" name="Column116" dataDxfId="16238"/>
    <tableColumn id="165" xr3:uid="{CDBA73AE-BD5D-4A18-91F0-76186A9EBC51}" name="Column117" dataDxfId="16237"/>
    <tableColumn id="166" xr3:uid="{7021E8DA-4C19-4EA0-A079-E1D24CF4BDFB}" name="Column118" dataDxfId="16236"/>
    <tableColumn id="167" xr3:uid="{21182E1C-B8C2-4C48-BB35-B2B45800208B}" name="Column119" dataDxfId="16235"/>
    <tableColumn id="168" xr3:uid="{E111E852-E594-4377-B294-FD761322D46F}" name="Column120" dataDxfId="16234"/>
    <tableColumn id="169" xr3:uid="{9EC6A704-F5BA-40BD-906F-AA9297BBECF5}" name="Column121" dataDxfId="16233"/>
    <tableColumn id="170" xr3:uid="{44F4A929-E60E-4D2F-A559-D2E374A57628}" name="Column122" dataDxfId="16232"/>
    <tableColumn id="171" xr3:uid="{D636FB6D-75EE-45E9-8CF1-E28A45590E92}" name="Column123" dataDxfId="16231"/>
    <tableColumn id="172" xr3:uid="{D1C3F948-47B9-4867-9FE6-D02811C0027C}" name="Column124" dataDxfId="16230"/>
    <tableColumn id="173" xr3:uid="{2B03EE7B-D352-4380-A54E-D3C95237EACD}" name="Column125" dataDxfId="16229"/>
    <tableColumn id="174" xr3:uid="{D776DB80-A142-4CB7-B472-AF72C40E5752}" name="Column126" dataDxfId="16228"/>
    <tableColumn id="175" xr3:uid="{FE503337-7E16-42A9-981D-E7D7EF5705B0}" name="Column127" dataDxfId="16227"/>
    <tableColumn id="176" xr3:uid="{B967CDD6-D1F6-4469-A02A-7BAF51C602E9}" name="Column128" dataDxfId="16226"/>
    <tableColumn id="177" xr3:uid="{72F71800-4D00-4003-99B6-EB774B8ADE7C}" name="Column129" dataDxfId="16225"/>
    <tableColumn id="178" xr3:uid="{DB3D579C-E569-4DD0-92EB-964D850DD8D6}" name="Column130" dataDxfId="16224"/>
    <tableColumn id="179" xr3:uid="{E53FE20D-3636-4F86-A699-BC7754A0BA85}" name="Column131" dataDxfId="16223"/>
    <tableColumn id="180" xr3:uid="{FFA3DD0A-2EC6-48AC-AC53-31608E85CC34}" name="Column132" dataDxfId="16222"/>
    <tableColumn id="181" xr3:uid="{91C809B1-4483-48EA-8894-D98416CFA182}" name="Column133" dataDxfId="16221"/>
    <tableColumn id="182" xr3:uid="{9BE460A3-C25F-4159-8EED-87A15C0C256F}" name="Column134" dataDxfId="16220"/>
    <tableColumn id="183" xr3:uid="{D9135BFE-CF6D-4712-A371-B3F2C838C644}" name="Column135" dataDxfId="16219"/>
    <tableColumn id="184" xr3:uid="{AD6B84DE-7456-44E1-AB27-76E94CD7384F}" name="Column136" dataDxfId="16218"/>
    <tableColumn id="185" xr3:uid="{E180124A-86B6-4ECD-A83F-6BA6DC62F90E}" name="Column137" dataDxfId="16217"/>
    <tableColumn id="186" xr3:uid="{BF97A813-AF7D-40D5-B64C-94ABEC2248A6}" name="Column138" dataDxfId="16216"/>
    <tableColumn id="187" xr3:uid="{028E381A-643D-4C8B-B0B9-21BE0EFF6565}" name="Column139" dataDxfId="16215"/>
    <tableColumn id="188" xr3:uid="{A05D52FB-7434-4816-A336-B565DA9FEF5A}" name="Column140" dataDxfId="16214"/>
    <tableColumn id="189" xr3:uid="{D92900D9-03C9-4D7E-A898-777A5D2CFBAE}" name="Column141" dataDxfId="16213"/>
    <tableColumn id="190" xr3:uid="{B0A98366-2D16-4BC4-9E0B-8D9615D78B14}" name="Column142" dataDxfId="16212"/>
    <tableColumn id="191" xr3:uid="{13BD1DFC-BA5C-4CB9-AEA6-956B52315459}" name="Column143" dataDxfId="16211"/>
    <tableColumn id="192" xr3:uid="{FB7A1F23-38C3-4E4A-8BE5-B4977E316C97}" name="Column144" dataDxfId="16210"/>
    <tableColumn id="193" xr3:uid="{E98CE44D-5CC5-470C-A3E7-148E5776DAB2}" name="Column145" dataDxfId="16209"/>
    <tableColumn id="194" xr3:uid="{58D0CAC4-141F-4EB4-B8BF-02CBB5656F93}" name="Column146" dataDxfId="16208"/>
    <tableColumn id="195" xr3:uid="{27DC5B9F-C105-4ACD-9329-498DA65D2700}" name="Column147" dataDxfId="16207"/>
    <tableColumn id="196" xr3:uid="{8A033580-9063-48BE-807A-2CAD2474A097}" name="Column148" dataDxfId="16206"/>
    <tableColumn id="197" xr3:uid="{EE42F8AA-577A-45F5-A111-B1B032D290DB}" name="Column149" dataDxfId="16205"/>
    <tableColumn id="198" xr3:uid="{6C6133D0-2355-45AC-A1F3-D510C5ABAC12}" name="Column150" dataDxfId="16204"/>
    <tableColumn id="199" xr3:uid="{7D8B4FB9-4E75-40CA-AD06-7787795B0E38}" name="Column151" dataDxfId="16203"/>
    <tableColumn id="200" xr3:uid="{A9020858-CED6-4769-8D7B-8A2A7E97DA37}" name="Column152" dataDxfId="16202"/>
    <tableColumn id="201" xr3:uid="{19CCABFB-D7D9-467A-968B-4291DB99CFD5}" name="Column153" dataDxfId="16201"/>
    <tableColumn id="202" xr3:uid="{315C5417-D185-48E8-9F0D-BFE55B499BB4}" name="Column154" dataDxfId="16200"/>
    <tableColumn id="203" xr3:uid="{73883414-7652-46D0-85DA-C673A87E981F}" name="Column155" dataDxfId="16199"/>
    <tableColumn id="204" xr3:uid="{79D24A62-A541-4EFF-8260-5A4A8D8F3BF6}" name="Column156" dataDxfId="16198"/>
    <tableColumn id="205" xr3:uid="{D8414C68-C8A9-4F62-A64E-8A111D10059E}" name="Column157" dataDxfId="16197"/>
    <tableColumn id="206" xr3:uid="{7FA43CCA-27C8-4235-8413-2265B9A540FD}" name="Column158" dataDxfId="16196"/>
    <tableColumn id="207" xr3:uid="{858D9237-A793-4455-83CE-615AC3360A52}" name="Column159" dataDxfId="16195"/>
    <tableColumn id="208" xr3:uid="{BA9342A6-0E74-42F4-AB81-013829463EFD}" name="Column160" dataDxfId="16194"/>
    <tableColumn id="209" xr3:uid="{7B9206B3-8A5E-47B2-8D72-96301EC84425}" name="Column161" dataDxfId="16193"/>
    <tableColumn id="210" xr3:uid="{BBFE94A9-EFDB-4E87-95BD-5AB8C130BFCB}" name="Column162" dataDxfId="16192"/>
    <tableColumn id="211" xr3:uid="{5B6AE993-45BE-4EF9-9BA4-411971EB63D6}" name="Column163" dataDxfId="16191"/>
    <tableColumn id="212" xr3:uid="{46672586-AAAA-4E97-99FA-A0845BC2FAA3}" name="Column164" dataDxfId="16190"/>
    <tableColumn id="213" xr3:uid="{7670BAF8-2E70-4135-9690-0D9AA6D936A7}" name="Column165" dataDxfId="16189"/>
    <tableColumn id="214" xr3:uid="{6C665C3A-6667-4DD3-88DE-636B9D6F0B1A}" name="Column166" dataDxfId="16188"/>
    <tableColumn id="215" xr3:uid="{7590EE72-795D-4D16-8017-DFD34E3AADE0}" name="Column167" dataDxfId="16187"/>
    <tableColumn id="216" xr3:uid="{6615A2D6-80B6-4112-8356-FA9BFCF7DB67}" name="Column168" dataDxfId="16186"/>
    <tableColumn id="217" xr3:uid="{39ABC308-1DEA-4ADA-A981-A4EF7C70922F}" name="Column169" dataDxfId="16185"/>
    <tableColumn id="218" xr3:uid="{B6AA1611-0F9E-47DF-B51F-8DD0D7F99BA9}" name="Column170" dataDxfId="16184"/>
    <tableColumn id="219" xr3:uid="{1442F4FC-7AD8-49DA-B1FD-2473C3AF0C82}" name="Column171" dataDxfId="16183"/>
    <tableColumn id="220" xr3:uid="{734175D1-A656-4B08-BF89-56851ACF19A2}" name="Column172" dataDxfId="16182"/>
    <tableColumn id="221" xr3:uid="{D5CE2DEF-C550-42CA-B7E9-2C92A553CE21}" name="Column173" dataDxfId="16181"/>
    <tableColumn id="222" xr3:uid="{E3C9DECC-D12C-434A-BC97-23227CFAC34A}" name="Column174" dataDxfId="16180"/>
    <tableColumn id="223" xr3:uid="{4073457E-D9EE-469F-8557-7B376B46E507}" name="Column175" dataDxfId="16179"/>
    <tableColumn id="224" xr3:uid="{D926EB23-8B72-4E18-A5D1-206FE21AF3A7}" name="Column176" dataDxfId="16178"/>
    <tableColumn id="225" xr3:uid="{B77AE419-2E41-4CAD-BB83-35E8E35E8462}" name="Column177" dataDxfId="16177"/>
    <tableColumn id="226" xr3:uid="{843399E5-F277-4695-9122-BA3C0C6250DF}" name="Column178" dataDxfId="16176"/>
    <tableColumn id="227" xr3:uid="{2A871F03-5C64-4942-BC13-E046911D6DCB}" name="Column179" dataDxfId="16175"/>
    <tableColumn id="228" xr3:uid="{BF7339A0-1A71-4FE2-9442-59CFD1A2825E}" name="Column180" dataDxfId="16174"/>
    <tableColumn id="229" xr3:uid="{D002D8DA-FA4E-4E9F-B4A4-5EE6BE580210}" name="Column181" dataDxfId="16173"/>
    <tableColumn id="230" xr3:uid="{938EAEC6-87C8-4E7B-86CF-F2F71DA8C16B}" name="Column182" dataDxfId="16172"/>
    <tableColumn id="231" xr3:uid="{72E8E1E1-672E-461C-9B3C-2D10E10C4108}" name="Column183" dataDxfId="16171"/>
    <tableColumn id="232" xr3:uid="{E6557894-01F9-42C4-9014-F3905ED698AA}" name="Column184" dataDxfId="16170"/>
    <tableColumn id="233" xr3:uid="{998FF142-E3F8-4D6D-94E9-E0FF86B00771}" name="Column185" dataDxfId="16169"/>
    <tableColumn id="234" xr3:uid="{661529F7-743E-4C99-98D0-3D4E27408AB8}" name="Column186" dataDxfId="16168"/>
    <tableColumn id="235" xr3:uid="{2E11A5C8-3CE8-4BED-8678-23C3955BCD67}" name="Column187" dataDxfId="16167"/>
    <tableColumn id="236" xr3:uid="{2C73803D-2768-4B9C-AAA8-0F9B022C270F}" name="Column188" dataDxfId="16166"/>
    <tableColumn id="237" xr3:uid="{5727AC2E-2A28-4275-9768-0B9CEF26B754}" name="Column189" dataDxfId="16165"/>
    <tableColumn id="238" xr3:uid="{0429026E-8CAF-4950-8040-E7E0B6A62435}" name="Column190" dataDxfId="16164"/>
    <tableColumn id="239" xr3:uid="{89333F23-83FF-44E7-BBEC-60FBF81B5E3A}" name="Column191" dataDxfId="16163"/>
    <tableColumn id="240" xr3:uid="{A3B92FE7-A918-40DD-AB61-7DC02260583F}" name="Column192" dataDxfId="16162"/>
    <tableColumn id="241" xr3:uid="{5EB35DFF-3A4A-4743-A7FE-374D22533DDD}" name="Column193" dataDxfId="16161"/>
    <tableColumn id="242" xr3:uid="{528BE9CE-8B89-4332-9D28-B945BFEFA0BF}" name="Column194" dataDxfId="16160"/>
    <tableColumn id="243" xr3:uid="{036C50B8-3388-4D1F-BB26-FAF28B2D23F1}" name="Column195" dataDxfId="16159"/>
    <tableColumn id="244" xr3:uid="{97E4882F-92AA-41D9-B008-58213E361FC4}" name="Column196" dataDxfId="16158"/>
    <tableColumn id="245" xr3:uid="{04B83844-7B3F-4B36-A421-7F85FFB3EA93}" name="Column197" dataDxfId="16157"/>
    <tableColumn id="246" xr3:uid="{9DF42CB2-4E26-46DF-B236-5E34D71452B2}" name="Column198" dataDxfId="16156"/>
    <tableColumn id="247" xr3:uid="{E7FB86C7-00A0-4132-8863-E3EE54803E81}" name="Column199" dataDxfId="16155"/>
    <tableColumn id="248" xr3:uid="{5A6B28AE-3E62-42A4-9FA8-A5332ED16A61}" name="Column200" dataDxfId="16154"/>
    <tableColumn id="249" xr3:uid="{422E731C-4EFB-4C67-9D1B-8F41E36012DD}" name="Column201" dataDxfId="16153"/>
    <tableColumn id="250" xr3:uid="{4288FB6B-7C99-4781-828E-98CDFC62CDB5}" name="Column202" dataDxfId="16152"/>
    <tableColumn id="251" xr3:uid="{5B161C56-5EB6-4806-BDDC-25812D951481}" name="Column203" dataDxfId="16151"/>
    <tableColumn id="252" xr3:uid="{D08091E4-3AC5-401C-9D4E-58A7154E1618}" name="Column204" dataDxfId="16150"/>
    <tableColumn id="253" xr3:uid="{7D83EF11-8E87-4A17-9EE4-77F5C5F81635}" name="Column205" dataDxfId="16149"/>
    <tableColumn id="254" xr3:uid="{2D0D7F3A-559A-4402-9768-4CB8D4A1D172}" name="Column206" dataDxfId="16148"/>
    <tableColumn id="255" xr3:uid="{6243E441-417B-44B8-BDD5-8EA590C5EF65}" name="Column207" dataDxfId="16147"/>
    <tableColumn id="256" xr3:uid="{418AC287-E825-465E-BB12-0DB28278ABA5}" name="Column208" dataDxfId="16146"/>
    <tableColumn id="257" xr3:uid="{E8C3C848-227E-437E-A134-7B87376384EE}" name="Column209" dataDxfId="16145"/>
    <tableColumn id="258" xr3:uid="{A6305D01-3A90-4427-BB9A-278D11006ED1}" name="Column210" dataDxfId="16144"/>
    <tableColumn id="259" xr3:uid="{1408B670-ECDB-4008-9DC2-0E12F060EAA7}" name="Column211" dataDxfId="16143"/>
    <tableColumn id="260" xr3:uid="{9BDBCCF3-0947-4ED2-BB2A-839F1AA116BC}" name="Column212" dataDxfId="16142"/>
    <tableColumn id="261" xr3:uid="{EE065855-3179-4E63-B1DF-F58E2C2C1EA8}" name="Column213" dataDxfId="16141"/>
    <tableColumn id="262" xr3:uid="{2E23A753-3D85-48A2-9C55-58C167BA495B}" name="Column214" dataDxfId="16140"/>
    <tableColumn id="263" xr3:uid="{3AAB0D1A-FE3D-4309-A135-274AA86BDFFC}" name="Column215" dataDxfId="16139"/>
    <tableColumn id="264" xr3:uid="{A197581C-7202-49E0-8268-98B8ECAFBAC8}" name="Column216" dataDxfId="16138"/>
    <tableColumn id="265" xr3:uid="{879C3018-B8DB-420E-8DF8-E606AE4A74AE}" name="Column217" dataDxfId="16137"/>
    <tableColumn id="266" xr3:uid="{2F7F89EB-9963-4BC3-BB36-5441F52BA32A}" name="Column218" dataDxfId="16136"/>
    <tableColumn id="267" xr3:uid="{2A49C3B8-6B54-4423-B902-D5A660B33ADB}" name="Column219" dataDxfId="16135"/>
    <tableColumn id="268" xr3:uid="{FB0F78A6-8CC2-4C91-B801-E065226E7E49}" name="Column220" dataDxfId="16134"/>
    <tableColumn id="269" xr3:uid="{5C870E38-4C52-468F-A553-8EAB285378A4}" name="Column221" dataDxfId="16133"/>
    <tableColumn id="270" xr3:uid="{85EF5D34-AFBE-462A-970C-0CFAF47D40BB}" name="Column222" dataDxfId="16132"/>
    <tableColumn id="271" xr3:uid="{4E953288-5E19-4A57-92B2-627A7093FB8D}" name="Column223" dataDxfId="16131"/>
    <tableColumn id="272" xr3:uid="{E3645AC1-21B6-4DE7-B5BD-B749248905D4}" name="Column224" dataDxfId="16130"/>
    <tableColumn id="273" xr3:uid="{843E00FD-8241-44FD-A7ED-80DB72F35736}" name="Column225" dataDxfId="16129"/>
    <tableColumn id="274" xr3:uid="{CB755862-4B22-417A-804F-E79F70DEF368}" name="Column226" dataDxfId="16128"/>
    <tableColumn id="275" xr3:uid="{25C4F979-D8A6-4D66-85D2-7D0AD66905B8}" name="Column227" dataDxfId="16127"/>
    <tableColumn id="276" xr3:uid="{75574067-8034-4B01-8B11-D7218FAC563D}" name="Column228" dataDxfId="16126"/>
    <tableColumn id="277" xr3:uid="{1235C6DD-B2AF-4CDB-84C9-B3D5CF3C76D3}" name="Column229" dataDxfId="16125"/>
    <tableColumn id="278" xr3:uid="{EA9F4EC9-7FF1-4912-A81F-7E32A7EA2927}" name="Column230" dataDxfId="16124"/>
    <tableColumn id="279" xr3:uid="{87622BD3-9E4E-437E-BE8D-EEA901F49B05}" name="Column231" dataDxfId="16123"/>
    <tableColumn id="280" xr3:uid="{6B3D9E01-6F1A-4B6E-8A84-B7F94B68F49B}" name="Column232" dataDxfId="16122"/>
    <tableColumn id="281" xr3:uid="{E47BD0B4-1CE8-4B63-BDF7-E714A0CA39BA}" name="Column233" dataDxfId="16121"/>
    <tableColumn id="282" xr3:uid="{40B59E37-7D91-41B7-8B88-EBE1019FCB92}" name="Column234" dataDxfId="16120"/>
    <tableColumn id="283" xr3:uid="{4AFD407E-E7BD-4E34-B590-97887DB14036}" name="Column235" dataDxfId="16119"/>
    <tableColumn id="284" xr3:uid="{FF50899C-ED13-46CE-881A-658B637EAB0C}" name="Column236" dataDxfId="16118"/>
    <tableColumn id="285" xr3:uid="{3D44A5AF-F3FA-4F85-84A4-8F4E867EBC97}" name="Column237" dataDxfId="16117"/>
    <tableColumn id="286" xr3:uid="{FCAE28CD-190A-482C-AEB1-37013B8A4F82}" name="Column238" dataDxfId="16116"/>
    <tableColumn id="287" xr3:uid="{44752D99-C1E4-4355-8AE0-8E022B59DB49}" name="Column239" dataDxfId="16115"/>
    <tableColumn id="288" xr3:uid="{5A2F047C-F049-4A89-AFB1-4FFCBA69BC2C}" name="Column240" dataDxfId="16114"/>
    <tableColumn id="289" xr3:uid="{066F486D-4205-4AFB-BCD3-D164584CB49F}" name="Column241" dataDxfId="16113"/>
    <tableColumn id="290" xr3:uid="{A452F992-CD05-4FE6-BFA8-9CA28DC491C7}" name="Column242" dataDxfId="16112"/>
    <tableColumn id="291" xr3:uid="{06C16285-118D-4348-9DC8-1C6DF1B88565}" name="Column243" dataDxfId="16111"/>
    <tableColumn id="292" xr3:uid="{B55E047D-ADAF-46A8-A1C9-C9CE1BB61037}" name="Column244" dataDxfId="16110"/>
    <tableColumn id="293" xr3:uid="{E224E41C-B5C6-43EB-BB59-28E5DE714F1F}" name="Column245" dataDxfId="16109"/>
    <tableColumn id="294" xr3:uid="{C88147C4-46E6-4E9E-AF21-F03290992891}" name="Column246" dataDxfId="16108"/>
    <tableColumn id="295" xr3:uid="{1CB77462-FE34-433F-9C59-E8B4F7F42E25}" name="Column247" dataDxfId="16107"/>
    <tableColumn id="296" xr3:uid="{36E27DD3-2D5E-45DC-9EA2-F2A9A48BC7AA}" name="Column248" dataDxfId="16106"/>
    <tableColumn id="297" xr3:uid="{D2E118BA-C35F-4CEF-9F70-A47327A0D5FC}" name="Column249" dataDxfId="16105"/>
    <tableColumn id="298" xr3:uid="{4B910822-5CDA-4CD1-9E36-5534C95277A2}" name="Column250" dataDxfId="16104"/>
    <tableColumn id="299" xr3:uid="{B724E56B-FA5A-4030-98DA-B6BEAC8851D0}" name="Column251" dataDxfId="16103"/>
    <tableColumn id="300" xr3:uid="{400CC01D-950A-4461-BEC1-520CC53A5741}" name="Column252" dataDxfId="16102"/>
    <tableColumn id="301" xr3:uid="{7CC31588-07FC-47A8-A694-7D4CF0FB48FB}" name="Column253" dataDxfId="16101"/>
    <tableColumn id="302" xr3:uid="{CC7223D6-5A94-4706-BEAD-41E1A59ACE82}" name="Column254" dataDxfId="16100"/>
    <tableColumn id="303" xr3:uid="{34FD40BE-FB7B-4D6D-B73F-018ECFE6FE67}" name="Column255" dataDxfId="16099"/>
    <tableColumn id="304" xr3:uid="{10548905-4B82-4BB1-9274-A5183E4E2E68}" name="Column256" dataDxfId="16098"/>
    <tableColumn id="305" xr3:uid="{FA6A0385-0087-43DA-B27A-7ED595500829}" name="Column257" dataDxfId="16097"/>
    <tableColumn id="306" xr3:uid="{9227A177-CEA6-449B-9A61-740D117F052D}" name="Column258" dataDxfId="16096"/>
    <tableColumn id="307" xr3:uid="{CEBF351F-98B8-4C8D-A48C-12FB04E8FC6D}" name="Column259" dataDxfId="16095"/>
    <tableColumn id="308" xr3:uid="{9C574BF9-91C2-408A-B767-C9A380DB3599}" name="Column260" dataDxfId="16094"/>
    <tableColumn id="309" xr3:uid="{9E55FA34-8A42-4125-974E-A193077B4652}" name="Column261" dataDxfId="16093"/>
    <tableColumn id="310" xr3:uid="{E955FB04-29B9-4DE0-B705-BE388B5F2F6F}" name="Column262" dataDxfId="16092"/>
    <tableColumn id="311" xr3:uid="{4FCA4975-259A-4516-92AC-53C2333D7F61}" name="Column263" dataDxfId="16091"/>
    <tableColumn id="312" xr3:uid="{E76BFB7B-EF74-4905-9946-261519C96FB8}" name="Column264" dataDxfId="16090"/>
    <tableColumn id="313" xr3:uid="{5575A54C-297F-4DC3-AE95-7EB41B7D4D44}" name="Column265" dataDxfId="16089"/>
    <tableColumn id="314" xr3:uid="{CC1D0CC0-0AAE-4119-84DC-C332B6016B0A}" name="Column266" dataDxfId="16088"/>
    <tableColumn id="315" xr3:uid="{734822D8-8A0C-42EE-BBFF-CA58535C738D}" name="Column267" dataDxfId="16087"/>
    <tableColumn id="316" xr3:uid="{296E0A91-2343-4E16-A863-701588C9BF93}" name="Column268" dataDxfId="16086"/>
    <tableColumn id="317" xr3:uid="{744F7B64-D26B-4FCD-9A23-723134E7D83C}" name="Column269" dataDxfId="16085"/>
    <tableColumn id="318" xr3:uid="{F652EC8B-D9F1-4B4A-8B86-129301A8821D}" name="Column270" dataDxfId="16084"/>
    <tableColumn id="319" xr3:uid="{385347EA-8DE2-4E4C-A21D-4404C6926CEE}" name="Column271" dataDxfId="16083"/>
    <tableColumn id="320" xr3:uid="{997E6B75-5E59-4F81-B3CC-8CA49A15332C}" name="Column272" dataDxfId="16082"/>
    <tableColumn id="321" xr3:uid="{6C74F927-8661-4BB2-BE00-AC0F59E8F717}" name="Column273" dataDxfId="16081"/>
    <tableColumn id="322" xr3:uid="{4B74A059-CA70-4BDD-95F0-F90B2EEEA5FB}" name="Column274" dataDxfId="16080"/>
    <tableColumn id="323" xr3:uid="{3B599EFE-346C-4B99-9165-6049151757E5}" name="Column275" dataDxfId="16079"/>
    <tableColumn id="324" xr3:uid="{5FBB8880-8CAE-45BE-B050-F41E86C6BFA6}" name="Column276" dataDxfId="16078"/>
    <tableColumn id="325" xr3:uid="{6F7B711A-85AC-44F1-8453-E1D492C4213A}" name="Column277" dataDxfId="16077"/>
    <tableColumn id="326" xr3:uid="{034D332D-51ED-4D68-B168-B176F181C49E}" name="Column278" dataDxfId="16076"/>
    <tableColumn id="327" xr3:uid="{7D7DB4BA-F2F9-428B-8D73-9D03851CF7AD}" name="Column279" dataDxfId="16075"/>
    <tableColumn id="328" xr3:uid="{12DB9723-1989-4A9D-889A-314D94C1E9E0}" name="Column280" dataDxfId="16074"/>
    <tableColumn id="329" xr3:uid="{A9CE7585-0E2F-469E-808F-F6B32DA1CACB}" name="Column281" dataDxfId="16073"/>
    <tableColumn id="330" xr3:uid="{C5D26FD2-ED77-4654-B024-CE064CD4649C}" name="Column282" dataDxfId="16072"/>
    <tableColumn id="331" xr3:uid="{BBF1728B-2FCF-4995-8C44-24D3C9D82A3C}" name="Column283" dataDxfId="16071"/>
    <tableColumn id="332" xr3:uid="{0CDE36D7-7A42-40F0-BE9C-3F383DEA2588}" name="Column284" dataDxfId="16070"/>
    <tableColumn id="333" xr3:uid="{CB433CFA-8E88-4DE1-8757-CF80673EFDF9}" name="Column285" dataDxfId="16069"/>
    <tableColumn id="334" xr3:uid="{00DE835E-FC67-46CF-A3A7-9891A7A3A666}" name="Column286" dataDxfId="16068"/>
    <tableColumn id="335" xr3:uid="{D394AACF-B7A2-4446-9DB1-2F19C9118178}" name="Column287" dataDxfId="16067"/>
    <tableColumn id="336" xr3:uid="{50AC3364-9389-4658-93D9-028BA8D40D43}" name="Column288" dataDxfId="16066"/>
    <tableColumn id="337" xr3:uid="{DC32E7D6-5851-4DC9-A816-412F9F77948C}" name="Column289" dataDxfId="16065"/>
    <tableColumn id="338" xr3:uid="{7A392FED-C8D9-4C46-AC5F-05E3DF07AA2B}" name="Column290" dataDxfId="16064"/>
    <tableColumn id="339" xr3:uid="{CBDEF142-098A-4B48-AB90-0F689AE7925B}" name="Column291" dataDxfId="16063"/>
    <tableColumn id="340" xr3:uid="{CC06AE30-E537-4391-AAF3-B0B7545C5914}" name="Column292" dataDxfId="16062"/>
    <tableColumn id="341" xr3:uid="{3EC3BC27-E04B-45D5-A4A9-08ECDA447342}" name="Column293" dataDxfId="16061"/>
    <tableColumn id="342" xr3:uid="{B3289759-0460-471E-96F7-81082D9FDA6A}" name="Column294" dataDxfId="16060"/>
    <tableColumn id="343" xr3:uid="{9FE87084-156B-400A-A750-ADE89C8D4457}" name="Column295" dataDxfId="16059"/>
    <tableColumn id="344" xr3:uid="{C9B4ADE5-0982-4D49-B7BB-A34AA30C36C4}" name="Column296" dataDxfId="16058"/>
    <tableColumn id="345" xr3:uid="{460AE90A-8F4D-4726-90C7-02B39D7373EA}" name="Column297" dataDxfId="16057"/>
    <tableColumn id="346" xr3:uid="{2B882A26-707D-4870-859F-2F6EC6929F6B}" name="Column298" dataDxfId="16056"/>
    <tableColumn id="347" xr3:uid="{F5701214-2521-461D-8D9F-6C29EB987BE0}" name="Column299" dataDxfId="16055"/>
    <tableColumn id="348" xr3:uid="{D11EEAEE-EA41-4D10-95C4-80B620447FC4}" name="Column300" dataDxfId="16054"/>
    <tableColumn id="349" xr3:uid="{2BF04EC7-945D-4855-AE30-98BA1B303895}" name="Column301" dataDxfId="16053"/>
    <tableColumn id="350" xr3:uid="{DE3BE823-034C-4E4C-805B-808A914785A9}" name="Column302" dataDxfId="16052"/>
    <tableColumn id="351" xr3:uid="{2A41A568-A2CB-4D82-BDC1-CE7468F14FAB}" name="Column303" dataDxfId="16051"/>
    <tableColumn id="352" xr3:uid="{584EE19F-0E4A-46DB-B480-0C48638E083A}" name="Column304" dataDxfId="16050"/>
    <tableColumn id="353" xr3:uid="{A07022BC-DA25-4B4F-BE19-3662E3A637AE}" name="Column305" dataDxfId="16049"/>
    <tableColumn id="354" xr3:uid="{93DC9190-E805-48FF-BB30-EEF800837570}" name="Column306" dataDxfId="16048"/>
    <tableColumn id="355" xr3:uid="{F82BE47F-5DC7-4D2B-8D54-4857842DC67F}" name="Column307" dataDxfId="16047"/>
    <tableColumn id="356" xr3:uid="{D981E517-9CAA-4B16-93C7-84FEDBB23A29}" name="Column308" dataDxfId="16046"/>
    <tableColumn id="357" xr3:uid="{FD3DE1E6-C7DA-41E3-B543-F2F5E0B107F5}" name="Column309" dataDxfId="16045"/>
    <tableColumn id="358" xr3:uid="{EDF0A3EC-8B3A-437F-B25D-545E8A05F2EF}" name="Column310" dataDxfId="16044"/>
    <tableColumn id="359" xr3:uid="{0D9755CF-D5A5-4342-A68A-06D1177BF353}" name="Column311" dataDxfId="16043"/>
    <tableColumn id="360" xr3:uid="{7362E45C-A691-4B8F-AA20-F39E94B644F2}" name="Column312" dataDxfId="16042"/>
    <tableColumn id="361" xr3:uid="{225CA4AE-BE4F-4F36-8FCA-DCB666D3E519}" name="Column313" dataDxfId="16041"/>
    <tableColumn id="362" xr3:uid="{998A5E3F-83CC-4880-8D20-602D4C8F1354}" name="Column314" dataDxfId="16040"/>
    <tableColumn id="363" xr3:uid="{C4727860-2F1F-4B20-86A4-C480A388D1E0}" name="Column315" dataDxfId="16039"/>
    <tableColumn id="364" xr3:uid="{9CFF292B-DA07-4180-90EC-82C43A4B027C}" name="Column316" dataDxfId="16038"/>
    <tableColumn id="365" xr3:uid="{B1BE2A69-1C06-47D0-ADD4-8CDA9468A67D}" name="Column317" dataDxfId="16037"/>
    <tableColumn id="366" xr3:uid="{308F2943-14B0-45F2-92D6-037B66606581}" name="Column318" dataDxfId="16036"/>
    <tableColumn id="367" xr3:uid="{66486E16-7728-4B5C-89B4-CA6276983581}" name="Column319" dataDxfId="16035"/>
    <tableColumn id="368" xr3:uid="{387C4FD7-F018-438B-8198-01A38B5E22B5}" name="Column320" dataDxfId="16034"/>
    <tableColumn id="369" xr3:uid="{C8B280F1-925F-4844-BEE1-E9D0CEC6EDD5}" name="Column321" dataDxfId="16033"/>
    <tableColumn id="370" xr3:uid="{2B4F3A20-65AF-4BD1-8D0F-71ED19134C98}" name="Column322" dataDxfId="16032"/>
    <tableColumn id="371" xr3:uid="{E65BE4D8-D106-4D14-8D49-FF8901A0E4FF}" name="Column323" dataDxfId="16031"/>
    <tableColumn id="372" xr3:uid="{0CDD1858-2068-4E59-9666-67052A542010}" name="Column324" dataDxfId="16030"/>
    <tableColumn id="373" xr3:uid="{4392B750-9326-4B16-86DA-67A0BE1FC5E6}" name="Column325" dataDxfId="16029"/>
    <tableColumn id="374" xr3:uid="{E0635686-F7B0-4B98-B566-507BDE2F03AA}" name="Column326" dataDxfId="16028"/>
    <tableColumn id="375" xr3:uid="{9FD2C2C5-3E0A-4542-A574-0D45F165E2D4}" name="Column327" dataDxfId="16027"/>
    <tableColumn id="376" xr3:uid="{B3DB52BB-B4BA-4A17-9219-CCB156ACFBCD}" name="Column328" dataDxfId="16026"/>
    <tableColumn id="377" xr3:uid="{ABCC5588-217F-4998-85DC-7B337CB9001B}" name="Column329" dataDxfId="16025"/>
    <tableColumn id="378" xr3:uid="{D05D0EDC-1BF1-4C94-9061-00B1CCAE885D}" name="Column330" dataDxfId="16024"/>
    <tableColumn id="379" xr3:uid="{270B0F92-3149-49C7-B060-C9C5E9CCF5AF}" name="Column331" dataDxfId="16023"/>
    <tableColumn id="380" xr3:uid="{332EB3F0-CC12-40B5-81E8-6321C08E29E1}" name="Column332" dataDxfId="16022"/>
    <tableColumn id="381" xr3:uid="{C1C0BC78-AD65-4931-A3E6-4FBA987F2F2B}" name="Column333" dataDxfId="16021"/>
    <tableColumn id="382" xr3:uid="{D8839CE6-270B-4383-A9BA-600E38C6A03F}" name="Column334" dataDxfId="16020"/>
    <tableColumn id="383" xr3:uid="{09340FB6-75D1-4A5C-B166-C6DF0A87A055}" name="Column335" dataDxfId="16019"/>
    <tableColumn id="384" xr3:uid="{73002950-2A94-4F08-A574-86283FB526CC}" name="Column336" dataDxfId="16018"/>
    <tableColumn id="385" xr3:uid="{B0841C57-B0D3-4BBF-AAEB-FCB8EF0FEF5E}" name="Column337" dataDxfId="16017"/>
    <tableColumn id="386" xr3:uid="{9CB444BF-45B7-4558-B904-B895FB472E8B}" name="Column338" dataDxfId="16016"/>
    <tableColumn id="387" xr3:uid="{2DA821D7-354A-4608-BF97-3650C096749F}" name="Column339" dataDxfId="16015"/>
    <tableColumn id="388" xr3:uid="{0EFD45A2-5FCA-4D4F-BC1B-C55C27EAF86C}" name="Column340" dataDxfId="16014"/>
    <tableColumn id="389" xr3:uid="{62800522-2EA1-404D-86D6-E226367A80C3}" name="Column341" dataDxfId="16013"/>
    <tableColumn id="390" xr3:uid="{72593F1F-D16F-4FC5-80E6-7C1BB8184C46}" name="Column342" dataDxfId="16012"/>
    <tableColumn id="391" xr3:uid="{0A8E3688-6DEE-4D45-8DFA-2A1F1300827F}" name="Column343" dataDxfId="16011"/>
    <tableColumn id="392" xr3:uid="{BCD20FD7-3CD1-4AC8-9C2E-5C798D0E2DD0}" name="Column344" dataDxfId="16010"/>
    <tableColumn id="393" xr3:uid="{3748769C-0411-487B-9527-34C8AC31D884}" name="Column345" dataDxfId="16009"/>
    <tableColumn id="394" xr3:uid="{926A3334-F46D-451A-A28B-6E0471A99EE4}" name="Column346" dataDxfId="16008"/>
    <tableColumn id="395" xr3:uid="{83AC9B9E-263A-40DA-A6CC-52E43B952E0D}" name="Column347" dataDxfId="16007"/>
    <tableColumn id="396" xr3:uid="{39FB928C-829D-41F2-B08F-413DDCEAAEB4}" name="Column348" dataDxfId="16006"/>
    <tableColumn id="397" xr3:uid="{6C287CEE-9735-4BEC-8563-43EEE299B6CD}" name="Column349" dataDxfId="16005"/>
    <tableColumn id="398" xr3:uid="{59D924E8-B845-409D-9E67-A1AC182DF51A}" name="Column350" dataDxfId="16004"/>
    <tableColumn id="399" xr3:uid="{5845839D-3BC8-4003-8216-F25167103413}" name="Column351" dataDxfId="16003"/>
    <tableColumn id="400" xr3:uid="{CCABE1AA-AD00-4EF7-9FED-596D34E2A041}" name="Column352" dataDxfId="16002"/>
    <tableColumn id="401" xr3:uid="{B7E0DDA5-C11E-48D7-975C-941727754F7C}" name="Column353" dataDxfId="16001"/>
    <tableColumn id="402" xr3:uid="{979CAB0D-66A0-4688-ADF6-A45A38CA8AD2}" name="Column354" dataDxfId="16000"/>
    <tableColumn id="403" xr3:uid="{73CCC7A4-06F0-4D37-90D2-51B756DF363F}" name="Column355" dataDxfId="15999"/>
    <tableColumn id="404" xr3:uid="{65F4FDFE-6310-4FAB-8765-3795C72548CB}" name="Column356" dataDxfId="15998"/>
    <tableColumn id="405" xr3:uid="{E2606460-27BD-49BE-972E-00338247133D}" name="Column357" dataDxfId="15997"/>
    <tableColumn id="406" xr3:uid="{4DB598C8-1E48-445D-BD8C-1608063918FE}" name="Column358" dataDxfId="15996"/>
    <tableColumn id="407" xr3:uid="{04E21CB6-25EE-4004-BD57-BEDE67879EC4}" name="Column359" dataDxfId="15995"/>
    <tableColumn id="408" xr3:uid="{EA309DF3-980B-4928-86B6-C1158244426D}" name="Column360" dataDxfId="15994"/>
    <tableColumn id="409" xr3:uid="{C16891D8-562D-4C6D-8D68-A22856F9188F}" name="Column361" dataDxfId="15993"/>
    <tableColumn id="410" xr3:uid="{C6D007A6-6EFD-4EDD-94AD-5C197E86F06C}" name="Column362" dataDxfId="15992"/>
    <tableColumn id="411" xr3:uid="{7C50C3B3-C2BA-4369-BED3-7EA1E94DE043}" name="Column363" dataDxfId="15991"/>
    <tableColumn id="412" xr3:uid="{F8D77E90-A78C-4090-8DEF-9C725173C284}" name="Column364" dataDxfId="15990"/>
    <tableColumn id="413" xr3:uid="{C90ECE13-C645-45AF-A355-0F95F5817D2B}" name="Column365" dataDxfId="15989"/>
    <tableColumn id="414" xr3:uid="{EF080650-9480-445E-A837-034251E13763}" name="Column366" dataDxfId="15988"/>
    <tableColumn id="415" xr3:uid="{2C71CF7F-D363-4030-AD60-EF2FDDE7832A}" name="Column367" dataDxfId="15987"/>
    <tableColumn id="416" xr3:uid="{9AB46FE1-FCB6-4509-BF57-F6E54C87D1D2}" name="Column368" dataDxfId="15986"/>
    <tableColumn id="417" xr3:uid="{F9224C3C-67D4-4475-A757-282B7410C09F}" name="Column369" dataDxfId="15985"/>
    <tableColumn id="418" xr3:uid="{7E69D0AF-AFA4-4D79-A1C8-71AFEBDF1C94}" name="Column370" dataDxfId="15984"/>
    <tableColumn id="419" xr3:uid="{24B8710B-A9A5-4BBA-92EB-0340C086CDE4}" name="Column371" dataDxfId="15983"/>
    <tableColumn id="420" xr3:uid="{7897D80E-7B3C-47D3-B750-90A24DB74F48}" name="Column372" dataDxfId="15982"/>
    <tableColumn id="421" xr3:uid="{B6C1A733-E1F9-494B-9AF5-BB47016EC856}" name="Column373" dataDxfId="15981"/>
    <tableColumn id="422" xr3:uid="{A1F3EA77-FA24-48F5-8EE1-06249B666556}" name="Column374" dataDxfId="15980"/>
    <tableColumn id="423" xr3:uid="{56ED46EB-68E4-4F98-8659-0127D815B9B4}" name="Column375" dataDxfId="15979"/>
    <tableColumn id="424" xr3:uid="{93D361A3-641D-4135-9F0E-B272856AC844}" name="Column376" dataDxfId="15978"/>
    <tableColumn id="425" xr3:uid="{055AEC94-4BFC-4C5E-8D7E-0B7DC6D83A3B}" name="Column377" dataDxfId="15977"/>
    <tableColumn id="426" xr3:uid="{82E46D8C-A8DF-4630-95B0-EC769EED2405}" name="Column378" dataDxfId="15976"/>
    <tableColumn id="427" xr3:uid="{3FBE5FB7-316E-44A8-A75E-BD6883F1BB82}" name="Column379" dataDxfId="15975"/>
    <tableColumn id="428" xr3:uid="{8FA69FAD-6275-41F0-8318-79612CECFE63}" name="Column380" dataDxfId="15974"/>
    <tableColumn id="429" xr3:uid="{0795C4A7-A157-4462-9832-C4D71FFB73C6}" name="Column381" dataDxfId="15973"/>
    <tableColumn id="430" xr3:uid="{C0C73A32-ED70-449D-8076-623D2115CC9C}" name="Column382" dataDxfId="15972"/>
    <tableColumn id="431" xr3:uid="{7352C61C-EDBB-4F15-92A2-7A2A8425A67B}" name="Column383" dataDxfId="15971"/>
    <tableColumn id="432" xr3:uid="{9C1B06AA-342E-43BD-801E-3D3C82CB160C}" name="Column384" dataDxfId="15970"/>
    <tableColumn id="433" xr3:uid="{37D4E112-A247-474C-948F-A4CD896CED2A}" name="Column385" dataDxfId="15969"/>
    <tableColumn id="434" xr3:uid="{73306795-66DC-4671-B0C5-4532EE1F31A8}" name="Column386" dataDxfId="15968"/>
    <tableColumn id="435" xr3:uid="{BA175B81-D238-43E0-BC1F-8594146F4380}" name="Column387" dataDxfId="15967"/>
    <tableColumn id="436" xr3:uid="{D91CA1F9-3E7C-4293-8262-BF84B879069F}" name="Column388" dataDxfId="15966"/>
    <tableColumn id="437" xr3:uid="{3AD6A695-F223-4C4A-9ED6-BFAEC9C3DAC9}" name="Column389" dataDxfId="15965"/>
    <tableColumn id="438" xr3:uid="{75A04217-6298-4FC6-8FC9-914E30D75628}" name="Column390" dataDxfId="15964"/>
    <tableColumn id="439" xr3:uid="{622E07BC-B883-4666-9004-3117807C1887}" name="Column391" dataDxfId="15963"/>
    <tableColumn id="440" xr3:uid="{12C953D0-1646-4E39-8F82-EA6459987C05}" name="Column392" dataDxfId="15962"/>
    <tableColumn id="441" xr3:uid="{65DB9AB1-0F5C-4472-89F4-734740C3EB06}" name="Column393" dataDxfId="15961"/>
    <tableColumn id="442" xr3:uid="{D75665EA-FB32-414F-9B18-C45884EB4F0F}" name="Column394" dataDxfId="15960"/>
    <tableColumn id="443" xr3:uid="{DE898504-07EB-4875-AB0D-8311D46A7E22}" name="Column395" dataDxfId="15959"/>
    <tableColumn id="444" xr3:uid="{493D5DB6-FD3C-4D37-9CA6-E5D2DB9F0403}" name="Column396" dataDxfId="15958"/>
    <tableColumn id="445" xr3:uid="{82F1EC11-7151-4E4D-9DA3-571B56583172}" name="Column397" dataDxfId="15957"/>
    <tableColumn id="446" xr3:uid="{728C4789-37FF-4E4F-A525-731335229BAD}" name="Column398" dataDxfId="15956"/>
    <tableColumn id="447" xr3:uid="{1E617A9E-7C4A-4918-A310-DBD12D7F679C}" name="Column399" dataDxfId="15955"/>
    <tableColumn id="448" xr3:uid="{FB9C0B71-B0AA-4851-B0E4-E052F02B52CF}" name="Column400" dataDxfId="15954"/>
    <tableColumn id="449" xr3:uid="{18EF02D7-D377-4D14-B846-00215C741CB9}" name="Column401" dataDxfId="15953"/>
    <tableColumn id="450" xr3:uid="{6D7856BB-3910-4877-A213-21B6F78C1371}" name="Column402" dataDxfId="15952"/>
    <tableColumn id="451" xr3:uid="{32745CF1-549A-4AAD-85F3-467F28546551}" name="Column403" dataDxfId="15951"/>
    <tableColumn id="452" xr3:uid="{B9C4F1BB-F489-483F-8604-B98BB375D851}" name="Column404" dataDxfId="15950"/>
    <tableColumn id="453" xr3:uid="{24707647-549C-40E4-9CC6-54C4F083855E}" name="Column405" dataDxfId="15949"/>
    <tableColumn id="454" xr3:uid="{BF2D8C58-B1C2-41F2-B55A-E0CC02515E57}" name="Column406" dataDxfId="15948"/>
    <tableColumn id="455" xr3:uid="{67314B6E-74E8-49DA-9014-EB366E650BF3}" name="Column407" dataDxfId="15947"/>
    <tableColumn id="456" xr3:uid="{E0469433-CDF6-4F37-B137-1CBB036B8A3E}" name="Column408" dataDxfId="15946"/>
    <tableColumn id="457" xr3:uid="{0545FFA0-C204-46AC-8254-F4A27F7C238C}" name="Column409" dataDxfId="15945"/>
    <tableColumn id="458" xr3:uid="{8383CF43-86DD-4D3A-BDFB-3A6D2E897FB1}" name="Column410" dataDxfId="15944"/>
    <tableColumn id="459" xr3:uid="{A764D888-9C8D-4962-B4B1-0CAE27D2C79B}" name="Column411" dataDxfId="15943"/>
    <tableColumn id="460" xr3:uid="{A10ABC43-8337-4F85-9708-1F28F7ACB0F0}" name="Column412" dataDxfId="15942"/>
    <tableColumn id="461" xr3:uid="{287F126C-EF8B-4261-A119-83F6A8D789F2}" name="Column413" dataDxfId="15941"/>
    <tableColumn id="462" xr3:uid="{1712C135-52E8-4F73-A703-97C7DEC93243}" name="Column414" dataDxfId="15940"/>
    <tableColumn id="463" xr3:uid="{50B3A129-4EDD-493E-AF07-EB9CDB9AC5FC}" name="Column415" dataDxfId="15939"/>
    <tableColumn id="464" xr3:uid="{24CCB9E3-4DAA-4DA7-A726-BCA70C1FFEF3}" name="Column416" dataDxfId="15938"/>
    <tableColumn id="465" xr3:uid="{D080F46D-B13C-4C7F-9783-69E8A64021FF}" name="Column417" dataDxfId="15937"/>
    <tableColumn id="466" xr3:uid="{ED84CEC4-2E07-4EDF-B7B7-C386F8915370}" name="Column418" dataDxfId="15936"/>
    <tableColumn id="467" xr3:uid="{80D641A8-16DC-4CB6-9C4B-ACDBEA6481B8}" name="Column419" dataDxfId="15935"/>
    <tableColumn id="468" xr3:uid="{5849F364-E276-4FB7-A0C2-13F7BACBA46A}" name="Column420" dataDxfId="15934"/>
    <tableColumn id="469" xr3:uid="{7C8CCD1B-C37C-4B8F-ADB2-8F66BCA2A93A}" name="Column421" dataDxfId="15933"/>
    <tableColumn id="470" xr3:uid="{ABC4CB92-94E7-42EC-8106-3CD3207AFCA7}" name="Column422" dataDxfId="15932"/>
    <tableColumn id="471" xr3:uid="{4BD16977-A0D5-4056-88E7-FD6AC06DE552}" name="Column423" dataDxfId="15931"/>
    <tableColumn id="472" xr3:uid="{43C89664-EA8A-4419-AACA-1A55371ABB63}" name="Column424" dataDxfId="15930"/>
    <tableColumn id="473" xr3:uid="{32392309-AE9E-406F-A609-A7CAD21AEA05}" name="Column425" dataDxfId="15929"/>
    <tableColumn id="474" xr3:uid="{109199FD-9323-4D5D-B55B-C4BB1AA7270F}" name="Column426" dataDxfId="15928"/>
    <tableColumn id="475" xr3:uid="{3E5582A4-4699-4813-A2C6-BE89DDEC2F00}" name="Column427" dataDxfId="15927"/>
    <tableColumn id="476" xr3:uid="{9D2AE53B-028C-432B-A3E5-6C4C1D9351C1}" name="Column428" dataDxfId="15926"/>
    <tableColumn id="477" xr3:uid="{9B56CADC-9CAB-4C7B-9C08-E49A2C9E8ED3}" name="Column429" dataDxfId="15925"/>
    <tableColumn id="478" xr3:uid="{56D84F69-2666-439E-9592-F5E7E1D5F6D6}" name="Column430" dataDxfId="15924"/>
    <tableColumn id="479" xr3:uid="{D8E0DCE8-4818-4982-8D1F-67E013716FBC}" name="Column431" dataDxfId="15923"/>
    <tableColumn id="480" xr3:uid="{6CE56982-9C7A-4014-9F6D-845A9F091B48}" name="Column432" dataDxfId="15922"/>
    <tableColumn id="481" xr3:uid="{44814C53-A9BF-4961-9026-14C7B21122B9}" name="Column433" dataDxfId="15921"/>
    <tableColumn id="482" xr3:uid="{7327B59C-D60D-461D-A1A5-3C7C4049D589}" name="Column434" dataDxfId="15920"/>
    <tableColumn id="483" xr3:uid="{B9D58381-8F6E-42AD-A740-2904526EB54A}" name="Column435" dataDxfId="15919"/>
    <tableColumn id="484" xr3:uid="{D6489F06-8C98-46FE-B1A9-63ACE032CB92}" name="Column436" dataDxfId="15918"/>
    <tableColumn id="485" xr3:uid="{374E1D26-A90D-44C4-A6AD-0C628CA89D13}" name="Column437" dataDxfId="15917"/>
    <tableColumn id="486" xr3:uid="{995076BA-5350-416F-8463-8EA47165F8BD}" name="Column438" dataDxfId="15916"/>
    <tableColumn id="487" xr3:uid="{0EA27CA6-AFAA-4372-A0C3-C017D87242AE}" name="Column439" dataDxfId="15915"/>
    <tableColumn id="488" xr3:uid="{14B297BC-CFAE-485E-8458-314207290A82}" name="Column440" dataDxfId="15914"/>
    <tableColumn id="489" xr3:uid="{039F950A-F421-49E4-866E-41E4B7F64156}" name="Column441" dataDxfId="15913"/>
    <tableColumn id="490" xr3:uid="{77E56E69-1A21-473B-96DB-FE29B1DEE381}" name="Column442" dataDxfId="15912"/>
    <tableColumn id="491" xr3:uid="{FBD0376B-CABB-4770-A975-2E1D37CC145F}" name="Column443" dataDxfId="15911"/>
    <tableColumn id="492" xr3:uid="{D0CB5097-D669-4AA1-B9AE-5CA42A1BA0AF}" name="Column444" dataDxfId="15910"/>
    <tableColumn id="493" xr3:uid="{C789FA89-54C8-4D80-80A0-C8F1092E39F9}" name="Column445" dataDxfId="15909"/>
    <tableColumn id="494" xr3:uid="{31037A3A-455A-48FF-B099-57345C2A65BA}" name="Column446" dataDxfId="15908"/>
    <tableColumn id="495" xr3:uid="{5AC2D960-B14D-4FDF-A880-07D18530F155}" name="Column447" dataDxfId="15907"/>
    <tableColumn id="496" xr3:uid="{C902949E-1611-435C-B1BB-7CEE1BE46BE0}" name="Column448" dataDxfId="15906"/>
    <tableColumn id="497" xr3:uid="{D6ECD033-62B7-4944-8CFE-734FF7709655}" name="Column449" dataDxfId="15905"/>
    <tableColumn id="498" xr3:uid="{65CA07E6-BFC1-4A71-A875-7500E829C920}" name="Column450" dataDxfId="15904"/>
    <tableColumn id="499" xr3:uid="{0778F812-C017-4FFE-8A54-EB1164262223}" name="Column451" dataDxfId="15903"/>
    <tableColumn id="500" xr3:uid="{1DDF7B88-981A-4345-B966-1E5A75788E2C}" name="Column452" dataDxfId="15902"/>
    <tableColumn id="501" xr3:uid="{8F1DF0B0-DB4A-4735-8B1B-639D1A35F0AB}" name="Column453" dataDxfId="15901"/>
    <tableColumn id="502" xr3:uid="{8F87EFA1-7753-4B87-BC60-CDC2FA4EB62F}" name="Column454" dataDxfId="15900"/>
    <tableColumn id="503" xr3:uid="{CCC34EB9-869F-4205-8158-DA8D9FA76A98}" name="Column455" dataDxfId="15899"/>
    <tableColumn id="504" xr3:uid="{2F5ADE56-C095-4C3B-B105-8932ACD02FF0}" name="Column456" dataDxfId="15898"/>
    <tableColumn id="505" xr3:uid="{81F265E8-BC30-4E79-A02F-A2E7EFBD0FC5}" name="Column457" dataDxfId="15897"/>
    <tableColumn id="506" xr3:uid="{EA580CB3-CE38-48A1-B402-F68E78F82329}" name="Column458" dataDxfId="15896"/>
    <tableColumn id="507" xr3:uid="{64D84ED9-C827-4B9E-B298-C806647B4DA1}" name="Column459" dataDxfId="15895"/>
    <tableColumn id="508" xr3:uid="{2ADFBE85-D089-4D46-822E-A672652D8894}" name="Column460" dataDxfId="15894"/>
    <tableColumn id="509" xr3:uid="{2BCE31F9-4F89-46B8-BD67-66C556BDD786}" name="Column461" dataDxfId="15893"/>
    <tableColumn id="510" xr3:uid="{2C8FFE3E-5FED-48ED-9089-C1161743441C}" name="Column462" dataDxfId="15892"/>
    <tableColumn id="511" xr3:uid="{90864C08-F2BA-491F-9302-6540EF3A9C83}" name="Column463" dataDxfId="15891"/>
    <tableColumn id="512" xr3:uid="{B4E0ADE7-9447-43A5-927C-D4F48A91040B}" name="Column464" dataDxfId="15890"/>
    <tableColumn id="513" xr3:uid="{9A3069F3-7034-42E4-B7C9-B93D2DF6135D}" name="Column465" dataDxfId="15889"/>
    <tableColumn id="514" xr3:uid="{01F33BF3-77BE-4869-A18A-FA3CC7A6C41D}" name="Column466" dataDxfId="15888"/>
    <tableColumn id="515" xr3:uid="{9094C4CB-4E57-4427-9120-698B5D6288CE}" name="Column467" dataDxfId="15887"/>
    <tableColumn id="516" xr3:uid="{85F7A5DC-4DD3-4192-98CC-02C536164511}" name="Column468" dataDxfId="15886"/>
    <tableColumn id="517" xr3:uid="{E9F2CE44-2C4D-4F7F-8F89-DCCAEF290932}" name="Column469" dataDxfId="15885"/>
    <tableColumn id="518" xr3:uid="{CBAFF555-CB12-416F-BEAA-F3A63F5854AF}" name="Column470" dataDxfId="15884"/>
    <tableColumn id="519" xr3:uid="{A62CA8D0-FF73-447B-BB70-35D5B3AF55E2}" name="Column471" dataDxfId="15883"/>
    <tableColumn id="520" xr3:uid="{53521E34-AD27-4EE6-8890-F47BCA3A2F90}" name="Column472" dataDxfId="15882"/>
    <tableColumn id="521" xr3:uid="{7679C5B9-871A-469B-97FB-0B88B398E29F}" name="Column473" dataDxfId="15881"/>
    <tableColumn id="522" xr3:uid="{978A840F-6A31-4234-838E-FB05AA25F855}" name="Column474" dataDxfId="15880"/>
    <tableColumn id="523" xr3:uid="{84BC1545-0F3D-437D-81A9-A2FA4BFCCE8E}" name="Column475" dataDxfId="15879"/>
    <tableColumn id="524" xr3:uid="{6102E3F4-8B86-4540-A85D-5AA3DDA983FF}" name="Column476" dataDxfId="15878"/>
    <tableColumn id="525" xr3:uid="{CD6A5C98-B519-45C8-ACA7-41688123D34B}" name="Column477" dataDxfId="15877"/>
    <tableColumn id="526" xr3:uid="{1155A774-8017-493F-9B32-C53B75BD86F2}" name="Column478" dataDxfId="15876"/>
    <tableColumn id="527" xr3:uid="{42752C63-DC73-4EC3-AABF-281D7BE28E16}" name="Column479" dataDxfId="15875"/>
    <tableColumn id="528" xr3:uid="{EDCFB8E0-4BDF-4736-B5F8-6C3A3029D1B7}" name="Column480" dataDxfId="15874"/>
    <tableColumn id="529" xr3:uid="{A67E9749-80D4-4087-9BE8-59A67A1CC629}" name="Column481" dataDxfId="15873"/>
    <tableColumn id="530" xr3:uid="{EAC51B5A-CBB0-4A52-8116-970DC9990D63}" name="Column482" dataDxfId="15872"/>
    <tableColumn id="531" xr3:uid="{4C715564-A6C3-43C4-9283-376DD475A986}" name="Column483" dataDxfId="15871"/>
    <tableColumn id="532" xr3:uid="{79E355C1-4E88-4E97-9CA5-87F05492C546}" name="Column484" dataDxfId="15870"/>
    <tableColumn id="533" xr3:uid="{C875E47F-1A5C-4044-A644-531005459241}" name="Column485" dataDxfId="15869"/>
    <tableColumn id="534" xr3:uid="{659AA860-E856-48C2-856F-731E169F5D12}" name="Column486" dataDxfId="15868"/>
    <tableColumn id="535" xr3:uid="{446E107C-92CF-4D5F-9F92-A9F2B86AF2CB}" name="Column487" dataDxfId="15867"/>
    <tableColumn id="536" xr3:uid="{394D8A47-AA01-4E8A-B7B0-A137D62FC3C8}" name="Column488" dataDxfId="15866"/>
    <tableColumn id="537" xr3:uid="{230D3778-B0C4-4F6A-B445-B48B5C8B854D}" name="Column489" dataDxfId="15865"/>
    <tableColumn id="538" xr3:uid="{0200EBD3-CC2C-487A-A2B3-102550097968}" name="Column490" dataDxfId="15864"/>
    <tableColumn id="539" xr3:uid="{A1642FB1-55DC-4438-91EC-0C668AC57D11}" name="Column491" dataDxfId="15863"/>
    <tableColumn id="540" xr3:uid="{6A0B6915-2D1E-41B9-A535-7B4686B0D5A2}" name="Column492" dataDxfId="15862"/>
    <tableColumn id="541" xr3:uid="{9930D444-5CDC-410A-A08A-4A8BB0F0FF93}" name="Column493" dataDxfId="15861"/>
    <tableColumn id="542" xr3:uid="{7B609EEE-8B41-4649-950D-5A5D0A122DA9}" name="Column494" dataDxfId="15860"/>
    <tableColumn id="543" xr3:uid="{33B06971-F047-4ABA-B20B-0D41508653CE}" name="Column495" dataDxfId="15859"/>
    <tableColumn id="544" xr3:uid="{E4F03D0B-24D2-4D92-8429-14C78A69C7BD}" name="Column496" dataDxfId="15858"/>
    <tableColumn id="545" xr3:uid="{83F3C204-8439-4992-863F-34664F7ED860}" name="Column497" dataDxfId="15857"/>
    <tableColumn id="546" xr3:uid="{93468C74-6F5A-4307-A090-6351904DA4FA}" name="Column498" dataDxfId="15856"/>
    <tableColumn id="547" xr3:uid="{87E5551A-EC25-49DF-824A-4FD6D8B10657}" name="Column499" dataDxfId="15855"/>
    <tableColumn id="548" xr3:uid="{195FF2C0-90AB-40D6-94D3-5B491BA26486}" name="Column500" dataDxfId="15854"/>
    <tableColumn id="549" xr3:uid="{2EEF0923-439F-46B7-9177-9D2A7F284BC3}" name="Column501" dataDxfId="15853"/>
    <tableColumn id="550" xr3:uid="{3DD982E2-1346-4265-B802-D9A109EF7EB4}" name="Column502" dataDxfId="15852"/>
    <tableColumn id="551" xr3:uid="{363201F3-A1CB-453B-A941-4FC5CC4BAC54}" name="Column503" dataDxfId="15851"/>
    <tableColumn id="552" xr3:uid="{EBE52716-72B7-49DA-A1D9-0F61D0B51F92}" name="Column504" dataDxfId="15850"/>
    <tableColumn id="553" xr3:uid="{F697E5A6-06FF-49FA-89B2-1658F46FC083}" name="Column505" dataDxfId="15849"/>
    <tableColumn id="554" xr3:uid="{834CAC24-458D-4F6E-8977-A4982DB3F564}" name="Column506" dataDxfId="15848"/>
    <tableColumn id="555" xr3:uid="{44AC64E3-C4E6-426F-B4DD-6F31D6B144CE}" name="Column507" dataDxfId="15847"/>
    <tableColumn id="556" xr3:uid="{AC4D3F77-565E-4387-8C5F-9F0EC85E008C}" name="Column508" dataDxfId="15846"/>
    <tableColumn id="557" xr3:uid="{E51059BC-4FF2-4D98-9B9F-F28C08230E67}" name="Column509" dataDxfId="15845"/>
    <tableColumn id="558" xr3:uid="{9A3552C0-B1DA-4418-BFC2-4BB9828E26C8}" name="Column510" dataDxfId="15844"/>
    <tableColumn id="559" xr3:uid="{564AD9A5-80CE-4776-9A1E-D10F4120457F}" name="Column511" dataDxfId="15843"/>
    <tableColumn id="560" xr3:uid="{42DEB528-1927-44A0-AED5-8F35403F2D1D}" name="Column512" dataDxfId="15842"/>
    <tableColumn id="561" xr3:uid="{78507EC4-9918-49D0-BB25-84D3F3710AAB}" name="Column513" dataDxfId="15841"/>
    <tableColumn id="562" xr3:uid="{A8F30E7D-929F-4A98-8F10-E7F54E0BBAC9}" name="Column514" dataDxfId="15840"/>
    <tableColumn id="563" xr3:uid="{3D8AEA3E-B5BE-4F46-A18B-D732DB1A5E63}" name="Column515" dataDxfId="15839"/>
    <tableColumn id="564" xr3:uid="{BD8FE0B3-C6EE-498E-A5DC-3EE43061745F}" name="Column516" dataDxfId="15838"/>
    <tableColumn id="565" xr3:uid="{7F115907-1119-4B16-AE27-F3F3A020F321}" name="Column517" dataDxfId="15837"/>
    <tableColumn id="566" xr3:uid="{4638DF7C-43DD-46B2-91F4-7F99F40129D3}" name="Column518" dataDxfId="15836"/>
    <tableColumn id="567" xr3:uid="{0D557C75-9863-401D-AA60-4BBA47205C8C}" name="Column519" dataDxfId="15835"/>
    <tableColumn id="568" xr3:uid="{53C3C6D9-ABFF-4704-AA03-CD818E7A3DC5}" name="Column520" dataDxfId="15834"/>
    <tableColumn id="569" xr3:uid="{5FDB1DB3-9467-444C-8B87-3EC2EF9AE69E}" name="Column521" dataDxfId="15833"/>
    <tableColumn id="570" xr3:uid="{DF7ACB0F-27B7-425F-A472-67EEB883CD60}" name="Column522" dataDxfId="15832"/>
    <tableColumn id="571" xr3:uid="{B5214F62-8BF3-4021-800E-93E46BB2F2B9}" name="Column523" dataDxfId="15831"/>
    <tableColumn id="572" xr3:uid="{769B99DC-2014-4F1B-9AB5-5BD4C2AD677A}" name="Column524" dataDxfId="15830"/>
    <tableColumn id="573" xr3:uid="{2A135CE5-F0F8-4572-BE5E-F9F299AD462C}" name="Column525" dataDxfId="15829"/>
    <tableColumn id="574" xr3:uid="{05EDBBF7-38A2-4771-86B9-8A409E061854}" name="Column526" dataDxfId="15828"/>
    <tableColumn id="575" xr3:uid="{5F762802-1D89-4CC2-BA71-1AE4939BD24D}" name="Column527" dataDxfId="15827"/>
    <tableColumn id="576" xr3:uid="{7A3BDBF2-1814-4B2D-B313-630C680060C5}" name="Column528" dataDxfId="15826"/>
    <tableColumn id="577" xr3:uid="{037702FD-8205-4FBD-9F98-3A02EBD94954}" name="Column529" dataDxfId="15825"/>
    <tableColumn id="578" xr3:uid="{5014F884-97CB-4755-9013-245A2507A88E}" name="Column530" dataDxfId="15824"/>
    <tableColumn id="579" xr3:uid="{09B34FA8-7C18-47A0-827C-32E52EEB2208}" name="Column531" dataDxfId="15823"/>
    <tableColumn id="580" xr3:uid="{97BF66DB-4DC6-441B-90BB-904A59867DD0}" name="Column532" dataDxfId="15822"/>
    <tableColumn id="581" xr3:uid="{676D9113-FB9F-4D80-881B-A62E47D1E07E}" name="Column533" dataDxfId="15821"/>
    <tableColumn id="582" xr3:uid="{FF4C5304-0F78-47D7-8295-6166A327F706}" name="Column534" dataDxfId="15820"/>
    <tableColumn id="583" xr3:uid="{17E391EC-00F7-498D-B1C0-26BDB6ABC141}" name="Column535" dataDxfId="15819"/>
    <tableColumn id="584" xr3:uid="{EC0A3526-519E-4B9F-A0CC-F988F777C4A8}" name="Column536" dataDxfId="15818"/>
    <tableColumn id="585" xr3:uid="{D00FF0F0-5505-45C3-B8AC-10428884222A}" name="Column537" dataDxfId="15817"/>
    <tableColumn id="586" xr3:uid="{447BDE19-E1D2-44B8-90B6-9B17C2C0B5FC}" name="Column538" dataDxfId="15816"/>
    <tableColumn id="587" xr3:uid="{592A4D97-A29E-4DBA-A119-CE2E98603E9A}" name="Column539" dataDxfId="15815"/>
    <tableColumn id="588" xr3:uid="{E48DD7C4-B66A-46CB-8B82-D6F8A5E9E08D}" name="Column540" dataDxfId="15814"/>
    <tableColumn id="589" xr3:uid="{A3582146-3833-4A0C-8B7E-C29670218EE4}" name="Column541" dataDxfId="15813"/>
    <tableColumn id="590" xr3:uid="{91025F30-DD3B-4D6E-BBB8-9E87D3991E4C}" name="Column542" dataDxfId="15812"/>
    <tableColumn id="591" xr3:uid="{FD87FD73-DC27-4C84-9828-8DF90FF36BF3}" name="Column543" dataDxfId="15811"/>
    <tableColumn id="592" xr3:uid="{2C87EBD6-4F34-45B4-9018-41E0A739859B}" name="Column544" dataDxfId="15810"/>
    <tableColumn id="593" xr3:uid="{9D02BD55-4F31-4B1A-8021-2DD939DB6CBD}" name="Column545" dataDxfId="15809"/>
    <tableColumn id="594" xr3:uid="{28322730-66A8-4ECC-B2CA-FDDCA1E79B33}" name="Column546" dataDxfId="15808"/>
    <tableColumn id="595" xr3:uid="{77D5BD94-DDA9-4461-AEEA-AD6A5FA4D489}" name="Column547" dataDxfId="15807"/>
    <tableColumn id="596" xr3:uid="{0D49967F-E4C1-4292-BB17-FC9DA98D013B}" name="Column548" dataDxfId="15806"/>
    <tableColumn id="597" xr3:uid="{14DC86CC-09EA-40FF-B34C-521B75A2DD9F}" name="Column549" dataDxfId="15805"/>
    <tableColumn id="598" xr3:uid="{DD101756-C5A9-428F-9E3C-033C38322F22}" name="Column550" dataDxfId="15804"/>
    <tableColumn id="599" xr3:uid="{F9971CF0-8712-4C62-BAC1-EF2CC801AE42}" name="Column551" dataDxfId="15803"/>
    <tableColumn id="600" xr3:uid="{F81FF8E4-977A-42C1-8752-2E6A342F9C35}" name="Column552" dataDxfId="15802"/>
    <tableColumn id="601" xr3:uid="{1AED0852-338E-4AB9-815F-6302BE59FC28}" name="Column553" dataDxfId="15801"/>
    <tableColumn id="602" xr3:uid="{D3E47FA5-D31A-446E-8D7A-3160C819514D}" name="Column554" dataDxfId="15800"/>
    <tableColumn id="603" xr3:uid="{D061E02C-CE06-4795-A759-5A41231F1CC5}" name="Column555" dataDxfId="15799"/>
    <tableColumn id="604" xr3:uid="{8DF97F61-0650-4B12-9771-92E278621AD2}" name="Column556" dataDxfId="15798"/>
    <tableColumn id="605" xr3:uid="{E5B0212F-5E8B-4CFC-BB6A-52E30E685CFD}" name="Column557" dataDxfId="15797"/>
    <tableColumn id="606" xr3:uid="{3A7AABC4-A332-4E70-A85D-071436525352}" name="Column558" dataDxfId="15796"/>
    <tableColumn id="607" xr3:uid="{C48CA94D-3C79-4355-8F5C-94CD59A0583E}" name="Column559" dataDxfId="15795"/>
    <tableColumn id="608" xr3:uid="{0FD0029B-3B3C-4F28-B25C-D4E179798864}" name="Column560" dataDxfId="15794"/>
    <tableColumn id="609" xr3:uid="{674A0B22-4981-494C-AE3D-A4736A536A6E}" name="Column561" dataDxfId="15793"/>
    <tableColumn id="610" xr3:uid="{636263DE-CD4F-46E0-ABFF-6A650274F34A}" name="Column562" dataDxfId="15792"/>
    <tableColumn id="611" xr3:uid="{94B14A4A-9F21-465D-AA80-9620E973D0C7}" name="Column563" dataDxfId="15791"/>
    <tableColumn id="612" xr3:uid="{8CAC8E3D-7E35-4503-B16B-F64C098F8D4E}" name="Column564" dataDxfId="15790"/>
    <tableColumn id="613" xr3:uid="{E8DF15BB-8660-4ECE-9889-E1B242DE43AA}" name="Column565" dataDxfId="15789"/>
    <tableColumn id="614" xr3:uid="{D593C765-DC79-4820-93B4-047818189BBD}" name="Column566" dataDxfId="15788"/>
    <tableColumn id="615" xr3:uid="{51E7C9A2-3BBF-4443-8832-EF71D446E983}" name="Column567" dataDxfId="15787"/>
    <tableColumn id="616" xr3:uid="{D668157D-8E78-4746-8B8D-DC1F440EC60A}" name="Column568" dataDxfId="15786"/>
    <tableColumn id="617" xr3:uid="{AE62E869-9876-4BE0-A0D4-3E71A52C84BF}" name="Column569" dataDxfId="15785"/>
    <tableColumn id="618" xr3:uid="{2340CAC2-BFF1-4DEB-8C55-804A7B735A7D}" name="Column570" dataDxfId="15784"/>
    <tableColumn id="619" xr3:uid="{0038A75A-0289-4308-8F68-38C854F8C332}" name="Column571" dataDxfId="15783"/>
    <tableColumn id="620" xr3:uid="{B873759F-EDCF-4BAE-9F7D-D0B5C838C189}" name="Column572" dataDxfId="15782"/>
    <tableColumn id="621" xr3:uid="{09903469-A96B-4E45-8812-25F7BE2BAF4D}" name="Column573" dataDxfId="15781"/>
    <tableColumn id="622" xr3:uid="{F557A17F-8A9E-4B6A-BC0E-9650C1478E60}" name="Column574" dataDxfId="15780"/>
    <tableColumn id="623" xr3:uid="{97ECD91B-14F8-4386-AC50-96D23D4CD284}" name="Column575" dataDxfId="15779"/>
    <tableColumn id="624" xr3:uid="{C9B213E4-D9CD-4674-8A26-A5F91C578BF4}" name="Column576" dataDxfId="15778"/>
    <tableColumn id="625" xr3:uid="{21E9556B-30FB-4595-A4E8-822724135649}" name="Column577" dataDxfId="15777"/>
    <tableColumn id="626" xr3:uid="{3C7224EE-A9EC-4257-B990-913DA109C6F7}" name="Column578" dataDxfId="15776"/>
    <tableColumn id="627" xr3:uid="{A24A6C4C-0B2C-4D37-BDB9-F80D4AD6B33B}" name="Column579" dataDxfId="15775"/>
    <tableColumn id="628" xr3:uid="{C87A1DDD-7A28-4A4E-8CC2-F4783B8B08BC}" name="Column580" dataDxfId="15774"/>
    <tableColumn id="629" xr3:uid="{0D79BEF9-8C31-4F5B-A897-27CAE9923BD0}" name="Column581" dataDxfId="15773"/>
    <tableColumn id="630" xr3:uid="{9F37CA87-AA59-490C-8816-76368D7234BC}" name="Column582" dataDxfId="15772"/>
    <tableColumn id="631" xr3:uid="{64598F4A-D20C-41DC-8011-846CD076524C}" name="Column583" dataDxfId="15771"/>
    <tableColumn id="632" xr3:uid="{B4EF23A1-56E2-441A-A39E-0C24ED71B73A}" name="Column584" dataDxfId="15770"/>
    <tableColumn id="633" xr3:uid="{A3AA2AE9-53E5-4721-9ADD-2544AD8C385A}" name="Column585" dataDxfId="15769"/>
    <tableColumn id="634" xr3:uid="{9DCAF1F5-4C8F-42E0-B251-BBD4DB990EEA}" name="Column586" dataDxfId="15768"/>
    <tableColumn id="635" xr3:uid="{FA8DDFCE-086B-4F24-AF0E-367445B5C716}" name="Column587" dataDxfId="15767"/>
    <tableColumn id="636" xr3:uid="{89AEF1C5-AF20-49EB-BE27-FE790A079792}" name="Column588" dataDxfId="15766"/>
    <tableColumn id="637" xr3:uid="{8AE6A45C-2CFE-4CF3-86B6-07F902AE3E7D}" name="Column589" dataDxfId="15765"/>
    <tableColumn id="638" xr3:uid="{B10D61F0-378D-4107-A8FC-04F4339985D4}" name="Column590" dataDxfId="15764"/>
    <tableColumn id="639" xr3:uid="{F247CF21-A85D-41D8-BF25-B892662024E4}" name="Column591" dataDxfId="15763"/>
    <tableColumn id="640" xr3:uid="{4A5919A9-D5C5-47DE-9FA9-C9710F8F856D}" name="Column592" dataDxfId="15762"/>
    <tableColumn id="641" xr3:uid="{A24DF377-3FEE-44EE-869B-F105545B79BF}" name="Column593" dataDxfId="15761"/>
    <tableColumn id="642" xr3:uid="{970A08A5-EF23-4A35-8A8E-7309425216A5}" name="Column594" dataDxfId="15760"/>
    <tableColumn id="643" xr3:uid="{813BDCF8-027D-496D-9D2A-1C615CA8D389}" name="Column595" dataDxfId="15759"/>
    <tableColumn id="644" xr3:uid="{15CBACC5-9D60-4EE5-A5A2-8F1F3A08910A}" name="Column596" dataDxfId="15758"/>
    <tableColumn id="645" xr3:uid="{B6AC13FE-4564-4207-A6C5-D7DD29286C7E}" name="Column597" dataDxfId="15757"/>
    <tableColumn id="646" xr3:uid="{8CE526BC-FEE6-4CED-91CD-1D5BC5C1936A}" name="Column598" dataDxfId="15756"/>
    <tableColumn id="647" xr3:uid="{2F234AA9-6419-44E7-B1C2-3A51721E52E5}" name="Column599" dataDxfId="15755"/>
    <tableColumn id="648" xr3:uid="{6370B1FF-A3E6-4B88-857E-54DE0BF8438B}" name="Column600" dataDxfId="15754"/>
    <tableColumn id="649" xr3:uid="{330EDEF1-8245-4ABD-BC9B-3AF2E3F0E9EF}" name="Column601" dataDxfId="15753"/>
    <tableColumn id="650" xr3:uid="{DAEBBB38-B76A-4DBF-9877-7E64175ECACB}" name="Column602" dataDxfId="15752"/>
    <tableColumn id="651" xr3:uid="{537FD8F4-6B17-48A6-91C5-D621D156C7BE}" name="Column603" dataDxfId="15751"/>
    <tableColumn id="652" xr3:uid="{419DC18F-D2F2-4CE0-B9AC-4BE92EF88F7E}" name="Column604" dataDxfId="15750"/>
    <tableColumn id="653" xr3:uid="{BFC1D889-54C7-4F0F-9A83-66E977CD8E6C}" name="Column605" dataDxfId="15749"/>
    <tableColumn id="654" xr3:uid="{B4CBB74A-9944-446D-9CEF-8BDAD5751555}" name="Column606" dataDxfId="15748"/>
    <tableColumn id="655" xr3:uid="{5BC9B671-1EB6-4C7C-9101-87CE27762407}" name="Column607" dataDxfId="15747"/>
    <tableColumn id="656" xr3:uid="{0195DEF9-86BA-44BB-9C0D-7A0653D3B16D}" name="Column608" dataDxfId="15746"/>
    <tableColumn id="657" xr3:uid="{4F1EA691-2B8E-4FD5-B406-C82395D16E55}" name="Column609" dataDxfId="15745"/>
    <tableColumn id="658" xr3:uid="{84DB01F0-22F6-4466-A9F3-906A14C72612}" name="Column610" dataDxfId="15744"/>
    <tableColumn id="659" xr3:uid="{77FC5B4B-C123-4723-8E94-A2ACF2BB89E9}" name="Column611" dataDxfId="15743"/>
    <tableColumn id="660" xr3:uid="{8A5E5B78-E13F-44D9-86C8-E5215A1AABDC}" name="Column612" dataDxfId="15742"/>
    <tableColumn id="661" xr3:uid="{B8446CA8-E298-4526-938B-335A64D86189}" name="Column613" dataDxfId="15741"/>
    <tableColumn id="662" xr3:uid="{CE7C12BF-C73F-418A-8A3E-75D56B9A9122}" name="Column614" dataDxfId="15740"/>
    <tableColumn id="663" xr3:uid="{0D15308D-C314-4D3A-B5B0-D2AF4AC67F19}" name="Column615" dataDxfId="15739"/>
    <tableColumn id="664" xr3:uid="{0ADD7067-5E21-42DD-94AB-5812E8D40788}" name="Column616" dataDxfId="15738"/>
    <tableColumn id="665" xr3:uid="{A5F1B772-72F5-43B8-9180-8162F1052E76}" name="Column617" dataDxfId="15737"/>
    <tableColumn id="666" xr3:uid="{5F9D69AB-9EC4-430D-AF0B-2028B0EAA5B9}" name="Column618" dataDxfId="15736"/>
    <tableColumn id="667" xr3:uid="{5081F046-41A2-459D-91D2-2131426717E3}" name="Column619" dataDxfId="15735"/>
    <tableColumn id="668" xr3:uid="{1D488A9C-4A7C-403D-8E8E-73463A6160A5}" name="Column620" dataDxfId="15734"/>
    <tableColumn id="669" xr3:uid="{B90DD5B6-5D9B-4013-B517-F213182488B1}" name="Column621" dataDxfId="15733"/>
    <tableColumn id="670" xr3:uid="{26C5C58F-4D31-4D0A-A8F6-6A503FBEE2DB}" name="Column622" dataDxfId="15732"/>
    <tableColumn id="671" xr3:uid="{63F7082F-B6A4-4401-A7D8-47F9BAAB5123}" name="Column623" dataDxfId="15731"/>
    <tableColumn id="672" xr3:uid="{4BCA0AE6-2A9D-4FB1-AA52-06A27B410819}" name="Column624" dataDxfId="15730"/>
    <tableColumn id="673" xr3:uid="{109B2136-1391-4DD7-A2BF-1C8DA7E63949}" name="Column625" dataDxfId="15729"/>
    <tableColumn id="674" xr3:uid="{ED759CB8-FFBC-4C7E-B34E-26DB8521DE08}" name="Column626" dataDxfId="15728"/>
    <tableColumn id="675" xr3:uid="{99CF6712-095E-45E6-BB0B-814E5F4C8C40}" name="Column627" dataDxfId="15727"/>
    <tableColumn id="676" xr3:uid="{2E7F393A-14EB-40BF-B528-E95C4E75E851}" name="Column628" dataDxfId="15726"/>
    <tableColumn id="677" xr3:uid="{4AA3EB67-1895-4FEB-A7E0-96CCCFE43C4C}" name="Column629" dataDxfId="15725"/>
    <tableColumn id="678" xr3:uid="{6AA04E9F-9FA4-420C-8B57-780B4A4738FD}" name="Column630" dataDxfId="15724"/>
    <tableColumn id="679" xr3:uid="{2D5E143A-D577-4EFC-B14F-217797F959E0}" name="Column631" dataDxfId="15723"/>
    <tableColumn id="680" xr3:uid="{6811A449-0323-406B-9A38-95F34DD77971}" name="Column632" dataDxfId="15722"/>
    <tableColumn id="681" xr3:uid="{6A97D797-0E02-4D3E-A5F0-B97DD0EECAB7}" name="Column633" dataDxfId="15721"/>
    <tableColumn id="682" xr3:uid="{06D7C9F7-12C2-43D5-88BC-9E1B21B31DBC}" name="Column634" dataDxfId="15720"/>
    <tableColumn id="683" xr3:uid="{BD0217F1-47E6-4768-9B39-2F00915854FF}" name="Column635" dataDxfId="15719"/>
    <tableColumn id="684" xr3:uid="{71CF803E-AEF1-4C12-A536-9F4F2ECA48CE}" name="Column636" dataDxfId="15718"/>
    <tableColumn id="685" xr3:uid="{67AB0FA8-C956-4429-B9A1-02E5D2858D27}" name="Column637" dataDxfId="15717"/>
    <tableColumn id="686" xr3:uid="{ACE89BC1-0742-45A0-B911-29026DA45993}" name="Column638" dataDxfId="15716"/>
    <tableColumn id="687" xr3:uid="{814B4067-6302-4EDF-8CA6-DEDC91F3B84E}" name="Column639" dataDxfId="15715"/>
    <tableColumn id="688" xr3:uid="{BEC31BC6-7594-43F2-B643-27C1906BDC0E}" name="Column640" dataDxfId="15714"/>
    <tableColumn id="689" xr3:uid="{B362D2D5-D5A6-4213-87B5-DF1A056FFB16}" name="Column641" dataDxfId="15713"/>
    <tableColumn id="690" xr3:uid="{E8D7E9CA-29D3-413A-907C-9D43AFDC0237}" name="Column642" dataDxfId="15712"/>
    <tableColumn id="691" xr3:uid="{5C3DF769-2F6B-434B-9844-795D43A9B078}" name="Column643" dataDxfId="15711"/>
    <tableColumn id="692" xr3:uid="{9A234261-A4EE-412B-A156-995F9979B046}" name="Column644" dataDxfId="15710"/>
    <tableColumn id="693" xr3:uid="{21BA5154-53E5-4A3E-A94B-D0A4CF24EFC5}" name="Column645" dataDxfId="15709"/>
    <tableColumn id="694" xr3:uid="{87B67D15-6D87-4218-8173-59A8DBD0509F}" name="Column646" dataDxfId="15708"/>
    <tableColumn id="695" xr3:uid="{308E6DFF-11F2-4854-8085-90E6A051106F}" name="Column647" dataDxfId="15707"/>
    <tableColumn id="696" xr3:uid="{99ACE2B0-DF42-496C-B410-B635D1ADAFA4}" name="Column648" dataDxfId="15706"/>
    <tableColumn id="697" xr3:uid="{1E78E587-0B73-4FA1-BEC9-5C589466D09B}" name="Column649" dataDxfId="15705"/>
    <tableColumn id="698" xr3:uid="{85F4FC1E-F22E-4D9E-B0F9-152CB107A9F2}" name="Column650" dataDxfId="15704"/>
    <tableColumn id="699" xr3:uid="{3D3C34E0-F4DC-4769-BA76-38BE2E38C6F1}" name="Column651" dataDxfId="15703"/>
    <tableColumn id="700" xr3:uid="{533B3894-4EDE-4296-8F83-DEB5012BB4F2}" name="Column652" dataDxfId="15702"/>
    <tableColumn id="701" xr3:uid="{9A06A33A-1100-448D-8725-23A290395A99}" name="Column653" dataDxfId="15701"/>
    <tableColumn id="702" xr3:uid="{CD05AB0C-4835-41A0-BD03-6DE6A796B216}" name="Column654" dataDxfId="15700"/>
    <tableColumn id="703" xr3:uid="{45A76F62-9896-4790-9592-375E9F09E6DB}" name="Column655" dataDxfId="15699"/>
    <tableColumn id="704" xr3:uid="{8DE389A9-6982-4406-94FA-D834AD2E3DB5}" name="Column656" dataDxfId="15698"/>
    <tableColumn id="705" xr3:uid="{926E5844-4C46-4EC8-B2AA-1268F2AF0111}" name="Column657" dataDxfId="15697"/>
    <tableColumn id="706" xr3:uid="{1B5C2F3D-5525-4B9C-BE02-C5D5BCF17C71}" name="Column658" dataDxfId="15696"/>
    <tableColumn id="707" xr3:uid="{041FD347-A6AA-4850-8A94-9095D5F76D14}" name="Column659" dataDxfId="15695"/>
    <tableColumn id="708" xr3:uid="{3F4525DA-3CD9-4B3E-9AA6-097296435FEE}" name="Column660" dataDxfId="15694"/>
    <tableColumn id="709" xr3:uid="{D214EB89-B9B0-42FC-9929-DC9946E4298B}" name="Column661" dataDxfId="15693"/>
    <tableColumn id="710" xr3:uid="{1CFE0C7E-4B3F-4705-BDEB-4EA80E9AA13C}" name="Column662" dataDxfId="15692"/>
    <tableColumn id="711" xr3:uid="{8B2954AF-0DC8-4DFE-86C5-87C8A144D91B}" name="Column663" dataDxfId="15691"/>
    <tableColumn id="712" xr3:uid="{E4A41FCF-A5BE-4B32-AC38-89A380AC3C3F}" name="Column664" dataDxfId="15690"/>
    <tableColumn id="713" xr3:uid="{136443D8-9C30-4D2D-8D13-9660D67FC46B}" name="Column665" dataDxfId="15689"/>
    <tableColumn id="714" xr3:uid="{99EDF7EB-3729-4570-9731-35D454AA3D90}" name="Column666" dataDxfId="15688"/>
    <tableColumn id="715" xr3:uid="{66F98B19-F085-4616-B86F-761C7D80935B}" name="Column667" dataDxfId="15687"/>
    <tableColumn id="716" xr3:uid="{967CE22D-9AD2-4FD2-BEC0-3E170D8739EA}" name="Column668" dataDxfId="15686"/>
    <tableColumn id="717" xr3:uid="{3CA04083-D706-46C4-8FAC-1D721E7D6C88}" name="Column669" dataDxfId="15685"/>
    <tableColumn id="718" xr3:uid="{366B6625-8E1F-463B-9F21-18972D0E3789}" name="Column670" dataDxfId="15684"/>
    <tableColumn id="719" xr3:uid="{B523BADD-8953-486B-97A8-7C385BDEFB4C}" name="Column671" dataDxfId="15683"/>
    <tableColumn id="720" xr3:uid="{53324874-0579-4DD7-8238-3B66E3D1ABD7}" name="Column672" dataDxfId="15682"/>
    <tableColumn id="721" xr3:uid="{DD7B92B0-1C1E-4096-A1C6-4D311D8D3DF3}" name="Column673" dataDxfId="15681"/>
    <tableColumn id="722" xr3:uid="{9B8DF877-77D6-4FE0-942A-C30DA2412F13}" name="Column674" dataDxfId="15680"/>
    <tableColumn id="723" xr3:uid="{D4A905CD-7A29-4320-9720-E80D718FBE3E}" name="Column675" dataDxfId="15679"/>
    <tableColumn id="724" xr3:uid="{6967D0B7-A7D5-4585-9241-99D500D5F358}" name="Column676" dataDxfId="15678"/>
    <tableColumn id="725" xr3:uid="{D5D56DC1-26E2-4EC1-BC35-C1DBA78E1D87}" name="Column677" dataDxfId="15677"/>
    <tableColumn id="726" xr3:uid="{0CC6BB19-B759-4C23-B342-6F76F7AE99AD}" name="Column678" dataDxfId="15676"/>
    <tableColumn id="727" xr3:uid="{25341DAA-AEFA-44BC-BF2C-F39D12F49F07}" name="Column679" dataDxfId="15675"/>
    <tableColumn id="728" xr3:uid="{0917B4C7-68D3-479B-8E8C-040BBBE37B9E}" name="Column680" dataDxfId="15674"/>
    <tableColumn id="729" xr3:uid="{D237B1BA-8469-4B98-B1A6-8D7DB6B11C09}" name="Column681" dataDxfId="15673"/>
    <tableColumn id="730" xr3:uid="{961A3C96-6894-4361-A5FA-7F8684584B1F}" name="Column682" dataDxfId="15672"/>
    <tableColumn id="731" xr3:uid="{3BB356B8-5E71-423F-B330-4B220A369A88}" name="Column683" dataDxfId="15671"/>
    <tableColumn id="732" xr3:uid="{CF4BF1EF-CA6D-4532-897C-7A0B219700B4}" name="Column684" dataDxfId="15670"/>
    <tableColumn id="733" xr3:uid="{DFFB7AD4-BA8C-460C-A3CC-1F21123707EE}" name="Column685" dataDxfId="15669"/>
    <tableColumn id="734" xr3:uid="{023BC399-6045-4CAD-8F2E-AD7FF84A1D52}" name="Column686" dataDxfId="15668"/>
    <tableColumn id="735" xr3:uid="{C1A157D1-0E06-4258-A60E-A104ED7E2CD4}" name="Column687" dataDxfId="15667"/>
    <tableColumn id="736" xr3:uid="{705A70F2-0620-44F1-B4B0-665D10CF47A4}" name="Column688" dataDxfId="15666"/>
    <tableColumn id="737" xr3:uid="{8A51424C-9239-40A8-863C-2E6B44A05A89}" name="Column689" dataDxfId="15665"/>
    <tableColumn id="738" xr3:uid="{0EBC2D15-203B-42C6-B49B-F1EF726DD907}" name="Column690" dataDxfId="15664"/>
    <tableColumn id="739" xr3:uid="{CF76201D-8F70-4CE3-BA24-657BCC14C5A1}" name="Column691" dataDxfId="15663"/>
    <tableColumn id="740" xr3:uid="{4D6D5166-2F24-4E2C-8396-23485871AF6A}" name="Column692" dataDxfId="15662"/>
    <tableColumn id="741" xr3:uid="{6028F525-77A4-4E4B-8F60-240DC1721FB3}" name="Column693" dataDxfId="15661"/>
    <tableColumn id="742" xr3:uid="{31EA784C-ECE4-42A6-A312-C1E78C4CD24F}" name="Column694" dataDxfId="15660"/>
    <tableColumn id="743" xr3:uid="{878F7AC4-2FF9-41AE-B844-5B937A972A04}" name="Column695" dataDxfId="15659"/>
    <tableColumn id="744" xr3:uid="{B9340850-07D7-4D1D-9B10-FD53BAACDB45}" name="Column696" dataDxfId="15658"/>
    <tableColumn id="745" xr3:uid="{9DEBC6BC-888F-4A7C-B2FD-222CC16A1F8B}" name="Column697" dataDxfId="15657"/>
    <tableColumn id="746" xr3:uid="{035AE4D7-0B0B-4791-8EB1-85A5865FDBBA}" name="Column698" dataDxfId="15656"/>
    <tableColumn id="747" xr3:uid="{FFC2F6EF-43C2-41B1-ADD8-6077A1A176A7}" name="Column699" dataDxfId="15655"/>
    <tableColumn id="748" xr3:uid="{5A99BD46-E3B5-4D95-8466-8F3625E96A10}" name="Column700" dataDxfId="15654"/>
    <tableColumn id="749" xr3:uid="{5EF0C2EE-727E-4409-9B54-72E44E573266}" name="Column701" dataDxfId="15653"/>
    <tableColumn id="750" xr3:uid="{8B3DF95E-7CB2-4C6C-A39F-9B5CD1C20114}" name="Column702" dataDxfId="15652"/>
    <tableColumn id="751" xr3:uid="{C792C468-0B18-44B2-A332-C6ED17A1EE00}" name="Column703" dataDxfId="15651"/>
    <tableColumn id="752" xr3:uid="{84527E5A-49F3-4C93-8D28-34D9C38B0775}" name="Column704" dataDxfId="15650"/>
    <tableColumn id="753" xr3:uid="{B915F690-171B-4F55-BD0D-C665248C9717}" name="Column705" dataDxfId="15649"/>
    <tableColumn id="754" xr3:uid="{008CECB1-27AC-47FD-A2BC-6B2B8B96BD70}" name="Column706" dataDxfId="15648"/>
    <tableColumn id="755" xr3:uid="{F7B250FC-C99A-4D8D-B63A-A65B9F1D4362}" name="Column707" dataDxfId="15647"/>
    <tableColumn id="756" xr3:uid="{4E0479F4-57FF-4326-BAFE-C14FA866C524}" name="Column708" dataDxfId="15646"/>
    <tableColumn id="757" xr3:uid="{7926FFDD-124C-4D7E-ABF6-60683D7CA7CB}" name="Column709" dataDxfId="15645"/>
    <tableColumn id="758" xr3:uid="{DFF51906-02CF-4BDC-A0AB-B456FD6EAD28}" name="Column710" dataDxfId="15644"/>
    <tableColumn id="759" xr3:uid="{CB8A7C9E-BFC2-4D61-BDCE-EFE4810ADCF1}" name="Column711" dataDxfId="15643"/>
    <tableColumn id="760" xr3:uid="{84D8C9BF-6A23-4AD2-A5F3-D962412CDC4E}" name="Column712" dataDxfId="15642"/>
    <tableColumn id="761" xr3:uid="{FF23B21D-D9A6-4534-86F8-33FA604A536F}" name="Column713" dataDxfId="15641"/>
    <tableColumn id="762" xr3:uid="{F1840CB6-DDE0-4760-93FE-0B6E27FEEF11}" name="Column714" dataDxfId="15640"/>
    <tableColumn id="763" xr3:uid="{FE33FF2E-26F3-42BF-8995-65807B5F1674}" name="Column715" dataDxfId="15639"/>
    <tableColumn id="764" xr3:uid="{AF11ECB0-3DAC-4078-B409-3C9FE7EF8D09}" name="Column716" dataDxfId="15638"/>
    <tableColumn id="765" xr3:uid="{C1F1F238-A95A-4425-A289-B3398D20F5C8}" name="Column717" dataDxfId="15637"/>
    <tableColumn id="766" xr3:uid="{F6EBF874-3516-4032-B4CF-EDE5D55E143D}" name="Column718" dataDxfId="15636"/>
    <tableColumn id="767" xr3:uid="{EE9F8ED4-16D0-4DE0-BF2E-8CF37449A09E}" name="Column719" dataDxfId="15635"/>
    <tableColumn id="768" xr3:uid="{DB7441C9-E486-4948-B41A-D3EE68E6D8FF}" name="Column720" dataDxfId="15634"/>
    <tableColumn id="769" xr3:uid="{4DA47335-8EFD-4F13-83B6-F434A056B09C}" name="Column721" dataDxfId="15633"/>
    <tableColumn id="770" xr3:uid="{0C5F4D87-F5E4-4642-91BA-C932423A515B}" name="Column722" dataDxfId="15632"/>
    <tableColumn id="771" xr3:uid="{FA525F6D-A3EC-4B21-A9CF-81B465CB97A4}" name="Column723" dataDxfId="15631"/>
    <tableColumn id="772" xr3:uid="{B45DCA63-8CB2-48AE-8E19-BF209AC7E926}" name="Column724" dataDxfId="15630"/>
    <tableColumn id="773" xr3:uid="{17EDD866-89A8-4513-9BC2-B484A782BF65}" name="Column725" dataDxfId="15629"/>
    <tableColumn id="774" xr3:uid="{089D9D17-950F-4428-87E7-F3D5C5FAD63E}" name="Column726" dataDxfId="15628"/>
    <tableColumn id="775" xr3:uid="{82E08980-6E2D-482E-BF77-5C006C7233AE}" name="Column727" dataDxfId="15627"/>
    <tableColumn id="776" xr3:uid="{17BA7B70-64AD-4D3F-9A34-899B07F1C9E3}" name="Column728" dataDxfId="15626"/>
    <tableColumn id="777" xr3:uid="{17FE93EC-4B92-4949-BD58-E7C972274C8A}" name="Column729" dataDxfId="15625"/>
    <tableColumn id="778" xr3:uid="{BD783CA5-8147-470D-AB13-CD659AA6E8DF}" name="Column730" dataDxfId="15624"/>
    <tableColumn id="779" xr3:uid="{DA58EF0F-D324-4214-A723-40693DA7B773}" name="Column731" dataDxfId="15623"/>
    <tableColumn id="780" xr3:uid="{BF003113-B691-4945-BBEE-832B68DCF6B4}" name="Column732" dataDxfId="15622"/>
    <tableColumn id="781" xr3:uid="{A6280ADA-C64C-4278-8D27-1C5534B7A888}" name="Column733" dataDxfId="15621"/>
    <tableColumn id="782" xr3:uid="{DE6037CF-5AB1-4844-8724-C5F238E9457E}" name="Column734" dataDxfId="15620"/>
    <tableColumn id="783" xr3:uid="{D214B4E1-1D58-466E-BB9A-5F35DEE71CCE}" name="Column735" dataDxfId="15619"/>
    <tableColumn id="784" xr3:uid="{D97F9285-130A-4695-A209-09CC0A17EDBD}" name="Column736" dataDxfId="15618"/>
    <tableColumn id="785" xr3:uid="{20699F51-28E7-45C4-88F0-9C41FD5F19ED}" name="Column737" dataDxfId="15617"/>
    <tableColumn id="786" xr3:uid="{E11BDE00-4CEE-49E4-A2C0-72B7D99BBF18}" name="Column738" dataDxfId="15616"/>
    <tableColumn id="787" xr3:uid="{709A4CD1-8B44-4CD0-B35E-2100C7B55D9F}" name="Column739" dataDxfId="15615"/>
    <tableColumn id="788" xr3:uid="{0A727B57-A5A4-4545-9634-64C9644F5519}" name="Column740" dataDxfId="15614"/>
    <tableColumn id="789" xr3:uid="{7F7BD5AA-8062-4AB5-98BA-72FA46A6708B}" name="Column741" dataDxfId="15613"/>
    <tableColumn id="790" xr3:uid="{C2FE9016-ABE2-44C6-AB8C-EA1140D6A17E}" name="Column742" dataDxfId="15612"/>
    <tableColumn id="791" xr3:uid="{6F7F2188-FE0D-4E58-B1C0-98E865E08A4C}" name="Column743" dataDxfId="15611"/>
    <tableColumn id="792" xr3:uid="{D43E452D-C08B-40E8-A2BA-AF0B73CC3591}" name="Column744" dataDxfId="15610"/>
    <tableColumn id="793" xr3:uid="{785D6BD0-E4D2-440B-87F9-739D1A30A781}" name="Column745" dataDxfId="15609"/>
    <tableColumn id="794" xr3:uid="{21547A8A-5706-4095-B563-5948A9F3F95D}" name="Column746" dataDxfId="15608"/>
    <tableColumn id="795" xr3:uid="{AD1927B6-4C3F-481B-BC56-9D83FE8E082B}" name="Column747" dataDxfId="15607"/>
    <tableColumn id="796" xr3:uid="{3AFD3E84-4010-4FDF-A5A4-078C2BCD8D44}" name="Column748" dataDxfId="15606"/>
    <tableColumn id="797" xr3:uid="{09C6CC2B-2DF5-480D-9356-CBEB5FD0B679}" name="Column749" dataDxfId="15605"/>
    <tableColumn id="798" xr3:uid="{D52B76EE-B27E-479D-8589-A0B769327965}" name="Column750" dataDxfId="15604"/>
    <tableColumn id="799" xr3:uid="{44B57AC3-51C8-461E-8C98-6DA3BC48ADA6}" name="Column751" dataDxfId="15603"/>
    <tableColumn id="800" xr3:uid="{C28F1D85-DA82-4B21-851E-3B6FADD98AF7}" name="Column752" dataDxfId="15602"/>
    <tableColumn id="801" xr3:uid="{1BC81FE1-2E91-4526-B7F8-B5EF4EE5E6C3}" name="Column753" dataDxfId="15601"/>
    <tableColumn id="802" xr3:uid="{0B543B4C-0299-4D53-8C66-2F0394009114}" name="Column754" dataDxfId="15600"/>
    <tableColumn id="803" xr3:uid="{88CFECE3-8E63-4E01-90C2-0899E433A64D}" name="Column755" dataDxfId="15599"/>
    <tableColumn id="804" xr3:uid="{8465C014-9965-4761-8C55-B8619773EEB3}" name="Column756" dataDxfId="15598"/>
    <tableColumn id="805" xr3:uid="{00763A36-D155-41BA-9C41-694E65F790A9}" name="Column757" dataDxfId="15597"/>
    <tableColumn id="806" xr3:uid="{22FA8F32-DE8A-45E9-A1C5-B70A0E833DD5}" name="Column758" dataDxfId="15596"/>
    <tableColumn id="807" xr3:uid="{8546213B-DE9F-4064-AC5F-1B7F27BA3FEC}" name="Column759" dataDxfId="15595"/>
    <tableColumn id="808" xr3:uid="{6B15B5B6-98A3-4BFB-ACE9-B8C95AEBE410}" name="Column760" dataDxfId="15594"/>
    <tableColumn id="809" xr3:uid="{0523A566-AFC2-49D6-99B2-E7372D88D5D8}" name="Column761" dataDxfId="15593"/>
    <tableColumn id="810" xr3:uid="{CC217CC6-EB7C-4211-80F3-3A39F17F1FA1}" name="Column762" dataDxfId="15592"/>
    <tableColumn id="811" xr3:uid="{59E19AAB-214A-4135-94FC-18C4CA6206A9}" name="Column763" dataDxfId="15591"/>
    <tableColumn id="812" xr3:uid="{5C4B4DE5-75C4-4BBC-8C16-0C79A53D7066}" name="Column764" dataDxfId="15590"/>
    <tableColumn id="813" xr3:uid="{CBD9B71F-9611-4A4D-B0FD-AC270E7CAE54}" name="Column765" dataDxfId="15589"/>
    <tableColumn id="814" xr3:uid="{1B6BCFA2-79D0-4D5C-84E2-F49A3D3005C7}" name="Column766" dataDxfId="15588"/>
    <tableColumn id="815" xr3:uid="{7F77D5F0-98DA-46FC-9B71-C1154D63847D}" name="Column767" dataDxfId="15587"/>
    <tableColumn id="816" xr3:uid="{9191CCE5-1F19-4C9D-92E6-CD5044BC1103}" name="Column768" dataDxfId="15586"/>
    <tableColumn id="817" xr3:uid="{45241E38-30F6-4020-B184-A4F06205002D}" name="Column769" dataDxfId="15585"/>
    <tableColumn id="818" xr3:uid="{46280008-87B6-44E6-9552-5DC9E4CEF1DC}" name="Column770" dataDxfId="15584"/>
    <tableColumn id="819" xr3:uid="{A8464EDD-A4BD-49A7-83C9-61CB4D296915}" name="Column771" dataDxfId="15583"/>
    <tableColumn id="820" xr3:uid="{00CC8F93-9CF6-406B-BEBB-14F7ECD8151E}" name="Column772" dataDxfId="15582"/>
    <tableColumn id="821" xr3:uid="{8799BDF8-4A4E-470F-A250-E84BF8A3746D}" name="Column773" dataDxfId="15581"/>
    <tableColumn id="822" xr3:uid="{F7584394-3400-49A3-AED9-D108A2EA6393}" name="Column774" dataDxfId="15580"/>
    <tableColumn id="823" xr3:uid="{64ECDA97-49F7-4816-B14A-962B46BB44C9}" name="Column775" dataDxfId="15579"/>
    <tableColumn id="824" xr3:uid="{79FF342C-4F7A-412D-A90B-E73B53F69ECA}" name="Column776" dataDxfId="15578"/>
    <tableColumn id="825" xr3:uid="{1685F295-3046-456F-9DA4-F90118F1DF2D}" name="Column777" dataDxfId="15577"/>
    <tableColumn id="826" xr3:uid="{A00E6458-8088-4B83-949D-00D2B210837E}" name="Column778" dataDxfId="15576"/>
    <tableColumn id="827" xr3:uid="{D0A18EE0-F461-4836-BD2B-95030B1EA678}" name="Column779" dataDxfId="15575"/>
    <tableColumn id="828" xr3:uid="{CC00A647-E7F3-45CB-9464-63C3DD15F667}" name="Column780" dataDxfId="15574"/>
    <tableColumn id="829" xr3:uid="{49AE0E99-905F-4444-AA68-39D53B0B56BA}" name="Column781" dataDxfId="15573"/>
    <tableColumn id="830" xr3:uid="{A6AF97EE-493B-4BF5-AAD6-4D71A0DAB459}" name="Column782" dataDxfId="15572"/>
    <tableColumn id="831" xr3:uid="{591C4F80-63C4-45BA-9FA3-2FA2875FC099}" name="Column783" dataDxfId="15571"/>
    <tableColumn id="832" xr3:uid="{8D292C64-52D3-4F58-8E23-2EEFFB3BAF8F}" name="Column784" dataDxfId="15570"/>
    <tableColumn id="833" xr3:uid="{1C0DA880-40B8-4E8D-8478-4ADC05C36977}" name="Column785" dataDxfId="15569"/>
    <tableColumn id="834" xr3:uid="{31215D97-5072-406F-BC94-086D63C62642}" name="Column786" dataDxfId="15568"/>
    <tableColumn id="835" xr3:uid="{0ECCC911-FFA7-48D1-A80A-D05B21BCFE02}" name="Column787" dataDxfId="15567"/>
    <tableColumn id="836" xr3:uid="{2D0822C2-6653-421C-AB3E-D162D60E8384}" name="Column788" dataDxfId="15566"/>
    <tableColumn id="837" xr3:uid="{1D5CD44A-E0E8-407F-8828-CCB2623C347F}" name="Column789" dataDxfId="15565"/>
    <tableColumn id="838" xr3:uid="{8E7B68B4-95D4-4F03-9A1B-997F751F9405}" name="Column790" dataDxfId="15564"/>
    <tableColumn id="839" xr3:uid="{C82B5508-F73F-4099-AB3E-9705A7CD4227}" name="Column791" dataDxfId="15563"/>
    <tableColumn id="840" xr3:uid="{337AAC73-9140-4343-8A42-6E52184820E9}" name="Column792" dataDxfId="15562"/>
    <tableColumn id="841" xr3:uid="{23C9ADA7-3F70-47DB-9CD8-48A9FE16BC6D}" name="Column793" dataDxfId="15561"/>
    <tableColumn id="842" xr3:uid="{9334D564-3F54-4A1A-8AEE-32C0A28C4A3E}" name="Column794" dataDxfId="15560"/>
    <tableColumn id="843" xr3:uid="{7684C63E-A9B1-4EE0-968C-95046291EF27}" name="Column795" dataDxfId="15559"/>
    <tableColumn id="844" xr3:uid="{B2B63B9E-F3B7-4AC1-98DE-4ED5B32F657D}" name="Column796" dataDxfId="15558"/>
    <tableColumn id="845" xr3:uid="{B4C362EA-9653-4AE8-AEA7-521BA747A883}" name="Column797" dataDxfId="15557"/>
    <tableColumn id="846" xr3:uid="{EFB618FD-6C29-4A1B-ACE1-A62B428D7A4D}" name="Column798" dataDxfId="15556"/>
    <tableColumn id="847" xr3:uid="{86C5434B-5ACF-4AEF-AAF9-35A8C13FF7B2}" name="Column799" dataDxfId="15555"/>
    <tableColumn id="848" xr3:uid="{C7FD6244-CDF2-4107-812C-794A3DF0E315}" name="Column800" dataDxfId="15554"/>
    <tableColumn id="849" xr3:uid="{A36836D1-CF2D-4156-993E-F40CF772BA17}" name="Column801" dataDxfId="15553"/>
    <tableColumn id="850" xr3:uid="{E759F216-C1D9-44B1-A5CA-EEE66DA05C02}" name="Column802" dataDxfId="15552"/>
    <tableColumn id="851" xr3:uid="{9FF7E30A-5CFB-48EF-A1D1-F58D5C185905}" name="Column803" dataDxfId="15551"/>
    <tableColumn id="852" xr3:uid="{53D6CCF7-D26B-4173-9CDE-3EB278FD4F36}" name="Column804" dataDxfId="15550"/>
    <tableColumn id="853" xr3:uid="{F2CF657F-E7C1-4916-BA7A-869D92ECA6DA}" name="Column805" dataDxfId="15549"/>
    <tableColumn id="854" xr3:uid="{0A1B1A04-8CB5-4BC0-A2C4-DE43A369A8A1}" name="Column806" dataDxfId="15548"/>
    <tableColumn id="855" xr3:uid="{AEDCB0F5-35B2-4C8F-A389-4167DD8EE143}" name="Column807" dataDxfId="15547"/>
    <tableColumn id="856" xr3:uid="{603F3001-4384-4188-86C4-A1BE2198DAC5}" name="Column808" dataDxfId="15546"/>
    <tableColumn id="857" xr3:uid="{F85DCF73-BA3B-4C1B-A096-13D2A473F93D}" name="Column809" dataDxfId="15545"/>
    <tableColumn id="858" xr3:uid="{054B70A5-52D5-4EE5-AF14-F55BB7B6FB04}" name="Column810" dataDxfId="15544"/>
    <tableColumn id="859" xr3:uid="{5ED6F19E-1579-4ADA-8D2B-DE9FBA95D6ED}" name="Column811" dataDxfId="15543"/>
    <tableColumn id="860" xr3:uid="{E0A21DBC-44C4-44B7-943D-B078875C247A}" name="Column812" dataDxfId="15542"/>
    <tableColumn id="861" xr3:uid="{9B5A1A00-C67E-488E-B067-90BC0F566EFA}" name="Column813" dataDxfId="15541"/>
    <tableColumn id="862" xr3:uid="{4F9756FA-8871-4518-9B05-896B5B90CA2F}" name="Column814" dataDxfId="15540"/>
    <tableColumn id="863" xr3:uid="{180A8318-CD1D-49EF-9D23-43C1A543AF40}" name="Column815" dataDxfId="15539"/>
    <tableColumn id="864" xr3:uid="{F52FB8E5-21C4-4BC5-B357-66C70D007B54}" name="Column816" dataDxfId="15538"/>
    <tableColumn id="865" xr3:uid="{2A742CE7-C221-476A-AD9A-F30C3B4A7C84}" name="Column817" dataDxfId="15537"/>
    <tableColumn id="866" xr3:uid="{2D7CE4EC-9E12-4F71-969A-CFF087264FDD}" name="Column818" dataDxfId="15536"/>
    <tableColumn id="867" xr3:uid="{A1FB1D67-BB27-4A69-B02B-FB56F0255BEB}" name="Column819" dataDxfId="15535"/>
    <tableColumn id="868" xr3:uid="{F4836AF4-0C6F-4658-8825-9819B1F1DFB6}" name="Column820" dataDxfId="15534"/>
    <tableColumn id="869" xr3:uid="{EBF305FE-978E-44C2-A627-C9B21A554BDC}" name="Column821" dataDxfId="15533"/>
    <tableColumn id="870" xr3:uid="{9F160F59-1EEA-48C4-959D-89D1264BF43C}" name="Column822" dataDxfId="15532"/>
    <tableColumn id="871" xr3:uid="{0B32CDDF-74AA-413F-B747-E175BA878155}" name="Column823" dataDxfId="15531"/>
    <tableColumn id="872" xr3:uid="{8F5167E4-F6D0-41FB-86C2-962346903B5A}" name="Column824" dataDxfId="15530"/>
    <tableColumn id="873" xr3:uid="{7EB071AD-A25C-4A47-959B-0B71067C98E5}" name="Column825" dataDxfId="15529"/>
    <tableColumn id="874" xr3:uid="{BAE1045E-9EDB-4164-A373-896A734CDA6C}" name="Column826" dataDxfId="15528"/>
    <tableColumn id="875" xr3:uid="{A4AB8735-F5F8-4545-8C05-D45A73785C11}" name="Column827" dataDxfId="15527"/>
    <tableColumn id="876" xr3:uid="{2E77CA11-915D-4919-8056-A75F9AEF2300}" name="Column828" dataDxfId="15526"/>
    <tableColumn id="877" xr3:uid="{5114A6E7-F732-4C85-83D5-CBAE02E43478}" name="Column829" dataDxfId="15525"/>
    <tableColumn id="878" xr3:uid="{33A065BD-FEDC-475D-96F6-B835F029E9A9}" name="Column830" dataDxfId="15524"/>
    <tableColumn id="879" xr3:uid="{2959522B-6B95-48C0-AD21-B515D51ED9CE}" name="Column831" dataDxfId="15523"/>
    <tableColumn id="880" xr3:uid="{F05CEB7D-5D7B-48D7-8E5C-D28A51D03D2F}" name="Column832" dataDxfId="15522"/>
    <tableColumn id="881" xr3:uid="{F6479D2E-C69B-4970-887B-C7CA6562CBCA}" name="Column833" dataDxfId="15521"/>
    <tableColumn id="882" xr3:uid="{1443BB9D-9A12-41D6-BDB3-1A5C09A6DC6C}" name="Column834" dataDxfId="15520"/>
    <tableColumn id="883" xr3:uid="{13915A56-DEF2-4C03-B43F-77711E414748}" name="Column835" dataDxfId="15519"/>
    <tableColumn id="884" xr3:uid="{CE1F52EF-F5D1-464A-8D61-51FE89DBC242}" name="Column836" dataDxfId="15518"/>
    <tableColumn id="885" xr3:uid="{B10B2344-850D-415A-BFFE-78224F23FCB7}" name="Column837" dataDxfId="15517"/>
    <tableColumn id="886" xr3:uid="{DCCD9075-E9E4-4B37-90A8-F48E08A25AD1}" name="Column838" dataDxfId="15516"/>
    <tableColumn id="887" xr3:uid="{A4B1A3BC-B2AD-41FB-A222-225EDE932D0F}" name="Column839" dataDxfId="15515"/>
    <tableColumn id="888" xr3:uid="{EE52EBBB-C6F4-4953-9F2F-6441024BAB87}" name="Column840" dataDxfId="15514"/>
    <tableColumn id="889" xr3:uid="{E648752C-CB4B-4B38-A4EA-2B5AFCFC3BA3}" name="Column841" dataDxfId="15513"/>
    <tableColumn id="890" xr3:uid="{CB81B53D-93A8-450C-90C0-9A300B11E97A}" name="Column842" dataDxfId="15512"/>
    <tableColumn id="891" xr3:uid="{C5E966E9-0567-4E1F-A355-0BD502C8B12C}" name="Column843" dataDxfId="15511"/>
    <tableColumn id="892" xr3:uid="{7E9715EB-4F4D-403F-B801-B99823E61872}" name="Column844" dataDxfId="15510"/>
    <tableColumn id="893" xr3:uid="{1724187B-2A14-44E3-82BD-4BFE5D1BB4D1}" name="Column845" dataDxfId="15509"/>
    <tableColumn id="894" xr3:uid="{7C4CA25B-C48B-4E2D-A3DD-BD749427678D}" name="Column846" dataDxfId="15508"/>
    <tableColumn id="895" xr3:uid="{0136CA52-B197-4003-8426-2AADA469CC03}" name="Column847" dataDxfId="15507"/>
    <tableColumn id="896" xr3:uid="{5990F29A-5813-4AC6-A2FD-2E042E62F62D}" name="Column848" dataDxfId="15506"/>
    <tableColumn id="897" xr3:uid="{9A68BE77-FE79-48FA-BC19-47E53CF16BFB}" name="Column849" dataDxfId="15505"/>
    <tableColumn id="898" xr3:uid="{9E114CBC-EE33-467A-894F-BFD3F1547558}" name="Column850" dataDxfId="15504"/>
    <tableColumn id="899" xr3:uid="{4E9E3AF1-D333-42CC-BB64-27238CBF229C}" name="Column851" dataDxfId="15503"/>
    <tableColumn id="900" xr3:uid="{211DA488-8206-45E2-9729-CC1F86A6AB5C}" name="Column852" dataDxfId="15502"/>
    <tableColumn id="901" xr3:uid="{BAC8B3C3-E75D-40FB-A730-6D8483A4747C}" name="Column853" dataDxfId="15501"/>
    <tableColumn id="902" xr3:uid="{58AF40A1-E137-4A44-8E4A-9A7288E24841}" name="Column854" dataDxfId="15500"/>
    <tableColumn id="903" xr3:uid="{5CCEB1DB-953F-4E10-B15C-C5BD8F52A333}" name="Column855" dataDxfId="15499"/>
    <tableColumn id="904" xr3:uid="{2871E924-1CC6-4660-AFD4-DD76B6AE4F47}" name="Column856" dataDxfId="15498"/>
    <tableColumn id="905" xr3:uid="{F5B3A667-72E6-4925-A463-E1774033C1C2}" name="Column857" dataDxfId="15497"/>
    <tableColumn id="906" xr3:uid="{476D2CB5-C2B6-4712-8BE0-9E59EF33DF4E}" name="Column858" dataDxfId="15496"/>
    <tableColumn id="907" xr3:uid="{15356883-0E28-4188-8DE8-2782084B39C5}" name="Column859" dataDxfId="15495"/>
    <tableColumn id="908" xr3:uid="{13C58DFC-5C02-4153-8252-0B560671F7A6}" name="Column860" dataDxfId="15494"/>
    <tableColumn id="909" xr3:uid="{DA9561A4-0F4C-4A0A-B501-02E2BCC9CE9C}" name="Column861" dataDxfId="15493"/>
    <tableColumn id="910" xr3:uid="{E124D6BD-9B1B-49A8-9F8E-3580BD0210F0}" name="Column862" dataDxfId="15492"/>
    <tableColumn id="911" xr3:uid="{BF1029F0-B4B9-4F62-B24A-E5892DFC8A41}" name="Column863" dataDxfId="15491"/>
    <tableColumn id="912" xr3:uid="{A5DBF5B7-A690-4F7C-941A-A1AF56F84EA3}" name="Column864" dataDxfId="15490"/>
    <tableColumn id="913" xr3:uid="{3029E944-1D27-4A2D-8451-B29D991D4FA3}" name="Column865" dataDxfId="15489"/>
    <tableColumn id="914" xr3:uid="{6A45A3A7-7DF1-4BD8-8123-4CD0FA437003}" name="Column866" dataDxfId="15488"/>
    <tableColumn id="915" xr3:uid="{A56CD39F-AE94-478D-84D2-B6C445652984}" name="Column867" dataDxfId="15487"/>
    <tableColumn id="916" xr3:uid="{B290EC57-9645-4A65-B791-1969298C5B39}" name="Column868" dataDxfId="15486"/>
    <tableColumn id="917" xr3:uid="{31FC7F61-B95D-43D5-A70E-AB4BBECAFF84}" name="Column869" dataDxfId="15485"/>
    <tableColumn id="918" xr3:uid="{1B401837-2CE8-406D-A53A-37E0BAA40997}" name="Column870" dataDxfId="15484"/>
    <tableColumn id="919" xr3:uid="{73D5FA61-9EF1-4FA2-BFFE-12A2F93D7458}" name="Column871" dataDxfId="15483"/>
    <tableColumn id="920" xr3:uid="{72E9E872-40C5-4DC5-AA74-421036BCBEF6}" name="Column872" dataDxfId="15482"/>
    <tableColumn id="921" xr3:uid="{1E389E6D-F28A-4A94-8FA4-0392CC15C514}" name="Column873" dataDxfId="15481"/>
    <tableColumn id="922" xr3:uid="{4FF7E9B2-00B4-4957-806E-1A3F9108D6FC}" name="Column874" dataDxfId="15480"/>
    <tableColumn id="923" xr3:uid="{A58CD151-AB29-4B78-93B9-9504644C05A6}" name="Column875" dataDxfId="15479"/>
    <tableColumn id="924" xr3:uid="{E8D078EE-ACF5-4C65-98F5-D2DA9AE534C2}" name="Column876" dataDxfId="15478"/>
    <tableColumn id="925" xr3:uid="{2C2B238F-7820-4294-874D-1C6F66B8A41B}" name="Column877" dataDxfId="15477"/>
    <tableColumn id="926" xr3:uid="{9602E2E0-CA0C-412F-BCB9-C705989F99F0}" name="Column878" dataDxfId="15476"/>
    <tableColumn id="927" xr3:uid="{8131123C-EF72-42E8-B904-8CA07D0F67E3}" name="Column879" dataDxfId="15475"/>
    <tableColumn id="928" xr3:uid="{8A6754E5-A957-4B29-AF8F-E30D06719691}" name="Column880" dataDxfId="15474"/>
    <tableColumn id="929" xr3:uid="{1970D133-73E5-43D3-90F6-1E7D68CC3998}" name="Column881" dataDxfId="15473"/>
    <tableColumn id="930" xr3:uid="{0842E67F-8B18-4EAF-8B82-41795D8513E9}" name="Column882" dataDxfId="15472"/>
    <tableColumn id="931" xr3:uid="{F989F289-8804-4EB1-B42B-41B0B850A291}" name="Column883" dataDxfId="15471"/>
    <tableColumn id="932" xr3:uid="{C93D7808-404A-42FB-A30E-CDFA9BE2AB7C}" name="Column884" dataDxfId="15470"/>
    <tableColumn id="933" xr3:uid="{8F1012CA-7D0D-455D-A08F-AD718A9594D8}" name="Column885" dataDxfId="15469"/>
    <tableColumn id="934" xr3:uid="{D0965E66-4886-4363-8308-6F3ECC98D0C0}" name="Column886" dataDxfId="15468"/>
    <tableColumn id="935" xr3:uid="{47871C3F-512D-4586-BC53-F44D3E680664}" name="Column887" dataDxfId="15467"/>
    <tableColumn id="936" xr3:uid="{923DDAF9-B2A8-44A6-B88B-08187A78C849}" name="Column888" dataDxfId="15466"/>
    <tableColumn id="937" xr3:uid="{CACE96C4-7D3B-4575-9072-3459E951A447}" name="Column889" dataDxfId="15465"/>
    <tableColumn id="938" xr3:uid="{04C7DF22-2370-44D4-B124-24F5FB419CF1}" name="Column890" dataDxfId="15464"/>
    <tableColumn id="939" xr3:uid="{1534B54F-5068-478E-B2BC-4EF467E15753}" name="Column891" dataDxfId="15463"/>
    <tableColumn id="940" xr3:uid="{1016E35D-C848-4373-8907-9C9E317D152F}" name="Column892" dataDxfId="15462"/>
    <tableColumn id="941" xr3:uid="{5D8249CE-9A12-409F-8039-9A583E1FF2DF}" name="Column893" dataDxfId="15461"/>
    <tableColumn id="942" xr3:uid="{E418F0C2-D62C-47D4-B553-9390D97F4AF0}" name="Column894" dataDxfId="15460"/>
    <tableColumn id="943" xr3:uid="{CC54423C-6815-4DBB-AF65-19C697A34620}" name="Column895" dataDxfId="15459"/>
    <tableColumn id="944" xr3:uid="{E23557B5-C599-4DAC-8037-1BFF423D7681}" name="Column896" dataDxfId="15458"/>
    <tableColumn id="945" xr3:uid="{2A9E5C55-9210-46C8-801E-E4E6804FDB7B}" name="Column897" dataDxfId="15457"/>
    <tableColumn id="946" xr3:uid="{8891833B-B204-47E6-994E-31A6C5136A96}" name="Column898" dataDxfId="15456"/>
    <tableColumn id="947" xr3:uid="{979F55C7-DD0F-498F-BEA9-003BBC578425}" name="Column899" dataDxfId="15455"/>
    <tableColumn id="948" xr3:uid="{E0B435FA-9BEF-4F05-9399-BCF632F2808C}" name="Column900" dataDxfId="15454"/>
    <tableColumn id="949" xr3:uid="{E77C76F1-B01B-49C5-A588-A9BE9D5EC9D2}" name="Column901" dataDxfId="15453"/>
    <tableColumn id="950" xr3:uid="{D1EDC0E2-154E-4C54-AEBD-726EE33E1A3C}" name="Column902" dataDxfId="15452"/>
    <tableColumn id="951" xr3:uid="{56E6B8C6-F1A4-4D50-8359-0286DAEFDA2C}" name="Column903" dataDxfId="15451"/>
    <tableColumn id="952" xr3:uid="{13330608-155E-42CD-B485-86D3896FA69E}" name="Column904" dataDxfId="15450"/>
    <tableColumn id="953" xr3:uid="{D21F2F30-C1DC-4635-82E8-6E37FAA4B4A7}" name="Column905" dataDxfId="15449"/>
    <tableColumn id="954" xr3:uid="{B18F2BAF-F68C-4647-93DF-4A313A91A050}" name="Column906" dataDxfId="15448"/>
    <tableColumn id="955" xr3:uid="{E696B874-00CB-4F2D-83AE-E1AE261C9A1D}" name="Column907" dataDxfId="15447"/>
    <tableColumn id="956" xr3:uid="{C72A333F-5F9F-49A1-BC18-B4ABB0C47232}" name="Column908" dataDxfId="15446"/>
    <tableColumn id="957" xr3:uid="{724DA6D5-F6C8-4AF5-BC80-DF463546943A}" name="Column909" dataDxfId="15445"/>
    <tableColumn id="958" xr3:uid="{93C460E5-CD8B-4D03-92FF-C3A67917ADBA}" name="Column910" dataDxfId="15444"/>
    <tableColumn id="959" xr3:uid="{5A86AC32-077C-499F-BADD-ADACD79877C3}" name="Column911" dataDxfId="15443"/>
    <tableColumn id="960" xr3:uid="{E40DD7A5-7DCA-49BC-A27F-C4011EFCE71F}" name="Column912" dataDxfId="15442"/>
    <tableColumn id="961" xr3:uid="{74420AE2-6F55-49B2-B179-A091C1D989FD}" name="Column913" dataDxfId="15441"/>
    <tableColumn id="962" xr3:uid="{1A046306-3D62-4355-A6B7-0B0575FB1BE9}" name="Column914" dataDxfId="15440"/>
    <tableColumn id="963" xr3:uid="{4992735A-4BC7-4F38-AA33-CF126630924B}" name="Column915" dataDxfId="15439"/>
    <tableColumn id="964" xr3:uid="{D201A1E8-EB1F-4B16-90CB-828617D57871}" name="Column916" dataDxfId="15438"/>
    <tableColumn id="965" xr3:uid="{2AA26070-3E15-498F-A439-C929A3A84734}" name="Column917" dataDxfId="15437"/>
    <tableColumn id="966" xr3:uid="{9FDD9213-85CF-47ED-B763-6746BB8CC1C3}" name="Column918" dataDxfId="15436"/>
    <tableColumn id="967" xr3:uid="{3A01AE2C-5F3B-460D-B6E0-5736AE8FEAFA}" name="Column919" dataDxfId="15435"/>
    <tableColumn id="968" xr3:uid="{5F181B48-8341-485B-B775-A7B7BD63F0F4}" name="Column920" dataDxfId="15434"/>
    <tableColumn id="969" xr3:uid="{21546C87-5CBC-48CA-9048-5A1CBA73F9D3}" name="Column921" dataDxfId="15433"/>
    <tableColumn id="970" xr3:uid="{03D48C0F-5B88-47EC-B7B0-5E725F3A0A4D}" name="Column922" dataDxfId="15432"/>
    <tableColumn id="971" xr3:uid="{4A3B0460-4BA8-4272-9489-05382A608C56}" name="Column923" dataDxfId="15431"/>
    <tableColumn id="972" xr3:uid="{C91C53B4-EAAF-4FEE-A1CD-38186425F9EE}" name="Column924" dataDxfId="15430"/>
    <tableColumn id="973" xr3:uid="{26A43875-5E9B-40BE-A3C6-1F1EB70DECAB}" name="Column925" dataDxfId="15429"/>
    <tableColumn id="974" xr3:uid="{56BE91E3-B5BD-4951-BB48-B7BDCF23A7C4}" name="Column926" dataDxfId="15428"/>
    <tableColumn id="975" xr3:uid="{4BAC2651-282C-4FF7-ABC3-CE8DA9EEA69E}" name="Column927" dataDxfId="15427"/>
    <tableColumn id="976" xr3:uid="{36A8CCE1-4436-460E-AD9D-6FC59E30BE4A}" name="Column928" dataDxfId="15426"/>
    <tableColumn id="977" xr3:uid="{F1D2E944-2605-4A7E-BD90-1A82A5AF1203}" name="Column929" dataDxfId="15425"/>
    <tableColumn id="978" xr3:uid="{30E5F39B-8B09-4DB0-ACF5-D03D8BC395F2}" name="Column930" dataDxfId="15424"/>
    <tableColumn id="979" xr3:uid="{7297EC16-D60A-4539-9BF1-4D9C1C0623D5}" name="Column931" dataDxfId="15423"/>
    <tableColumn id="980" xr3:uid="{5BA5FCBB-CB32-41A3-B766-0D7EE0D82CC3}" name="Column932" dataDxfId="15422"/>
    <tableColumn id="981" xr3:uid="{43A21C2B-0CFE-4399-BB8D-5147AD14D96E}" name="Column933" dataDxfId="15421"/>
    <tableColumn id="982" xr3:uid="{DE6C1121-7C9F-4E61-AC08-5A90AFD68BB7}" name="Column934" dataDxfId="15420"/>
    <tableColumn id="983" xr3:uid="{156574E7-9DF2-4E5D-B762-A9F0DEC915DE}" name="Column935" dataDxfId="15419"/>
    <tableColumn id="984" xr3:uid="{D1A53EC2-3656-4758-89AA-42BDF50FF130}" name="Column936" dataDxfId="15418"/>
    <tableColumn id="985" xr3:uid="{3EC74AC7-50C8-4B1D-9623-ED941956451A}" name="Column937" dataDxfId="15417"/>
    <tableColumn id="986" xr3:uid="{1D2953F8-30BE-4D7E-A377-9F5A93E86C25}" name="Column938" dataDxfId="15416"/>
    <tableColumn id="987" xr3:uid="{10640443-73E0-4455-A129-CC7005A76BA4}" name="Column939" dataDxfId="15415"/>
    <tableColumn id="988" xr3:uid="{110D1A0C-0A96-4480-808A-3A1EFF307FB7}" name="Column940" dataDxfId="15414"/>
    <tableColumn id="989" xr3:uid="{BC2B8E5C-5EC6-4E73-A0B3-BA8D1912AE75}" name="Column941" dataDxfId="15413"/>
    <tableColumn id="990" xr3:uid="{39211A97-FB70-4308-AA35-AEE93DE894ED}" name="Column942" dataDxfId="15412"/>
    <tableColumn id="991" xr3:uid="{0E40D89F-A7FE-4A6B-89C2-7B111B0E20E0}" name="Column943" dataDxfId="15411"/>
    <tableColumn id="992" xr3:uid="{5E1716C3-2BC6-4EE6-ADB6-6070C292095C}" name="Column944" dataDxfId="15410"/>
    <tableColumn id="993" xr3:uid="{CA5EDC8D-FF6B-4087-82FF-FBA1A18D74C9}" name="Column945" dataDxfId="15409"/>
    <tableColumn id="994" xr3:uid="{7B32B4F2-DAC2-4A3E-9EE6-2F674F845DB5}" name="Column946" dataDxfId="15408"/>
    <tableColumn id="995" xr3:uid="{073540E2-A313-4A9C-9D07-6002CF588178}" name="Column947" dataDxfId="15407"/>
    <tableColumn id="996" xr3:uid="{49318762-2751-4DF7-8F44-36CB2175F620}" name="Column948" dataDxfId="15406"/>
    <tableColumn id="997" xr3:uid="{56A873FA-5A88-47BA-86A8-C0B046021EA2}" name="Column949" dataDxfId="15405"/>
    <tableColumn id="998" xr3:uid="{0997DDC2-0CD2-4710-8E01-C424065C0045}" name="Column950" dataDxfId="15404"/>
    <tableColumn id="999" xr3:uid="{E4B68ECA-6811-49A8-A800-5620B44E8B6D}" name="Column951" dataDxfId="15403"/>
    <tableColumn id="1000" xr3:uid="{FDE6393F-3722-4195-B140-D77AC176BED6}" name="Column952" dataDxfId="15402"/>
    <tableColumn id="1001" xr3:uid="{707DD3FD-A8B7-4D9E-B5B3-30609CF4C0BA}" name="Column953" dataDxfId="15401"/>
    <tableColumn id="1002" xr3:uid="{C29DA43F-8747-4D44-9215-A33174A6FB48}" name="Column954" dataDxfId="15400"/>
    <tableColumn id="1003" xr3:uid="{73E86983-D050-4709-A46C-23A202F4BCA2}" name="Column955" dataDxfId="15399"/>
    <tableColumn id="1004" xr3:uid="{993EBE99-2F7E-4191-A9DB-615BE709FC28}" name="Column956" dataDxfId="15398"/>
    <tableColumn id="1005" xr3:uid="{206424BB-60CB-49D3-9BFB-0AB73545438C}" name="Column957" dataDxfId="15397"/>
    <tableColumn id="1006" xr3:uid="{AF1F4790-CA10-48D9-9637-4FCAB005F5A3}" name="Column958" dataDxfId="15396"/>
    <tableColumn id="1007" xr3:uid="{8EEC5BD3-DC98-415D-ABFA-97D7937A1717}" name="Column959" dataDxfId="15395"/>
    <tableColumn id="1008" xr3:uid="{2D761748-FB9D-4D0F-9266-655A3CB6873D}" name="Column960" dataDxfId="15394"/>
    <tableColumn id="1009" xr3:uid="{117B05A6-1710-4480-A477-A86DC61B87A2}" name="Column961" dataDxfId="15393"/>
    <tableColumn id="1010" xr3:uid="{9F6B097C-7635-4161-A829-96E8BFA880D3}" name="Column962" dataDxfId="15392"/>
    <tableColumn id="1011" xr3:uid="{AE32AF12-B6C5-417E-82C3-15AD7E3D0E2C}" name="Column963" dataDxfId="15391"/>
    <tableColumn id="1012" xr3:uid="{BC395C31-1775-4BDA-AD2B-0B6E6FD3B703}" name="Column964" dataDxfId="15390"/>
    <tableColumn id="1013" xr3:uid="{6C54FC6F-3FE1-40D5-897F-BB2E491D95E2}" name="Column965" dataDxfId="15389"/>
    <tableColumn id="1014" xr3:uid="{8868F44C-7D5D-43FE-9787-EA3135B16DE2}" name="Column966" dataDxfId="15388"/>
    <tableColumn id="1015" xr3:uid="{94E17FB4-5189-43F5-ADA9-6BA6ABC27023}" name="Column967" dataDxfId="15387"/>
    <tableColumn id="1016" xr3:uid="{32DCE6A4-A931-4CE1-98AD-42F073F5612C}" name="Column968" dataDxfId="15386"/>
    <tableColumn id="1017" xr3:uid="{4ABDFE2D-7587-449E-AAB0-D0E9A2DBAEAD}" name="Column969" dataDxfId="15385"/>
    <tableColumn id="1018" xr3:uid="{8BCB1D37-44F1-43B6-98BA-14D19C9B8B35}" name="Column970" dataDxfId="15384"/>
    <tableColumn id="1019" xr3:uid="{9E2F933C-8834-4C57-A6AC-9C0790649A1D}" name="Column971" dataDxfId="15383"/>
    <tableColumn id="1020" xr3:uid="{EDACDE65-86CE-4EDB-8ABA-1BC076448907}" name="Column972" dataDxfId="15382"/>
    <tableColumn id="1021" xr3:uid="{F3E07065-F7D2-4417-9582-F6B9C74C7DED}" name="Column973" dataDxfId="15381"/>
    <tableColumn id="1022" xr3:uid="{D40C3FF8-1859-4C23-8D62-6EF05C077F75}" name="Column974" dataDxfId="15380"/>
    <tableColumn id="1023" xr3:uid="{D0269164-F141-476A-A92A-0E7B78931E8A}" name="Column975" dataDxfId="15379"/>
    <tableColumn id="1024" xr3:uid="{06AAD496-5DC0-450D-A11E-E7AF7E7B8E21}" name="Column976" dataDxfId="15378"/>
    <tableColumn id="1025" xr3:uid="{3AEDF52A-3433-453C-B7C7-18C2DAFF3201}" name="Column977" dataDxfId="15377"/>
    <tableColumn id="1026" xr3:uid="{2B40FBFF-0919-47BE-AAEF-C6724F0271A3}" name="Column978" dataDxfId="15376"/>
    <tableColumn id="1027" xr3:uid="{849DAB32-86FC-4C96-806E-720A2F525E29}" name="Column979" dataDxfId="15375"/>
    <tableColumn id="1028" xr3:uid="{B076629F-E9A4-48AE-9DCE-C15F23C4E0A1}" name="Column980" dataDxfId="15374"/>
    <tableColumn id="1029" xr3:uid="{601110BA-244A-4FD2-BA40-B51394F96278}" name="Column981" dataDxfId="15373"/>
    <tableColumn id="1030" xr3:uid="{626D9AC2-2747-4B5A-AC76-DE33C71227F1}" name="Column982" dataDxfId="15372"/>
    <tableColumn id="1031" xr3:uid="{A78C5FC2-29B0-41D8-8528-97EF74232D39}" name="Column983" dataDxfId="15371"/>
    <tableColumn id="1032" xr3:uid="{63B2890F-AD1B-44AC-80B0-103C2ACE77B2}" name="Column984" dataDxfId="15370"/>
    <tableColumn id="1033" xr3:uid="{D4A9DA63-F8F6-4F95-A76F-656DE56195CA}" name="Column985" dataDxfId="15369"/>
    <tableColumn id="1034" xr3:uid="{9237CB22-76E5-4D4A-BCE2-9CC4FA5F8FC5}" name="Column986" dataDxfId="15368"/>
    <tableColumn id="1035" xr3:uid="{A656DE5D-FF93-4792-AE50-2F91727BA021}" name="Column987" dataDxfId="15367"/>
    <tableColumn id="1036" xr3:uid="{7745F839-6B6C-4EBD-85F3-292C5EFC2EA3}" name="Column988" dataDxfId="15366"/>
    <tableColumn id="1037" xr3:uid="{946B89FD-AB19-417D-A80F-EA736C0A8128}" name="Column989" dataDxfId="15365"/>
    <tableColumn id="1038" xr3:uid="{EC0257ED-B962-4584-91A4-724934AA5468}" name="Column990" dataDxfId="15364"/>
    <tableColumn id="1039" xr3:uid="{E32C6947-A863-442F-AB0F-13FCD450A34A}" name="Column991" dataDxfId="15363"/>
    <tableColumn id="1040" xr3:uid="{82E98220-C788-4F88-A565-503331ACC246}" name="Column992" dataDxfId="15362"/>
    <tableColumn id="1041" xr3:uid="{DCEA0A87-B33A-40EE-B931-C42A3CB6B782}" name="Column993" dataDxfId="15361"/>
    <tableColumn id="1042" xr3:uid="{290C3217-2E04-448D-9471-287B4C3121E6}" name="Column994" dataDxfId="15360"/>
    <tableColumn id="1043" xr3:uid="{9C5E26B7-A751-401A-B174-185F0579D935}" name="Column995" dataDxfId="15359"/>
    <tableColumn id="1044" xr3:uid="{FD528BB0-4D99-4FB2-B742-71170CBD17AF}" name="Column996" dataDxfId="15358"/>
    <tableColumn id="1045" xr3:uid="{EBC39C2C-183D-4DC9-B307-EDF3EB5090AE}" name="Column997" dataDxfId="15357"/>
    <tableColumn id="1046" xr3:uid="{61C45188-6CB5-4951-966C-0D137DFD0FB8}" name="Column998" dataDxfId="15356"/>
    <tableColumn id="1047" xr3:uid="{FDE9ED20-6126-4E74-B8B9-8418D5209562}" name="Column999" dataDxfId="15355"/>
    <tableColumn id="1048" xr3:uid="{DE10AAD9-5602-49A4-8EAE-C1D3F4D3E4E8}" name="Column1000" dataDxfId="15354"/>
    <tableColumn id="1049" xr3:uid="{C3C9956C-20AF-49B9-8F08-CC6F42762D15}" name="Column1001" dataDxfId="15353"/>
    <tableColumn id="1050" xr3:uid="{48188FA0-F73B-4FF1-811B-CC4AF02200C9}" name="Column1002" dataDxfId="15352"/>
    <tableColumn id="1051" xr3:uid="{DAC8E340-33ED-4F91-BC60-CE49D88DAF0F}" name="Column1003" dataDxfId="15351"/>
    <tableColumn id="1052" xr3:uid="{E9F5E83E-35CA-4126-8889-E29CEAB6818B}" name="Column1004" dataDxfId="15350"/>
    <tableColumn id="1053" xr3:uid="{0C02E89B-E961-416B-873F-6E7ACB59C5B6}" name="Column1005" dataDxfId="15349"/>
    <tableColumn id="1054" xr3:uid="{D1C14FE8-D0EA-4370-8EBA-F125420350CC}" name="Column1006" dataDxfId="15348"/>
    <tableColumn id="1055" xr3:uid="{DD3A58C0-8E98-4B54-A2B0-43BFEE9F6C06}" name="Column1007" dataDxfId="15347"/>
    <tableColumn id="1056" xr3:uid="{3F402560-1D9A-41D0-ACB9-8522DC257BBF}" name="Column1008" dataDxfId="15346"/>
    <tableColumn id="1057" xr3:uid="{4D0D9E5F-20A7-43F3-9EBB-F1A61AD18F53}" name="Column1009" dataDxfId="15345"/>
    <tableColumn id="1058" xr3:uid="{D08E2481-9740-4747-AAF3-1A1D144E05F5}" name="Column1010" dataDxfId="15344"/>
    <tableColumn id="1059" xr3:uid="{D9E1E493-05B1-4F2A-8D50-AD367C419FBC}" name="Column1011" dataDxfId="15343"/>
    <tableColumn id="1060" xr3:uid="{DDCCD8DD-6B2B-4010-8182-20521B1C2DC0}" name="Column1012" dataDxfId="15342"/>
    <tableColumn id="1061" xr3:uid="{716A8E4D-5FEE-4830-9E76-F0BA10B43E05}" name="Column1013" dataDxfId="15341"/>
    <tableColumn id="1062" xr3:uid="{FF013969-EA5C-4399-B331-BC0A3586F99C}" name="Column1014" dataDxfId="15340"/>
    <tableColumn id="1063" xr3:uid="{AD6C06D4-526D-4C5E-A82A-C828D38EFEF8}" name="Column1015" dataDxfId="15339"/>
    <tableColumn id="1064" xr3:uid="{F21CA906-85D5-460B-A1E4-801E283759FB}" name="Column1016" dataDxfId="15338"/>
    <tableColumn id="1065" xr3:uid="{EC308A54-72D2-434C-86BF-5F12AD279A6F}" name="Column1017" dataDxfId="15337"/>
    <tableColumn id="1066" xr3:uid="{F87DF6D9-AEC7-4239-A038-FDAC29439739}" name="Column1018" dataDxfId="15336"/>
    <tableColumn id="1067" xr3:uid="{4F3F75BD-9AA6-470D-9C17-E5F3FF02C0E6}" name="Column1019" dataDxfId="15335"/>
    <tableColumn id="1068" xr3:uid="{6844FD3F-1B1A-4CB4-BC18-36AEB796C567}" name="Column1020" dataDxfId="15334"/>
    <tableColumn id="1069" xr3:uid="{A16C4A5F-DD91-4D5F-85E4-36246983D983}" name="Column1021" dataDxfId="15333"/>
    <tableColumn id="1070" xr3:uid="{71413230-5EE7-4E96-BE37-6792AB62E284}" name="Column1022" dataDxfId="15332"/>
    <tableColumn id="1071" xr3:uid="{F8A26DD6-C3B9-438E-B9C0-702BF5F28F7C}" name="Column1023" dataDxfId="15331"/>
    <tableColumn id="1072" xr3:uid="{55DC46A1-28B6-4173-899F-2A336BED8640}" name="Column1024" dataDxfId="15330"/>
    <tableColumn id="1073" xr3:uid="{643A0AA4-87AE-4D7E-A041-01C9B09A4442}" name="Column1025" dataDxfId="15329"/>
    <tableColumn id="1074" xr3:uid="{43857DCE-F1F2-42AF-9440-E660C12EAF26}" name="Column1026" dataDxfId="15328"/>
    <tableColumn id="1075" xr3:uid="{AFF0AD01-C20E-46C0-8EC7-8BB609266F0D}" name="Column1027" dataDxfId="15327"/>
    <tableColumn id="1076" xr3:uid="{CC33B47E-4BA2-42DB-8D5A-712C6055AF45}" name="Column1028" dataDxfId="15326"/>
    <tableColumn id="1077" xr3:uid="{B999F726-9562-4C43-A912-3F714D287A9D}" name="Column1029" dataDxfId="15325"/>
    <tableColumn id="1078" xr3:uid="{018B81EC-157D-440A-B5B5-01968E57795B}" name="Column1030" dataDxfId="15324"/>
    <tableColumn id="1079" xr3:uid="{7AFC4B7A-E352-4577-9248-59B62C65961A}" name="Column1031" dataDxfId="15323"/>
    <tableColumn id="1080" xr3:uid="{EE0A11C0-5603-4FA5-B036-4E081ED7A7C5}" name="Column1032" dataDxfId="15322"/>
    <tableColumn id="1081" xr3:uid="{134A9F03-B2FB-41C2-A022-B91330CA126D}" name="Column1033" dataDxfId="15321"/>
    <tableColumn id="1082" xr3:uid="{F4C4397E-99C4-4D59-BFCE-ED40E9194B74}" name="Column1034" dataDxfId="15320"/>
    <tableColumn id="1083" xr3:uid="{9495EB36-2473-469B-BC1C-28A5B8459877}" name="Column1035" dataDxfId="15319"/>
    <tableColumn id="1084" xr3:uid="{AA9F0626-19F8-47BC-9776-1AE863DDF76E}" name="Column1036" dataDxfId="15318"/>
    <tableColumn id="1085" xr3:uid="{C557500E-BA81-4A72-B43B-E7B2BD206690}" name="Column1037" dataDxfId="15317"/>
    <tableColumn id="1086" xr3:uid="{66E80AC5-F85F-4343-AD80-C007BC607F9D}" name="Column1038" dataDxfId="15316"/>
    <tableColumn id="1087" xr3:uid="{8E0B58B4-71D9-4032-B58A-3E651FD38D7F}" name="Column1039" dataDxfId="15315"/>
    <tableColumn id="1088" xr3:uid="{A9A1DDC6-C8A2-4CAE-8161-909B434868B4}" name="Column1040" dataDxfId="15314"/>
    <tableColumn id="1089" xr3:uid="{74901953-6AD8-488A-BE8C-879933840407}" name="Column1041" dataDxfId="15313"/>
    <tableColumn id="1090" xr3:uid="{8D16BB5E-8FB0-4912-B697-70342139A3DD}" name="Column1042" dataDxfId="15312"/>
    <tableColumn id="1091" xr3:uid="{144879F5-1EAD-4DAA-BA4B-B9BB7F75DA42}" name="Column1043" dataDxfId="15311"/>
    <tableColumn id="1092" xr3:uid="{90B47491-547A-47D5-939C-5CA0A2E08C6B}" name="Column1044" dataDxfId="15310"/>
    <tableColumn id="1093" xr3:uid="{9C86AF37-8F32-45AB-A887-44091861F017}" name="Column1045" dataDxfId="15309"/>
    <tableColumn id="1094" xr3:uid="{AD75492B-DC20-483A-8B3A-B147E5B688B8}" name="Column1046" dataDxfId="15308"/>
    <tableColumn id="1095" xr3:uid="{D815A0A3-4F2D-4587-888F-FDA124D22603}" name="Column1047" dataDxfId="15307"/>
    <tableColumn id="1096" xr3:uid="{4619951A-FF15-4FE0-BA6D-66E9019C81C4}" name="Column1048" dataDxfId="15306"/>
    <tableColumn id="1097" xr3:uid="{B37A8497-DB25-407D-9192-398563204669}" name="Column1049" dataDxfId="15305"/>
    <tableColumn id="1098" xr3:uid="{A5FE3C6E-C816-4948-9B79-C9ACBC30FDEF}" name="Column1050" dataDxfId="15304"/>
    <tableColumn id="1099" xr3:uid="{AD0E0F4C-82B1-4909-9629-B652B9E703BB}" name="Column1051" dataDxfId="15303"/>
    <tableColumn id="1100" xr3:uid="{E691251C-002E-4CEB-B01A-C1ACEA71B2A9}" name="Column1052" dataDxfId="15302"/>
    <tableColumn id="1101" xr3:uid="{198D1BEA-E5CB-4D65-AA61-4A2992D7D3DE}" name="Column1053" dataDxfId="15301"/>
    <tableColumn id="1102" xr3:uid="{B9929C30-63F9-409A-9575-6C737A03FB5C}" name="Column1054" dataDxfId="15300"/>
    <tableColumn id="1103" xr3:uid="{AB6055EE-C807-45BE-B429-C292959B2C7A}" name="Column1055" dataDxfId="15299"/>
    <tableColumn id="1104" xr3:uid="{202E5F8E-7631-4CC7-870F-A31A359E4717}" name="Column1056" dataDxfId="15298"/>
    <tableColumn id="1105" xr3:uid="{8D1CC610-8203-4643-B976-186E7B32A3DE}" name="Column1057" dataDxfId="15297"/>
    <tableColumn id="1106" xr3:uid="{6F4E741A-D91F-4D6B-B30D-5BA29CC95F04}" name="Column1058" dataDxfId="15296"/>
    <tableColumn id="1107" xr3:uid="{EE7F8BFA-ABC1-40F2-BC1A-C87E0F552A7F}" name="Column1059" dataDxfId="15295"/>
    <tableColumn id="1108" xr3:uid="{317D7B9D-F15F-41C9-BBF0-5F2D6C87DFD3}" name="Column1060" dataDxfId="15294"/>
    <tableColumn id="1109" xr3:uid="{62D7589A-A605-4126-AA51-45D635AA17A8}" name="Column1061" dataDxfId="15293"/>
    <tableColumn id="1110" xr3:uid="{8C112AFA-75E2-45A0-99BD-E583582EFB8C}" name="Column1062" dataDxfId="15292"/>
    <tableColumn id="1111" xr3:uid="{D2AAB848-506A-488F-AA25-E88BE9218D36}" name="Column1063" dataDxfId="15291"/>
    <tableColumn id="1112" xr3:uid="{993891A1-04CE-4F77-B88F-23B4D0E8170C}" name="Column1064" dataDxfId="15290"/>
    <tableColumn id="1113" xr3:uid="{4368BA50-34BF-4A85-A149-43E0D61C4A13}" name="Column1065" dataDxfId="15289"/>
    <tableColumn id="1114" xr3:uid="{51037AC0-8EC7-4BA6-A08A-3BFCB6090A88}" name="Column1066" dataDxfId="15288"/>
    <tableColumn id="1115" xr3:uid="{857EE6C0-33A7-4473-A6B5-6246004A039A}" name="Column1067" dataDxfId="15287"/>
    <tableColumn id="1116" xr3:uid="{656F0E80-181F-4CA3-91B0-6AE73ED7A89E}" name="Column1068" dataDxfId="15286"/>
    <tableColumn id="1117" xr3:uid="{0A5B37C2-F70C-4186-A50E-79FE79689670}" name="Column1069" dataDxfId="15285"/>
    <tableColumn id="1118" xr3:uid="{506D0ABD-A64D-498D-93CA-5645BA0739D0}" name="Column1070" dataDxfId="15284"/>
    <tableColumn id="1119" xr3:uid="{54EE722B-7552-4278-B886-1C9BCAFF4A9A}" name="Column1071" dataDxfId="15283"/>
    <tableColumn id="1120" xr3:uid="{B57467E9-1688-411E-966D-CD1E823C469B}" name="Column1072" dataDxfId="15282"/>
    <tableColumn id="1121" xr3:uid="{B49AA85F-0799-436E-868C-6A31EACAD090}" name="Column1073" dataDxfId="15281"/>
    <tableColumn id="1122" xr3:uid="{3262A13C-332C-4DE8-8358-759D3319C97E}" name="Column1074" dataDxfId="15280"/>
    <tableColumn id="1123" xr3:uid="{8CC84917-22B6-4840-8A13-736B280C24E0}" name="Column1075" dataDxfId="15279"/>
    <tableColumn id="1124" xr3:uid="{0734B4F8-09AA-4E82-A1CF-DF6623F0C58C}" name="Column1076" dataDxfId="15278"/>
    <tableColumn id="1125" xr3:uid="{D51F5A2C-2D68-4702-B28E-CB825766EF67}" name="Column1077" dataDxfId="15277"/>
    <tableColumn id="1126" xr3:uid="{A670D4FE-8397-4270-BE77-787989E30CC5}" name="Column1078" dataDxfId="15276"/>
    <tableColumn id="1127" xr3:uid="{3DAD638B-B96D-4FDC-9B70-C7D274C27DDB}" name="Column1079" dataDxfId="15275"/>
    <tableColumn id="1128" xr3:uid="{5369EF6F-6C7E-49CE-A105-69D1065DBFFE}" name="Column1080" dataDxfId="15274"/>
    <tableColumn id="1129" xr3:uid="{F10FE117-F243-432E-B552-6C690C500551}" name="Column1081" dataDxfId="15273"/>
    <tableColumn id="1130" xr3:uid="{CB7E717D-5FF5-4D41-81E1-2F8BB2F548C4}" name="Column1082" dataDxfId="15272"/>
    <tableColumn id="1131" xr3:uid="{A70D8EF3-94F1-4695-8F8B-53D04D677AD1}" name="Column1083" dataDxfId="15271"/>
    <tableColumn id="1132" xr3:uid="{CC1CCE5A-ECBF-4603-9BC5-069254499A9E}" name="Column1084" dataDxfId="15270"/>
    <tableColumn id="1133" xr3:uid="{FE250CBE-174E-49ED-AF59-EF65BE11046A}" name="Column1085" dataDxfId="15269"/>
    <tableColumn id="1134" xr3:uid="{82D8EA65-BFEF-4194-9AA8-30E7E5151973}" name="Column1086" dataDxfId="15268"/>
    <tableColumn id="1135" xr3:uid="{C6634D3D-DA28-411F-8A0E-9A5FCD01D372}" name="Column1087" dataDxfId="15267"/>
    <tableColumn id="1136" xr3:uid="{5A9513CD-C3BA-4A11-8A58-2A8EC23FD9B5}" name="Column1088" dataDxfId="15266"/>
    <tableColumn id="1137" xr3:uid="{2D417DEC-74FA-4E15-ADD4-77339EF77E78}" name="Column1089" dataDxfId="15265"/>
    <tableColumn id="1138" xr3:uid="{9ED42F58-614D-4486-B62F-A211B81167EA}" name="Column1090" dataDxfId="15264"/>
    <tableColumn id="1139" xr3:uid="{7B143C52-6108-4E93-8D20-5BEE83558A45}" name="Column1091" dataDxfId="15263"/>
    <tableColumn id="1140" xr3:uid="{35A1F842-32DF-4B23-9B57-6E066C1259D1}" name="Column1092" dataDxfId="15262"/>
    <tableColumn id="1141" xr3:uid="{570C18CB-2256-4FDD-BCF6-86CA99813EF0}" name="Column1093" dataDxfId="15261"/>
    <tableColumn id="1142" xr3:uid="{D92F8873-AAC8-4FE5-B8A8-068EF9568A3E}" name="Column1094" dataDxfId="15260"/>
    <tableColumn id="1143" xr3:uid="{D660B82A-EEEE-4712-8A7F-C4391D8B1A8F}" name="Column1095" dataDxfId="15259"/>
    <tableColumn id="1144" xr3:uid="{FC3569FB-CE64-4C59-B258-1B8148241D2A}" name="Column1096" dataDxfId="15258"/>
    <tableColumn id="1145" xr3:uid="{AF092ACB-36B6-4B13-9BA5-CBF3C25B0395}" name="Column1097" dataDxfId="15257"/>
    <tableColumn id="1146" xr3:uid="{D56E2F0F-5A1E-4228-ABF2-D522B88521EA}" name="Column1098" dataDxfId="15256"/>
    <tableColumn id="1147" xr3:uid="{3C8E8E71-0398-4603-AA6C-81F0751AE25A}" name="Column1099" dataDxfId="15255"/>
    <tableColumn id="1148" xr3:uid="{E5EF4C9E-AFC5-4B3E-A433-CE279A3C9FFF}" name="Column1100" dataDxfId="15254"/>
    <tableColumn id="1149" xr3:uid="{5EEDDBF9-E844-4BBA-98E3-BEC99B3E23DE}" name="Column1101" dataDxfId="15253"/>
    <tableColumn id="1150" xr3:uid="{582306CD-423B-42EC-83B8-3082431E9CF2}" name="Column1102" dataDxfId="15252"/>
    <tableColumn id="1151" xr3:uid="{02C361C2-5EFE-44D5-A998-14CF2973BFCD}" name="Column1103" dataDxfId="15251"/>
    <tableColumn id="1152" xr3:uid="{205B397F-9B0C-44F2-9E18-6B7BA93A4143}" name="Column1104" dataDxfId="15250"/>
    <tableColumn id="1153" xr3:uid="{CCA786E4-A223-4B68-B680-1231586A46B3}" name="Column1105" dataDxfId="15249"/>
    <tableColumn id="1154" xr3:uid="{B017595A-1C0C-46E6-B1C2-7C39742B5A8F}" name="Column1106" dataDxfId="15248"/>
    <tableColumn id="1155" xr3:uid="{A4D325E2-D75E-42DE-8148-205838614883}" name="Column1107" dataDxfId="15247"/>
    <tableColumn id="1156" xr3:uid="{914D6127-A9E9-4C8F-AEC3-EE21BF2A9061}" name="Column1108" dataDxfId="15246"/>
    <tableColumn id="1157" xr3:uid="{7A989214-D6B5-4A86-844C-84B0BB691844}" name="Column1109" dataDxfId="15245"/>
    <tableColumn id="1158" xr3:uid="{54701D6C-A0D8-4D27-B257-D976B3E207AE}" name="Column1110" dataDxfId="15244"/>
    <tableColumn id="1159" xr3:uid="{37F92400-AF53-48CA-B3B0-3AB48B775C65}" name="Column1111" dataDxfId="15243"/>
    <tableColumn id="1160" xr3:uid="{73046CAD-A656-4C81-A8E8-0E87D92ADEEB}" name="Column1112" dataDxfId="15242"/>
    <tableColumn id="1161" xr3:uid="{673F5300-5031-4CA0-93DF-C90DCD7DCF5B}" name="Column1113" dataDxfId="15241"/>
    <tableColumn id="1162" xr3:uid="{5505E257-D173-419C-8C0D-3A9963E058DF}" name="Column1114" dataDxfId="15240"/>
    <tableColumn id="1163" xr3:uid="{272B775C-B7D5-462E-8B42-FA6B2840C172}" name="Column1115" dataDxfId="15239"/>
    <tableColumn id="1164" xr3:uid="{35C983B0-6A9A-4BA9-B0C3-B2B8B80C9D1A}" name="Column1116" dataDxfId="15238"/>
    <tableColumn id="1165" xr3:uid="{12872903-6EBD-422B-B423-21A0FC3F3F96}" name="Column1117" dataDxfId="15237"/>
    <tableColumn id="1166" xr3:uid="{F88096F5-E01B-42C9-915B-61736AF2BF1A}" name="Column1118" dataDxfId="15236"/>
    <tableColumn id="1167" xr3:uid="{C7155FB2-F223-44C1-916C-0D4A4B06219C}" name="Column1119" dataDxfId="15235"/>
    <tableColumn id="1168" xr3:uid="{70B52984-F3EC-449D-8D6C-6474F7AEC2E3}" name="Column1120" dataDxfId="15234"/>
    <tableColumn id="1169" xr3:uid="{1CDCAA33-1F74-40B9-BE2A-EE58841E6A24}" name="Column1121" dataDxfId="15233"/>
    <tableColumn id="1170" xr3:uid="{624E0096-B2E7-4BDF-83BD-4B5E5A30A101}" name="Column1122" dataDxfId="15232"/>
    <tableColumn id="1171" xr3:uid="{2668C796-9EFC-4BD6-A104-05EEA7DC98B1}" name="Column1123" dataDxfId="15231"/>
    <tableColumn id="1172" xr3:uid="{03DCB145-0F55-43A5-971A-CBEA24833BE7}" name="Column1124" dataDxfId="15230"/>
    <tableColumn id="1173" xr3:uid="{3C2825DC-5D21-4D1C-8784-BF9901F3FAC0}" name="Column1125" dataDxfId="15229"/>
    <tableColumn id="1174" xr3:uid="{0E308798-D3AF-4D80-B2F2-8588C40BFB3C}" name="Column1126" dataDxfId="15228"/>
    <tableColumn id="1175" xr3:uid="{11908678-89D8-455E-B15A-9CE7B500DF88}" name="Column1127" dataDxfId="15227"/>
    <tableColumn id="1176" xr3:uid="{CFFA2574-AE37-4F04-975B-90A2E88161CF}" name="Column1128" dataDxfId="15226"/>
    <tableColumn id="1177" xr3:uid="{E741781B-F371-4507-BCD1-A743CF242BD9}" name="Column1129" dataDxfId="15225"/>
    <tableColumn id="1178" xr3:uid="{2D7484F7-E6E0-44FC-8E9D-BBEBA69502A1}" name="Column1130" dataDxfId="15224"/>
    <tableColumn id="1179" xr3:uid="{ABA3F094-BBEC-49E0-A52B-5ECF91F9186C}" name="Column1131" dataDxfId="15223"/>
    <tableColumn id="1180" xr3:uid="{D93A77B6-2258-4D36-8DA6-7661E263B243}" name="Column1132" dataDxfId="15222"/>
    <tableColumn id="1181" xr3:uid="{75068CFB-991B-472B-BC80-2E6886E42AD9}" name="Column1133" dataDxfId="15221"/>
    <tableColumn id="1182" xr3:uid="{4EF6A107-6CBC-4981-97A0-1AF527CAEAC0}" name="Column1134" dataDxfId="15220"/>
    <tableColumn id="1183" xr3:uid="{DF9C9561-13B5-4A41-BAC9-7D0C3A3B20DF}" name="Column1135" dataDxfId="15219"/>
    <tableColumn id="1184" xr3:uid="{65C36918-5BFA-46B3-96E6-FF1DF4B5B476}" name="Column1136" dataDxfId="15218"/>
    <tableColumn id="1185" xr3:uid="{7FF36C12-BE39-4C0E-A4E3-FDBDE9CE3D34}" name="Column1137" dataDxfId="15217"/>
    <tableColumn id="1186" xr3:uid="{3B119E0A-098D-4E2E-842D-1BA990441C9F}" name="Column1138" dataDxfId="15216"/>
    <tableColumn id="1187" xr3:uid="{7A51F7A9-2932-45E1-838C-55937B3B980B}" name="Column1139" dataDxfId="15215"/>
    <tableColumn id="1188" xr3:uid="{6325534B-C15E-4BBE-A477-3B93130E699D}" name="Column1140" dataDxfId="15214"/>
    <tableColumn id="1189" xr3:uid="{59C7C905-5700-406B-A852-03317F1C547C}" name="Column1141" dataDxfId="15213"/>
    <tableColumn id="1190" xr3:uid="{85C81BB5-39FC-4FF8-B870-B4A1D3657EEE}" name="Column1142" dataDxfId="15212"/>
    <tableColumn id="1191" xr3:uid="{D253F54C-A540-4126-B9BE-4B751C89084C}" name="Column1143" dataDxfId="15211"/>
    <tableColumn id="1192" xr3:uid="{F1EEB380-DD4D-477A-9145-5C8B026D8C56}" name="Column1144" dataDxfId="15210"/>
    <tableColumn id="1193" xr3:uid="{2AE095AC-5A59-4550-AEC4-EF221A0C1AF1}" name="Column1145" dataDxfId="15209"/>
    <tableColumn id="1194" xr3:uid="{8262BA96-C764-4785-9F01-C253D0DB81E0}" name="Column1146" dataDxfId="15208"/>
    <tableColumn id="1195" xr3:uid="{A78B356D-6F9A-4098-B889-C829CCA67FE5}" name="Column1147" dataDxfId="15207"/>
    <tableColumn id="1196" xr3:uid="{8FF2DDB7-9AF8-4B5B-B53B-1EA8F113F1A4}" name="Column1148" dataDxfId="15206"/>
    <tableColumn id="1197" xr3:uid="{DE7845DB-1D9F-4568-B79D-7CFBE86EB6C3}" name="Column1149" dataDxfId="15205"/>
    <tableColumn id="1198" xr3:uid="{DDD65590-A781-4195-83A0-ABDE3D4767D4}" name="Column1150" dataDxfId="15204"/>
    <tableColumn id="1199" xr3:uid="{599DC055-92BE-4B2A-A3EC-F90DC1752B59}" name="Column1151" dataDxfId="15203"/>
    <tableColumn id="1200" xr3:uid="{49DA2A17-B646-46A2-8D6E-A5541CF921C5}" name="Column1152" dataDxfId="15202"/>
    <tableColumn id="1201" xr3:uid="{F65F9921-1514-4E33-8553-EBD06383A797}" name="Column1153" dataDxfId="15201"/>
    <tableColumn id="1202" xr3:uid="{CFF3BC19-29E0-43EC-BDEA-FC579CAC88D5}" name="Column1154" dataDxfId="15200"/>
    <tableColumn id="1203" xr3:uid="{BE86BCE2-4788-40BF-8099-D837D365E404}" name="Column1155" dataDxfId="15199"/>
    <tableColumn id="1204" xr3:uid="{7B813DE4-E740-43A5-9C04-4F5F62D8E29C}" name="Column1156" dataDxfId="15198"/>
    <tableColumn id="1205" xr3:uid="{F904A865-8261-4ABC-B8DA-905BB7481B1B}" name="Column1157" dataDxfId="15197"/>
    <tableColumn id="1206" xr3:uid="{F5279FB6-221D-4C6A-90B0-EE709470F99A}" name="Column1158" dataDxfId="15196"/>
    <tableColumn id="1207" xr3:uid="{3AB96689-9304-4B60-A1A2-F8AFFDDA4DE5}" name="Column1159" dataDxfId="15195"/>
    <tableColumn id="1208" xr3:uid="{F3F96A9F-D791-4FD7-87E9-D0D9EDFA06EA}" name="Column1160" dataDxfId="15194"/>
    <tableColumn id="1209" xr3:uid="{85AC917B-0D9C-4D83-BEEA-1B5EEA68F15F}" name="Column1161" dataDxfId="15193"/>
    <tableColumn id="1210" xr3:uid="{B411B229-448C-48AB-83A5-C9E919C76B86}" name="Column1162" dataDxfId="15192"/>
    <tableColumn id="1211" xr3:uid="{17AD70FB-6166-4580-B9E0-4D836E94A700}" name="Column1163" dataDxfId="15191"/>
    <tableColumn id="1212" xr3:uid="{84F72938-9EB2-45E8-8031-33493F2CB69E}" name="Column1164" dataDxfId="15190"/>
    <tableColumn id="1213" xr3:uid="{3F24AFCD-ED7D-4C44-9725-BB558EDCC65F}" name="Column1165" dataDxfId="15189"/>
    <tableColumn id="1214" xr3:uid="{7F74FC31-7BF6-4111-9713-1651374C0B49}" name="Column1166" dataDxfId="15188"/>
    <tableColumn id="1215" xr3:uid="{99164F2C-C9DF-4E4C-A907-9798B332DBD5}" name="Column1167" dataDxfId="15187"/>
    <tableColumn id="1216" xr3:uid="{81F93C2F-FFA5-4E95-8001-6FDD7D50B15B}" name="Column1168" dataDxfId="15186"/>
    <tableColumn id="1217" xr3:uid="{0A7C84D7-5DCE-4756-8A36-21861C3F6685}" name="Column1169" dataDxfId="15185"/>
    <tableColumn id="1218" xr3:uid="{CD9461B3-6CF6-41D3-AA50-A9DDEE619739}" name="Column1170" dataDxfId="15184"/>
    <tableColumn id="1219" xr3:uid="{7D157536-C65E-49CF-BE1D-67417E40C78D}" name="Column1171" dataDxfId="15183"/>
    <tableColumn id="1220" xr3:uid="{E3EF93F4-F4D9-4698-AD70-28A655424FB9}" name="Column1172" dataDxfId="15182"/>
    <tableColumn id="1221" xr3:uid="{166A1ACB-12F1-4FEC-A4EB-054997A305EB}" name="Column1173" dataDxfId="15181"/>
    <tableColumn id="1222" xr3:uid="{A4D5EA9A-F6B3-4205-83B1-FE84B8CA69C3}" name="Column1174" dataDxfId="15180"/>
    <tableColumn id="1223" xr3:uid="{2E086AB2-FEE4-41A6-A8A9-FD8E84B92C51}" name="Column1175" dataDxfId="15179"/>
    <tableColumn id="1224" xr3:uid="{4257885F-6598-46B2-BC97-F3DFF90EC13B}" name="Column1176" dataDxfId="15178"/>
    <tableColumn id="1225" xr3:uid="{494242D4-628B-46AB-9C5C-8C19F9419C1A}" name="Column1177" dataDxfId="15177"/>
    <tableColumn id="1226" xr3:uid="{37CC42D5-E2B3-43F5-B5DD-BDE63D3935E9}" name="Column1178" dataDxfId="15176"/>
    <tableColumn id="1227" xr3:uid="{A6498B5C-D56B-44F0-B635-B4F5920B5E87}" name="Column1179" dataDxfId="15175"/>
    <tableColumn id="1228" xr3:uid="{F242A8FA-F4ED-42C6-8B0B-FFEC708F47AF}" name="Column1180" dataDxfId="15174"/>
    <tableColumn id="1229" xr3:uid="{9C664D58-2B13-4FBE-9976-95EEA9A167A9}" name="Column1181" dataDxfId="15173"/>
    <tableColumn id="1230" xr3:uid="{89DF3F51-37E3-45DD-9A9D-83287734CE26}" name="Column1182" dataDxfId="15172"/>
    <tableColumn id="1231" xr3:uid="{27DFD5FF-F4FB-49D7-A45F-115D393D9279}" name="Column1183" dataDxfId="15171"/>
    <tableColumn id="1232" xr3:uid="{3207AC24-762F-45DE-8D22-3E289A3A37EF}" name="Column1184" dataDxfId="15170"/>
    <tableColumn id="1233" xr3:uid="{DACEA0A7-13F2-44B4-BCB8-7663C9CC5A66}" name="Column1185" dataDxfId="15169"/>
    <tableColumn id="1234" xr3:uid="{E325B97E-E596-4D45-89B7-794EBB85E6F0}" name="Column1186" dataDxfId="15168"/>
    <tableColumn id="1235" xr3:uid="{ADB16C77-6D88-4FB2-9F6F-2D691D746BBF}" name="Column1187" dataDxfId="15167"/>
    <tableColumn id="1236" xr3:uid="{7280F732-9041-4F1B-B254-B11C53DE3980}" name="Column1188" dataDxfId="15166"/>
    <tableColumn id="1237" xr3:uid="{57EFD680-5CB4-4986-B720-BBEA452F4DBB}" name="Column1189" dataDxfId="15165"/>
    <tableColumn id="1238" xr3:uid="{D6CDAA47-F22B-48FF-9A9B-A7A7E6177521}" name="Column1190" dataDxfId="15164"/>
    <tableColumn id="1239" xr3:uid="{5AE0D8D1-BA94-49B3-BDD1-C81FF7718C21}" name="Column1191" dataDxfId="15163"/>
    <tableColumn id="1240" xr3:uid="{BA74B420-2C27-4B6F-BF97-847FAEFB0B05}" name="Column1192" dataDxfId="15162"/>
    <tableColumn id="1241" xr3:uid="{29254B1E-3274-4121-9DB1-63B5BEE93686}" name="Column1193" dataDxfId="15161"/>
    <tableColumn id="1242" xr3:uid="{C4BA00DE-DA22-4774-8249-AAB1727AC81E}" name="Column1194" dataDxfId="15160"/>
    <tableColumn id="1243" xr3:uid="{E096E64A-D0CA-486E-866C-37F7DB4A30FE}" name="Column1195" dataDxfId="15159"/>
    <tableColumn id="1244" xr3:uid="{8AA65962-8BD2-4E20-9933-DDBC5A07DFD6}" name="Column1196" dataDxfId="15158"/>
    <tableColumn id="1245" xr3:uid="{A1AEE2AE-3AD2-4432-ABA4-3FD126902AAA}" name="Column1197" dataDxfId="15157"/>
    <tableColumn id="1246" xr3:uid="{14C705BD-E049-4EC8-ACA4-6898E969E555}" name="Column1198" dataDxfId="15156"/>
    <tableColumn id="1247" xr3:uid="{0662B0E3-D10B-4327-820C-363D4591FC87}" name="Column1199" dataDxfId="15155"/>
    <tableColumn id="1248" xr3:uid="{71467077-F697-4EF3-81BE-985F76BBA67B}" name="Column1200" dataDxfId="15154"/>
    <tableColumn id="1249" xr3:uid="{E25373EB-D933-437C-9A46-3ED77BBE4091}" name="Column1201" dataDxfId="15153"/>
    <tableColumn id="1250" xr3:uid="{0482A43C-2DA0-436E-833B-80EC5F917600}" name="Column1202" dataDxfId="15152"/>
    <tableColumn id="1251" xr3:uid="{A5A19B1B-6BC5-47B3-AD51-2A1988A91A3B}" name="Column1203" dataDxfId="15151"/>
    <tableColumn id="1252" xr3:uid="{C3A2BD8E-766E-4B24-947F-60699B8BCAA4}" name="Column1204" dataDxfId="15150"/>
    <tableColumn id="1253" xr3:uid="{AEC7E61C-EB5E-47E4-A249-94CF5214CF2D}" name="Column1205" dataDxfId="15149"/>
    <tableColumn id="1254" xr3:uid="{00404B21-59FA-4EB1-BB69-D1804726AE8D}" name="Column1206" dataDxfId="15148"/>
    <tableColumn id="1255" xr3:uid="{0465689D-35E3-4603-8440-4200DBBFDC80}" name="Column1207" dataDxfId="15147"/>
    <tableColumn id="1256" xr3:uid="{29AA7894-FE9C-4241-9753-94BE3C92E517}" name="Column1208" dataDxfId="15146"/>
    <tableColumn id="1257" xr3:uid="{BA78626A-15A7-40ED-97CD-E3F6C872A871}" name="Column1209" dataDxfId="15145"/>
    <tableColumn id="1258" xr3:uid="{BDB7F5B7-9A1F-43F4-B120-C5E7D4A24B6A}" name="Column1210" dataDxfId="15144"/>
    <tableColumn id="1259" xr3:uid="{B769FFF1-82C8-4277-9836-FE62DA9B5F1E}" name="Column1211" dataDxfId="15143"/>
    <tableColumn id="1260" xr3:uid="{ED88D21F-4EF9-4005-9B06-81B28EBF5ACC}" name="Column1212" dataDxfId="15142"/>
    <tableColumn id="1261" xr3:uid="{E3D6FED9-3576-4C83-9E6F-8DC2279EF8FA}" name="Column1213" dataDxfId="15141"/>
    <tableColumn id="1262" xr3:uid="{76E9DF35-999A-44C2-97DB-B5591AC16662}" name="Column1214" dataDxfId="15140"/>
    <tableColumn id="1263" xr3:uid="{FA60D3F9-F5C7-48FC-8F39-B5A5E5C95396}" name="Column1215" dataDxfId="15139"/>
    <tableColumn id="1264" xr3:uid="{861B7B77-B595-4F5E-81F4-CE366D15C419}" name="Column1216" dataDxfId="15138"/>
    <tableColumn id="1265" xr3:uid="{9DF4F956-9147-4E48-A29A-C09FFD0C6C6E}" name="Column1217" dataDxfId="15137"/>
    <tableColumn id="1266" xr3:uid="{927CDCC2-80A8-40B4-A8B1-33FAE9BCF7E1}" name="Column1218" dataDxfId="15136"/>
    <tableColumn id="1267" xr3:uid="{87C9A622-CD94-4EB8-B52B-744ABE1B9642}" name="Column1219" dataDxfId="15135"/>
    <tableColumn id="1268" xr3:uid="{39052A06-2AFE-47FD-9462-368E437CE140}" name="Column1220" dataDxfId="15134"/>
    <tableColumn id="1269" xr3:uid="{419E1C47-C0EB-4775-974C-129576DF5B9A}" name="Column1221" dataDxfId="15133"/>
    <tableColumn id="1270" xr3:uid="{8B5D3546-81DE-41AC-B1DC-F4A4609768A3}" name="Column1222" dataDxfId="15132"/>
    <tableColumn id="1271" xr3:uid="{EEE4B9AB-69A2-4C4F-9D25-F9C4E47B31BB}" name="Column1223" dataDxfId="15131"/>
    <tableColumn id="1272" xr3:uid="{D4F8F66E-5415-47CD-8528-1DD92C6B26C7}" name="Column1224" dataDxfId="15130"/>
    <tableColumn id="1273" xr3:uid="{D09DD7CE-C3B4-422A-9BB2-9F60104BB033}" name="Column1225" dataDxfId="15129"/>
    <tableColumn id="1274" xr3:uid="{7549F8C7-5073-477A-BF7D-AE3D6BF9D08B}" name="Column1226" dataDxfId="15128"/>
    <tableColumn id="1275" xr3:uid="{F06F3077-B34E-4FE9-B44D-20FE9B5CCB66}" name="Column1227" dataDxfId="15127"/>
    <tableColumn id="1276" xr3:uid="{67167F46-9716-403F-A1DC-EF172FCCE465}" name="Column1228" dataDxfId="15126"/>
    <tableColumn id="1277" xr3:uid="{E037AFD9-C36C-4263-8BEE-D3A837583B5E}" name="Column1229" dataDxfId="15125"/>
    <tableColumn id="1278" xr3:uid="{CA1C2752-5498-491B-A614-075BD11B2D80}" name="Column1230" dataDxfId="15124"/>
    <tableColumn id="1279" xr3:uid="{AB5979E8-14C2-4400-AF93-A9550C945CD5}" name="Column1231" dataDxfId="15123"/>
    <tableColumn id="1280" xr3:uid="{CD54BF98-0EA2-4BB9-8CB1-584F110C5DE8}" name="Column1232" dataDxfId="15122"/>
    <tableColumn id="1281" xr3:uid="{45BF3FF5-4667-42BF-A6C0-8CFDCDD630B2}" name="Column1233" dataDxfId="15121"/>
    <tableColumn id="1282" xr3:uid="{3C0472A8-2066-4AAD-AEB4-5FCFBCCDA57D}" name="Column1234" dataDxfId="15120"/>
    <tableColumn id="1283" xr3:uid="{BEA9C3BB-063D-4FED-B052-1071AF1A8A3E}" name="Column1235" dataDxfId="15119"/>
    <tableColumn id="1284" xr3:uid="{2EFCD527-5A28-4A8A-A858-05D1B787CB05}" name="Column1236" dataDxfId="15118"/>
    <tableColumn id="1285" xr3:uid="{30AF251C-8DE1-4EBC-8810-F4D1F42A4E28}" name="Column1237" dataDxfId="15117"/>
    <tableColumn id="1286" xr3:uid="{F203C6E3-62EE-44FD-BB0A-D3C9114F7450}" name="Column1238" dataDxfId="15116"/>
    <tableColumn id="1287" xr3:uid="{C4344326-010E-463F-A184-C7CC2A997399}" name="Column1239" dataDxfId="15115"/>
    <tableColumn id="1288" xr3:uid="{5C1EA5DE-986D-4AC1-B2F0-D76E39CB2DAA}" name="Column1240" dataDxfId="15114"/>
    <tableColumn id="1289" xr3:uid="{E1AFF7B0-8089-435F-B7C7-80C66D312681}" name="Column1241" dataDxfId="15113"/>
    <tableColumn id="1290" xr3:uid="{9DF9F373-9F19-4F16-8CAE-EA191C325941}" name="Column1242" dataDxfId="15112"/>
    <tableColumn id="1291" xr3:uid="{24B4F626-68FC-4C1B-B3DB-1D7FA11D94F8}" name="Column1243" dataDxfId="15111"/>
    <tableColumn id="1292" xr3:uid="{6D492A6D-EF3C-4AB5-B85A-283C8CD4BDCF}" name="Column1244" dataDxfId="15110"/>
    <tableColumn id="1293" xr3:uid="{6BF7F5BF-2193-4823-9F59-FDA959F01D16}" name="Column1245" dataDxfId="15109"/>
    <tableColumn id="1294" xr3:uid="{A00F0904-BE56-4DE4-9820-C04CED5FF285}" name="Column1246" dataDxfId="15108"/>
    <tableColumn id="1295" xr3:uid="{D4704CB4-222E-431C-973A-29C4AC614C00}" name="Column1247" dataDxfId="15107"/>
    <tableColumn id="1296" xr3:uid="{974C13D2-8797-434C-8348-BB53AEEEBED0}" name="Column1248" dataDxfId="15106"/>
    <tableColumn id="1297" xr3:uid="{48E37EFE-32BB-4170-9D45-0D292F503CE2}" name="Column1249" dataDxfId="15105"/>
    <tableColumn id="1298" xr3:uid="{FAF8E1E9-5B9D-4796-8025-F85DA46D923A}" name="Column1250" dataDxfId="15104"/>
    <tableColumn id="1299" xr3:uid="{3D134FA2-4FEF-4FE2-856E-7DA7A1AD5DC6}" name="Column1251" dataDxfId="15103"/>
    <tableColumn id="1300" xr3:uid="{EE4E3719-9600-48AF-B667-D2EE2954522F}" name="Column1252" dataDxfId="15102"/>
    <tableColumn id="1301" xr3:uid="{C9DFBAC2-ACD7-4FDA-B899-41525A68F1C3}" name="Column1253" dataDxfId="15101"/>
    <tableColumn id="1302" xr3:uid="{210F7CD6-9FDD-43F0-AAC8-F2EB75E1D44B}" name="Column1254" dataDxfId="15100"/>
    <tableColumn id="1303" xr3:uid="{31616E2C-FC93-4C90-B829-A59370AB7A32}" name="Column1255" dataDxfId="15099"/>
    <tableColumn id="1304" xr3:uid="{770EE63C-6B2F-4E13-9F1C-508C792EB721}" name="Column1256" dataDxfId="15098"/>
    <tableColumn id="1305" xr3:uid="{190B2002-6DA1-4A44-8394-8DB682F3C700}" name="Column1257" dataDxfId="15097"/>
    <tableColumn id="1306" xr3:uid="{75FA973D-6E9A-4B62-913C-1A89574C88C4}" name="Column1258" dataDxfId="15096"/>
    <tableColumn id="1307" xr3:uid="{93EB316D-2D0C-4E46-A7F5-2E72363B22CB}" name="Column1259" dataDxfId="15095"/>
    <tableColumn id="1308" xr3:uid="{9186D84E-9ABE-4FCC-95FF-0FF70FBCE9D7}" name="Column1260" dataDxfId="15094"/>
    <tableColumn id="1309" xr3:uid="{E3312F10-74AC-43AE-A77E-E86042620BC6}" name="Column1261" dataDxfId="15093"/>
    <tableColumn id="1310" xr3:uid="{9F44E846-A3DB-4F62-9234-C6D5482581E2}" name="Column1262" dataDxfId="15092"/>
    <tableColumn id="1311" xr3:uid="{95C4299A-5BB6-4229-94C6-44A38941AA2C}" name="Column1263" dataDxfId="15091"/>
    <tableColumn id="1312" xr3:uid="{027124D2-3275-41BB-BAFC-26261DBD9CBE}" name="Column1264" dataDxfId="15090"/>
    <tableColumn id="1313" xr3:uid="{84CB9367-5BCF-47C0-B404-4DBC12531FA1}" name="Column1265" dataDxfId="15089"/>
    <tableColumn id="1314" xr3:uid="{D2B899C0-1E22-42EF-A45A-B805E9D08897}" name="Column1266" dataDxfId="15088"/>
    <tableColumn id="1315" xr3:uid="{7C063AAF-4443-424F-BB45-5E6F6F391E7A}" name="Column1267" dataDxfId="15087"/>
    <tableColumn id="1316" xr3:uid="{70D12A11-BED5-4336-8AC4-EB00B5B09D5B}" name="Column1268" dataDxfId="15086"/>
    <tableColumn id="1317" xr3:uid="{3EA9E830-313B-4A02-B50E-94A5C5066EEE}" name="Column1269" dataDxfId="15085"/>
    <tableColumn id="1318" xr3:uid="{8C385D3D-927F-4C47-8E4E-D98A09CDABDD}" name="Column1270" dataDxfId="15084"/>
    <tableColumn id="1319" xr3:uid="{CF7346A7-DB54-472C-9A7E-2E4F1493533D}" name="Column1271" dataDxfId="15083"/>
    <tableColumn id="1320" xr3:uid="{48D08A19-E7B7-4ABA-A644-C82BBB3CAF1B}" name="Column1272" dataDxfId="15082"/>
    <tableColumn id="1321" xr3:uid="{D74D9736-099B-43C9-84A8-57CA977AFE75}" name="Column1273" dataDxfId="15081"/>
    <tableColumn id="1322" xr3:uid="{912A8A0F-9477-43DC-A541-3666E4C14BA7}" name="Column1274" dataDxfId="15080"/>
    <tableColumn id="1323" xr3:uid="{654B6071-92DE-42F5-AEFF-99442AA2CCEC}" name="Column1275" dataDxfId="15079"/>
    <tableColumn id="1324" xr3:uid="{BC330411-2681-400B-B8FE-BB8DA672993A}" name="Column1276" dataDxfId="15078"/>
    <tableColumn id="1325" xr3:uid="{52E46519-0EEF-40A3-955A-79D8BC49EB51}" name="Column1277" dataDxfId="15077"/>
    <tableColumn id="1326" xr3:uid="{91F15F3B-7452-4FFC-A481-90BE2AC7DE7E}" name="Column1278" dataDxfId="15076"/>
    <tableColumn id="1327" xr3:uid="{A95BB7AA-6F92-4160-9D85-5E3EB95AD1A5}" name="Column1279" dataDxfId="15075"/>
    <tableColumn id="1328" xr3:uid="{8940AEBF-396D-4F1B-970D-5EC6DDEAC1F8}" name="Column1280" dataDxfId="15074"/>
    <tableColumn id="1329" xr3:uid="{286C6D99-99F9-42CA-9F1C-D7FA3CA81010}" name="Column1281" dataDxfId="15073"/>
    <tableColumn id="1330" xr3:uid="{FB2C4605-B4E3-4664-9A04-5D78C2BBEAC9}" name="Column1282" dataDxfId="15072"/>
    <tableColumn id="1331" xr3:uid="{472D9B01-0BF5-49A0-A8E0-ADCEB56DC80F}" name="Column1283" dataDxfId="15071"/>
    <tableColumn id="1332" xr3:uid="{E11C37D0-6456-4B5B-B557-ED5C79683FF6}" name="Column1284" dataDxfId="15070"/>
    <tableColumn id="1333" xr3:uid="{FF9E58EF-83B0-458F-B274-F72BBE3018E0}" name="Column1285" dataDxfId="15069"/>
    <tableColumn id="1334" xr3:uid="{16C2328F-D54F-4548-ACD8-E6212147F5A5}" name="Column1286" dataDxfId="15068"/>
    <tableColumn id="1335" xr3:uid="{1FD7824C-87F6-4734-A689-97B3E4804148}" name="Column1287" dataDxfId="15067"/>
    <tableColumn id="1336" xr3:uid="{024E4EFC-A6A3-4F92-9F4A-90CB2DE16EAC}" name="Column1288" dataDxfId="15066"/>
    <tableColumn id="1337" xr3:uid="{629FC63F-1220-496D-A9F1-5D38F91609D4}" name="Column1289" dataDxfId="15065"/>
    <tableColumn id="1338" xr3:uid="{B6CC0EBA-ABBD-4E2E-863F-7F8FF3F1D0D0}" name="Column1290" dataDxfId="15064"/>
    <tableColumn id="1339" xr3:uid="{5B38CC6C-78D3-4D13-BDEF-486BD9D1B9C0}" name="Column1291" dataDxfId="15063"/>
    <tableColumn id="1340" xr3:uid="{FF5FBBCA-C93D-4096-A5E2-128BCCB69001}" name="Column1292" dataDxfId="15062"/>
    <tableColumn id="1341" xr3:uid="{AA1B5071-A9B7-485A-9A40-010DCDB78AE8}" name="Column1293" dataDxfId="15061"/>
    <tableColumn id="1342" xr3:uid="{C1971455-ABD2-4DD7-8DAD-42DB19F45E07}" name="Column1294" dataDxfId="15060"/>
    <tableColumn id="1343" xr3:uid="{CC665D4B-6226-4A4E-B4E8-F825952ADF3C}" name="Column1295" dataDxfId="15059"/>
    <tableColumn id="1344" xr3:uid="{63F0AEBF-4212-4D10-AB1B-E3EA0A8B030F}" name="Column1296" dataDxfId="15058"/>
    <tableColumn id="1345" xr3:uid="{5739D76F-D4CB-4515-83F9-28CEE90C1A77}" name="Column1297" dataDxfId="15057"/>
    <tableColumn id="1346" xr3:uid="{511A62C8-471F-4821-93C3-2E100EBE87F3}" name="Column1298" dataDxfId="15056"/>
    <tableColumn id="1347" xr3:uid="{3323FB18-859F-48AF-8D46-00151A9763C2}" name="Column1299" dataDxfId="15055"/>
    <tableColumn id="1348" xr3:uid="{CCFBAE84-B6F5-4BE8-B490-B7899B6A49F6}" name="Column1300" dataDxfId="15054"/>
    <tableColumn id="1349" xr3:uid="{ECF2E17A-4C67-492D-BBCB-F6F6D6F0DE68}" name="Column1301" dataDxfId="15053"/>
    <tableColumn id="1350" xr3:uid="{3BDDF5D7-F19F-45BF-AC53-21D478ACF6C3}" name="Column1302" dataDxfId="15052"/>
    <tableColumn id="1351" xr3:uid="{B553FF0F-E6D1-4E31-9D29-D01CC9A814A2}" name="Column1303" dataDxfId="15051"/>
    <tableColumn id="1352" xr3:uid="{0C0AEBB1-DC68-4AB2-9005-5CD3DA0740F7}" name="Column1304" dataDxfId="15050"/>
    <tableColumn id="1353" xr3:uid="{AB5E4A3A-3CCE-4103-8017-0DC481679735}" name="Column1305" dataDxfId="15049"/>
    <tableColumn id="1354" xr3:uid="{BA279B24-8E31-49F6-A108-7D8B36B1AFDE}" name="Column1306" dataDxfId="15048"/>
    <tableColumn id="1355" xr3:uid="{578BE9E5-27FE-4128-AD59-8275AF783E94}" name="Column1307" dataDxfId="15047"/>
    <tableColumn id="1356" xr3:uid="{8387DBF8-E28B-42EB-AA5B-7006F6DD46E0}" name="Column1308" dataDxfId="15046"/>
    <tableColumn id="1357" xr3:uid="{81D67E0C-1C0E-496D-85EB-5BEC079D13A9}" name="Column1309" dataDxfId="15045"/>
    <tableColumn id="1358" xr3:uid="{E1D9B350-1F73-419E-BA52-92CFEB3F51EC}" name="Column1310" dataDxfId="15044"/>
    <tableColumn id="1359" xr3:uid="{D5BD0F1F-1747-41D6-BFD3-0D94E9027629}" name="Column1311" dataDxfId="15043"/>
    <tableColumn id="1360" xr3:uid="{55575148-35D9-4DA8-A1CD-17E9CFCC1CB4}" name="Column1312" dataDxfId="15042"/>
    <tableColumn id="1361" xr3:uid="{EE81F378-7D1B-4907-92B4-97F21A282F9A}" name="Column1313" dataDxfId="15041"/>
    <tableColumn id="1362" xr3:uid="{73EBD8D4-48CF-486C-A58B-165011992737}" name="Column1314" dataDxfId="15040"/>
    <tableColumn id="1363" xr3:uid="{D3F2A851-483B-4539-86FC-35075FB7E8A4}" name="Column1315" dataDxfId="15039"/>
    <tableColumn id="1364" xr3:uid="{F887F57E-96E9-457F-A2BB-E411EE804626}" name="Column1316" dataDxfId="15038"/>
    <tableColumn id="1365" xr3:uid="{2F809512-0604-43AD-BA53-50BE0C932650}" name="Column1317" dataDxfId="15037"/>
    <tableColumn id="1366" xr3:uid="{76D0DCD7-9C9B-4279-8101-24CB3F174E8F}" name="Column1318" dataDxfId="15036"/>
    <tableColumn id="1367" xr3:uid="{7716D029-2664-45EF-9ACF-CA7ECA98F05A}" name="Column1319" dataDxfId="15035"/>
    <tableColumn id="1368" xr3:uid="{756ADE00-F387-4F58-82DF-A8BBD01FBE54}" name="Column1320" dataDxfId="15034"/>
    <tableColumn id="1369" xr3:uid="{EE390D97-166F-4A6B-8ADC-739EF1575016}" name="Column1321" dataDxfId="15033"/>
    <tableColumn id="1370" xr3:uid="{E7489278-73AB-4938-B887-53C72A96241A}" name="Column1322" dataDxfId="15032"/>
    <tableColumn id="1371" xr3:uid="{F1645919-29D1-4529-8DA1-0DF187EA4384}" name="Column1323" dataDxfId="15031"/>
    <tableColumn id="1372" xr3:uid="{782A5FCF-3C92-46B6-80B9-1CB7CA9EE2BA}" name="Column1324" dataDxfId="15030"/>
    <tableColumn id="1373" xr3:uid="{A9ACF3D4-DD68-47E1-A22D-0BFB1AF3DC1A}" name="Column1325" dataDxfId="15029"/>
    <tableColumn id="1374" xr3:uid="{20F3CE53-094F-4114-9D77-5A5ABB1ADC63}" name="Column1326" dataDxfId="15028"/>
    <tableColumn id="1375" xr3:uid="{BF4A1013-DDCE-4632-9156-F969D65EF477}" name="Column1327" dataDxfId="15027"/>
    <tableColumn id="1376" xr3:uid="{73685A6E-7F47-4572-9CD1-A31C0B1DC5A1}" name="Column1328" dataDxfId="15026"/>
    <tableColumn id="1377" xr3:uid="{E5B3458A-789F-488F-86B1-779A61F6B45F}" name="Column1329" dataDxfId="15025"/>
    <tableColumn id="1378" xr3:uid="{67625B05-2A38-4E8E-8DBA-3724F7076B9B}" name="Column1330" dataDxfId="15024"/>
    <tableColumn id="1379" xr3:uid="{FE8CC956-E53B-44A0-8149-B360787F3450}" name="Column1331" dataDxfId="15023"/>
    <tableColumn id="1380" xr3:uid="{7A21CB36-3186-460A-9780-50EFD5AE7C41}" name="Column1332" dataDxfId="15022"/>
    <tableColumn id="1381" xr3:uid="{CBFF601B-572C-4938-9875-BCBCCB153A4D}" name="Column1333" dataDxfId="15021"/>
    <tableColumn id="1382" xr3:uid="{47E10C48-61BD-46E2-8AE3-2C5E93C26AE8}" name="Column1334" dataDxfId="15020"/>
    <tableColumn id="1383" xr3:uid="{CC57C662-5B48-4D67-8942-377A0CFFD0E9}" name="Column1335" dataDxfId="15019"/>
    <tableColumn id="1384" xr3:uid="{71094CEC-B7F8-4AF0-8BDB-1BE97A857E36}" name="Column1336" dataDxfId="15018"/>
    <tableColumn id="1385" xr3:uid="{5A74BCDF-FEB6-47FB-99F1-FCA45CF87489}" name="Column1337" dataDxfId="15017"/>
    <tableColumn id="1386" xr3:uid="{E908986F-6F1E-4C88-8497-22A4E60E23CB}" name="Column1338" dataDxfId="15016"/>
    <tableColumn id="1387" xr3:uid="{5DC7B774-35F2-4903-A729-BBE5D8ACF6E2}" name="Column1339" dataDxfId="15015"/>
    <tableColumn id="1388" xr3:uid="{7F8D46B2-EE35-4E1D-88E3-6C4974F69143}" name="Column1340" dataDxfId="15014"/>
    <tableColumn id="1389" xr3:uid="{2AC2CCAA-4763-40FE-994F-4F5F5DFC358A}" name="Column1341" dataDxfId="15013"/>
    <tableColumn id="1390" xr3:uid="{51E8B6C7-E47D-40F3-9A21-D2475AEA2EEF}" name="Column1342" dataDxfId="15012"/>
    <tableColumn id="1391" xr3:uid="{C037533F-7FF9-4338-B4DE-45075295C3D6}" name="Column1343" dataDxfId="15011"/>
    <tableColumn id="1392" xr3:uid="{AA1D9A36-983B-4E8C-B14A-8EFDF9D42BC3}" name="Column1344" dataDxfId="15010"/>
    <tableColumn id="1393" xr3:uid="{A5B880F0-5EA4-4972-A71A-E98371C0DEF0}" name="Column1345" dataDxfId="15009"/>
    <tableColumn id="1394" xr3:uid="{F14BB8EA-A744-4347-9854-3DCA7135417D}" name="Column1346" dataDxfId="15008"/>
    <tableColumn id="1395" xr3:uid="{D242B364-6956-48D2-8403-416EF5844412}" name="Column1347" dataDxfId="15007"/>
    <tableColumn id="1396" xr3:uid="{6F840057-31BE-4A7A-A695-4B748C9522D3}" name="Column1348" dataDxfId="15006"/>
    <tableColumn id="1397" xr3:uid="{00A62645-BB7D-4A1D-8AC2-BC9A01367986}" name="Column1349" dataDxfId="15005"/>
    <tableColumn id="1398" xr3:uid="{544CD0C5-9A22-4D2F-895B-8EF1630569C2}" name="Column1350" dataDxfId="15004"/>
    <tableColumn id="1399" xr3:uid="{97CBD656-B531-4D97-BAA2-5BB6CEEB791B}" name="Column1351" dataDxfId="15003"/>
    <tableColumn id="1400" xr3:uid="{9CAA4206-303B-4B83-A4AB-156600A40609}" name="Column1352" dataDxfId="15002"/>
    <tableColumn id="1401" xr3:uid="{63A8BD33-46F8-4AA6-8DDF-8D657528448D}" name="Column1353" dataDxfId="15001"/>
    <tableColumn id="1402" xr3:uid="{ADCE4B5A-8882-4C99-9E36-7660A1C7038E}" name="Column1354" dataDxfId="15000"/>
    <tableColumn id="1403" xr3:uid="{98019269-4EB6-4C99-84A1-ABFF1F519F60}" name="Column1355" dataDxfId="14999"/>
    <tableColumn id="1404" xr3:uid="{CD5A9BF5-7EE5-4A3B-A070-7D61332488C6}" name="Column1356" dataDxfId="14998"/>
    <tableColumn id="1405" xr3:uid="{F4772C2E-D4C0-443E-8E85-F9865FDC88F5}" name="Column1357" dataDxfId="14997"/>
    <tableColumn id="1406" xr3:uid="{9B0C4D05-0D83-4B23-92CD-FFFEBDDB1F75}" name="Column1358" dataDxfId="14996"/>
    <tableColumn id="1407" xr3:uid="{66CD9547-6083-4695-91AF-FD2B7AA5FAA3}" name="Column1359" dataDxfId="14995"/>
    <tableColumn id="1408" xr3:uid="{13BF906C-1C7D-439E-AD61-CD380F0689BE}" name="Column1360" dataDxfId="14994"/>
    <tableColumn id="1409" xr3:uid="{296F045C-BFAB-45DB-BA2D-2E47C3214B9E}" name="Column1361" dataDxfId="14993"/>
    <tableColumn id="1410" xr3:uid="{00AC5847-EF24-48F8-8B69-8040362B299A}" name="Column1362" dataDxfId="14992"/>
    <tableColumn id="1411" xr3:uid="{0654B8E3-2DA5-4F15-BD5C-9EC22B20EBAD}" name="Column1363" dataDxfId="14991"/>
    <tableColumn id="1412" xr3:uid="{7B9BCDC5-6C3E-43AF-B1CB-1E1DE243F468}" name="Column1364" dataDxfId="14990"/>
    <tableColumn id="1413" xr3:uid="{526783AE-184E-4DBD-ACE1-43B66FA06935}" name="Column1365" dataDxfId="14989"/>
    <tableColumn id="1414" xr3:uid="{A5697BFC-19D9-4A48-8547-B08135FE3E77}" name="Column1366" dataDxfId="14988"/>
    <tableColumn id="1415" xr3:uid="{3BCC5D4C-D567-4A07-B93B-0BFAC62A0479}" name="Column1367" dataDxfId="14987"/>
    <tableColumn id="1416" xr3:uid="{14C16C1C-84C4-4296-8E71-20F64DA27323}" name="Column1368" dataDxfId="14986"/>
    <tableColumn id="1417" xr3:uid="{8A1124AE-B03C-4C91-B57D-5D3E19699C09}" name="Column1369" dataDxfId="14985"/>
    <tableColumn id="1418" xr3:uid="{1A028B85-8ACC-4609-9AE4-FA359D142584}" name="Column1370" dataDxfId="14984"/>
    <tableColumn id="1419" xr3:uid="{E6C73334-BD7C-4F71-8F2D-0C95EBA3E05B}" name="Column1371" dataDxfId="14983"/>
    <tableColumn id="1420" xr3:uid="{16DA25D5-9250-4571-B17D-15030809F890}" name="Column1372" dataDxfId="14982"/>
    <tableColumn id="1421" xr3:uid="{FCB842E1-7756-4556-96A7-C66CC4209713}" name="Column1373" dataDxfId="14981"/>
    <tableColumn id="1422" xr3:uid="{79028E5E-55A5-4B7B-8F31-E60573912F44}" name="Column1374" dataDxfId="14980"/>
    <tableColumn id="1423" xr3:uid="{D19ABF51-BC32-4138-8DB9-375E8D6FA10E}" name="Column1375" dataDxfId="14979"/>
    <tableColumn id="1424" xr3:uid="{505DC83C-2BA6-495A-B556-E16512A4818F}" name="Column1376" dataDxfId="14978"/>
    <tableColumn id="1425" xr3:uid="{3F9664B3-AC4B-4E6A-BF8E-559B385882D1}" name="Column1377" dataDxfId="14977"/>
    <tableColumn id="1426" xr3:uid="{07144C13-6C5A-459E-B1CE-FCAA708EE05E}" name="Column1378" dataDxfId="14976"/>
    <tableColumn id="1427" xr3:uid="{9BF3D0FD-B41D-40B2-938F-2FFEAECCE070}" name="Column1379" dataDxfId="14975"/>
    <tableColumn id="1428" xr3:uid="{5B878CF4-BAC3-4E03-A8BD-435FD69A561E}" name="Column1380" dataDxfId="14974"/>
    <tableColumn id="1429" xr3:uid="{576125E3-9C76-4A14-9B18-21EC923F4C9D}" name="Column1381" dataDxfId="14973"/>
    <tableColumn id="1430" xr3:uid="{AB6167C4-45E3-4AB2-A5AE-2681C820DD16}" name="Column1382" dataDxfId="14972"/>
    <tableColumn id="1431" xr3:uid="{D1EB6E24-0E27-4D89-A49D-B7D27D766BDA}" name="Column1383" dataDxfId="14971"/>
    <tableColumn id="1432" xr3:uid="{AF5DC1EB-22D8-424D-83F4-B98BD4BE308A}" name="Column1384" dataDxfId="14970"/>
    <tableColumn id="1433" xr3:uid="{E2B07A73-DC72-4E86-8D35-E2310B9155FE}" name="Column1385" dataDxfId="14969"/>
    <tableColumn id="1434" xr3:uid="{8B2D0039-A3D3-466E-88C8-BECFD489DD70}" name="Column1386" dataDxfId="14968"/>
    <tableColumn id="1435" xr3:uid="{436838A7-D05E-43F9-98D9-93DADD45ECE8}" name="Column1387" dataDxfId="14967"/>
    <tableColumn id="1436" xr3:uid="{5C8E9324-7F82-4CA3-B2F1-04917B4DE810}" name="Column1388" dataDxfId="14966"/>
    <tableColumn id="1437" xr3:uid="{FC0FE60E-7835-44B4-BC00-1A88B0EA1C66}" name="Column1389" dataDxfId="14965"/>
    <tableColumn id="1438" xr3:uid="{1B748BBB-DD0E-4493-B0FE-9BB516089AE5}" name="Column1390" dataDxfId="14964"/>
    <tableColumn id="1439" xr3:uid="{4714A14C-EE66-40E0-853A-79C61F2CA973}" name="Column1391" dataDxfId="14963"/>
    <tableColumn id="1440" xr3:uid="{0A4BCA90-9791-4119-AC86-238BDC8ECF21}" name="Column1392" dataDxfId="14962"/>
    <tableColumn id="1441" xr3:uid="{B3F4A59C-B4B6-4C12-8311-B064809B4D13}" name="Column1393" dataDxfId="14961"/>
    <tableColumn id="1442" xr3:uid="{3779D200-B71D-4F7E-83D8-B52FBF132BBB}" name="Column1394" dataDxfId="14960"/>
    <tableColumn id="1443" xr3:uid="{CDF2D38D-AF8B-4626-AF6F-FD3B04DC543F}" name="Column1395" dataDxfId="14959"/>
    <tableColumn id="1444" xr3:uid="{0B779F48-EBA9-4C38-B824-5B0DFBD360AA}" name="Column1396" dataDxfId="14958"/>
    <tableColumn id="1445" xr3:uid="{E5DAFF65-0877-4CF7-BD4E-D0D9AEF03F2A}" name="Column1397" dataDxfId="14957"/>
    <tableColumn id="1446" xr3:uid="{FB6179D8-F470-4568-A31F-862CE4049525}" name="Column1398" dataDxfId="14956"/>
    <tableColumn id="1447" xr3:uid="{365F5B34-3793-48D9-98B3-8882E259109F}" name="Column1399" dataDxfId="14955"/>
    <tableColumn id="1448" xr3:uid="{CD0904DF-0805-489A-AEAE-8537EDD28BF7}" name="Column1400" dataDxfId="14954"/>
    <tableColumn id="1449" xr3:uid="{87222635-A704-47FA-B4D9-74A6B17A0BBD}" name="Column1401" dataDxfId="14953"/>
    <tableColumn id="1450" xr3:uid="{D81C2360-BF31-4551-8660-58CD35FC8674}" name="Column1402" dataDxfId="14952"/>
    <tableColumn id="1451" xr3:uid="{1C3B9466-9168-40C0-B967-2E88E8180BBB}" name="Column1403" dataDxfId="14951"/>
    <tableColumn id="1452" xr3:uid="{242AC9F1-4C80-40FA-9545-4E0984F099A4}" name="Column1404" dataDxfId="14950"/>
    <tableColumn id="1453" xr3:uid="{6C179359-9109-46C5-AE09-1CBB0252DFD0}" name="Column1405" dataDxfId="14949"/>
    <tableColumn id="1454" xr3:uid="{7080A81F-6286-414F-9B72-3F49E51406C8}" name="Column1406" dataDxfId="14948"/>
    <tableColumn id="1455" xr3:uid="{CEE12AEF-7C2A-4720-A753-F184AAF7C8C3}" name="Column1407" dataDxfId="14947"/>
    <tableColumn id="1456" xr3:uid="{5AF18D29-B0F4-49EB-87A7-0DF535055BAC}" name="Column1408" dataDxfId="14946"/>
    <tableColumn id="1457" xr3:uid="{87DECAAD-091E-4711-8DC2-9BED19B4E3E6}" name="Column1409" dataDxfId="14945"/>
    <tableColumn id="1458" xr3:uid="{F5D76F31-D941-47BB-A215-A912F9263377}" name="Column1410" dataDxfId="14944"/>
    <tableColumn id="1459" xr3:uid="{1FCE2944-113B-40B1-B044-6938F725455D}" name="Column1411" dataDxfId="14943"/>
    <tableColumn id="1460" xr3:uid="{D5E133E2-064C-4634-A06E-EE0099B1D5CC}" name="Column1412" dataDxfId="14942"/>
    <tableColumn id="1461" xr3:uid="{A254CF21-EC8B-45DB-8534-CEB50E8E33E1}" name="Column1413" dataDxfId="14941"/>
    <tableColumn id="1462" xr3:uid="{915181B1-4687-41B6-8059-9B16AAE1A95F}" name="Column1414" dataDxfId="14940"/>
    <tableColumn id="1463" xr3:uid="{2D36501E-9CDC-4126-911A-BA4A75AFD4EF}" name="Column1415" dataDxfId="14939"/>
    <tableColumn id="1464" xr3:uid="{CA185953-4C3B-4BCE-8D7D-EF48C339BF8E}" name="Column1416" dataDxfId="14938"/>
    <tableColumn id="1465" xr3:uid="{299C7A5D-526E-422F-8B60-760305991E5D}" name="Column1417" dataDxfId="14937"/>
    <tableColumn id="1466" xr3:uid="{ED19DD7C-A4F6-4833-8E00-D6F68E1C3E13}" name="Column1418" dataDxfId="14936"/>
    <tableColumn id="1467" xr3:uid="{85DD7BBA-0159-4D64-A3D4-1D655F4A0D79}" name="Column1419" dataDxfId="14935"/>
    <tableColumn id="1468" xr3:uid="{562852EB-524D-495A-8DFD-47EB8677C6B4}" name="Column1420" dataDxfId="14934"/>
    <tableColumn id="1469" xr3:uid="{A714013D-088D-4A79-B9E6-223B1A2BCCF7}" name="Column1421" dataDxfId="14933"/>
    <tableColumn id="1470" xr3:uid="{3FAA9CEA-D976-4882-AA7D-8C36C0808077}" name="Column1422" dataDxfId="14932"/>
    <tableColumn id="1471" xr3:uid="{776DEEB7-BEF8-4FA1-85E4-5995CF98155A}" name="Column1423" dataDxfId="14931"/>
    <tableColumn id="1472" xr3:uid="{018003F4-894D-4255-B75B-A608E2D64E38}" name="Column1424" dataDxfId="14930"/>
    <tableColumn id="1473" xr3:uid="{C20B0F38-F51B-4E07-84C2-E4E3F75DBD2D}" name="Column1425" dataDxfId="14929"/>
    <tableColumn id="1474" xr3:uid="{73F6D8A3-A1A9-4288-B2E8-CF95ADB646FA}" name="Column1426" dataDxfId="14928"/>
    <tableColumn id="1475" xr3:uid="{C3CF19D2-80E8-4E0B-82D5-6F0E88456010}" name="Column1427" dataDxfId="14927"/>
    <tableColumn id="1476" xr3:uid="{4911DD92-1270-4F52-B4F6-0E53E90F1D75}" name="Column1428" dataDxfId="14926"/>
    <tableColumn id="1477" xr3:uid="{1DA6D86C-8758-456E-9C01-8FB07E82123C}" name="Column1429" dataDxfId="14925"/>
    <tableColumn id="1478" xr3:uid="{DE40AC03-DA98-436A-8D93-913D78F5A573}" name="Column1430" dataDxfId="14924"/>
    <tableColumn id="1479" xr3:uid="{2A64F1F1-D037-46B8-B9CA-DDE9CC073AE9}" name="Column1431" dataDxfId="14923"/>
    <tableColumn id="1480" xr3:uid="{1740EBC6-5A31-4F47-9702-907016CF82D4}" name="Column1432" dataDxfId="14922"/>
    <tableColumn id="1481" xr3:uid="{0ABFEAAF-65E5-4AE2-AD53-2EA956FCC7E4}" name="Column1433" dataDxfId="14921"/>
    <tableColumn id="1482" xr3:uid="{DE69B0BC-EE39-4185-81DA-B1D20EAB9ECE}" name="Column1434" dataDxfId="14920"/>
    <tableColumn id="1483" xr3:uid="{1B6069E5-DDD6-4F9F-A6AF-5CD7D50BC67A}" name="Column1435" dataDxfId="14919"/>
    <tableColumn id="1484" xr3:uid="{8D56E028-932A-43C9-B49E-08D9FA199226}" name="Column1436" dataDxfId="14918"/>
    <tableColumn id="1485" xr3:uid="{10821836-7F14-4E37-9265-378DD9C08674}" name="Column1437" dataDxfId="14917"/>
    <tableColumn id="1486" xr3:uid="{3E7C3CCC-622C-4541-B197-5942FB1ACF70}" name="Column1438" dataDxfId="14916"/>
    <tableColumn id="1487" xr3:uid="{AC7B14C8-20DA-4DF6-A68A-5AAF0A36B2C7}" name="Column1439" dataDxfId="14915"/>
    <tableColumn id="1488" xr3:uid="{3C560BF1-70D4-452C-A345-A80250D8DDE6}" name="Column1440" dataDxfId="14914"/>
    <tableColumn id="1489" xr3:uid="{40E7EA75-3E97-4B9C-A480-3E924AFDE7D3}" name="Column1441" dataDxfId="14913"/>
    <tableColumn id="1490" xr3:uid="{B1F15A10-93CB-4D18-A7FF-16C55903AD35}" name="Column1442" dataDxfId="14912"/>
    <tableColumn id="1491" xr3:uid="{227A523E-68A8-4FA8-9800-A726BD06E072}" name="Column1443" dataDxfId="14911"/>
    <tableColumn id="1492" xr3:uid="{D803781B-33DE-4164-ACBF-0BE5B6C6E3A2}" name="Column1444" dataDxfId="14910"/>
    <tableColumn id="1493" xr3:uid="{F4C2968A-38D0-4B8D-B70F-80CC03B740ED}" name="Column1445" dataDxfId="14909"/>
    <tableColumn id="1494" xr3:uid="{2F91EB27-3753-4034-8384-CBA124D820F3}" name="Column1446" dataDxfId="14908"/>
    <tableColumn id="1495" xr3:uid="{1DEE9345-22B2-4349-86DE-97EE995EAB53}" name="Column1447" dataDxfId="14907"/>
    <tableColumn id="1496" xr3:uid="{75F77E17-B8EC-4BE1-B8C8-DFA3D27D3C3B}" name="Column1448" dataDxfId="14906"/>
    <tableColumn id="1497" xr3:uid="{831B7D0B-9D78-41DF-89D8-31E389CCBE30}" name="Column1449" dataDxfId="14905"/>
    <tableColumn id="1498" xr3:uid="{6FAD709A-93DD-4BC9-AB97-11D4455B0CC6}" name="Column1450" dataDxfId="14904"/>
    <tableColumn id="1499" xr3:uid="{AC9A14D5-926D-4B57-95CF-8F82E5C69644}" name="Column1451" dataDxfId="14903"/>
    <tableColumn id="1500" xr3:uid="{609ED4A1-97A0-4F92-9311-0125CA4DD554}" name="Column1452" dataDxfId="14902"/>
    <tableColumn id="1501" xr3:uid="{E535937A-F9DB-436D-9D18-976CBBA2DBB5}" name="Column1453" dataDxfId="14901"/>
    <tableColumn id="1502" xr3:uid="{D7C50250-48EA-4439-94E3-33B6B3E6012F}" name="Column1454" dataDxfId="14900"/>
    <tableColumn id="1503" xr3:uid="{8B15758C-5CA4-4137-BD52-F1262B81FAF1}" name="Column1455" dataDxfId="14899"/>
    <tableColumn id="1504" xr3:uid="{55BB2D78-30DB-476C-B62F-0482C045DA25}" name="Column1456" dataDxfId="14898"/>
    <tableColumn id="1505" xr3:uid="{1EA8CAFD-EB33-44F0-AF36-24CA60B5350E}" name="Column1457" dataDxfId="14897"/>
    <tableColumn id="1506" xr3:uid="{BE61D946-2D80-4027-AAB4-44E9EEED6885}" name="Column1458" dataDxfId="14896"/>
    <tableColumn id="1507" xr3:uid="{2DBC8B90-AC6A-4961-A736-3728DDDD6F27}" name="Column1459" dataDxfId="14895"/>
    <tableColumn id="1508" xr3:uid="{2D2435AE-9228-43E9-8919-D5072E23DCFC}" name="Column1460" dataDxfId="14894"/>
    <tableColumn id="1509" xr3:uid="{87E93653-B12C-4E60-A234-4A8EB20ED19B}" name="Column1461" dataDxfId="14893"/>
    <tableColumn id="1510" xr3:uid="{DC2E5D46-AB07-4687-A6D8-12B3BE5927C7}" name="Column1462" dataDxfId="14892"/>
    <tableColumn id="1511" xr3:uid="{DDCF5730-8F28-4511-B9BC-CE9D9E5CE126}" name="Column1463" dataDxfId="14891"/>
    <tableColumn id="1512" xr3:uid="{07DCEAE4-FD01-4220-A75E-4833E31AE5AF}" name="Column1464" dataDxfId="14890"/>
    <tableColumn id="1513" xr3:uid="{47E6B9CD-E945-4A35-8B16-9DCC8483C9CC}" name="Column1465" dataDxfId="14889"/>
    <tableColumn id="1514" xr3:uid="{ECC2EE56-FC64-4B7A-8448-A2BBDCD9B3F2}" name="Column1466" dataDxfId="14888"/>
    <tableColumn id="1515" xr3:uid="{5202094C-A08D-47E3-AD29-A45A5272E375}" name="Column1467" dataDxfId="14887"/>
    <tableColumn id="1516" xr3:uid="{B7A1B68B-617A-4891-8CF9-3252249E9ED6}" name="Column1468" dataDxfId="14886"/>
    <tableColumn id="1517" xr3:uid="{6446317A-BE82-4B93-B529-071A75EEAEEE}" name="Column1469" dataDxfId="14885"/>
    <tableColumn id="1518" xr3:uid="{9C9B2E59-2823-4AA1-9F2E-C05261DFB948}" name="Column1470" dataDxfId="14884"/>
    <tableColumn id="1519" xr3:uid="{DCAE5002-8489-49F7-8618-96CB89CAE17F}" name="Column1471" dataDxfId="14883"/>
    <tableColumn id="1520" xr3:uid="{2C01401E-C743-4D1B-969C-E95D78E633F3}" name="Column1472" dataDxfId="14882"/>
    <tableColumn id="1521" xr3:uid="{C72C4304-A9CD-45BF-9FCD-11EBF8013529}" name="Column1473" dataDxfId="14881"/>
    <tableColumn id="1522" xr3:uid="{779B4888-3BED-4AF2-90DF-9F9FF8851376}" name="Column1474" dataDxfId="14880"/>
    <tableColumn id="1523" xr3:uid="{7D54545F-6EFC-4569-ACB9-A0F821133291}" name="Column1475" dataDxfId="14879"/>
    <tableColumn id="1524" xr3:uid="{7075E630-294B-4DC5-9AF4-90870246703B}" name="Column1476" dataDxfId="14878"/>
    <tableColumn id="1525" xr3:uid="{F1338D03-AC2E-42ED-984C-8252527AEEFD}" name="Column1477" dataDxfId="14877"/>
    <tableColumn id="1526" xr3:uid="{B3546B03-ED92-4CD0-BE61-22C0F14E8ECA}" name="Column1478" dataDxfId="14876"/>
    <tableColumn id="1527" xr3:uid="{2568AE85-F734-48D1-8C2A-781BC22CAD0C}" name="Column1479" dataDxfId="14875"/>
    <tableColumn id="1528" xr3:uid="{FA763EED-BE90-401E-AE33-E18E3CED4836}" name="Column1480" dataDxfId="14874"/>
    <tableColumn id="1529" xr3:uid="{57EBCA28-6B6E-4AC0-96AE-7AFF66499F10}" name="Column1481" dataDxfId="14873"/>
    <tableColumn id="1530" xr3:uid="{507AA207-C6E0-4B9F-8BA9-F8329C776E9B}" name="Column1482" dataDxfId="14872"/>
    <tableColumn id="1531" xr3:uid="{0DD9982D-82EA-439B-B23C-6197CB3C4ACD}" name="Column1483" dataDxfId="14871"/>
    <tableColumn id="1532" xr3:uid="{2A8178E6-853E-402E-B4AE-09783364F21E}" name="Column1484" dataDxfId="14870"/>
    <tableColumn id="1533" xr3:uid="{9B0FD13C-A63E-4EA3-8628-6A33DFE59600}" name="Column1485" dataDxfId="14869"/>
    <tableColumn id="1534" xr3:uid="{8E39AE85-42E6-431E-94B1-3E4016E4EA55}" name="Column1486" dataDxfId="14868"/>
    <tableColumn id="1535" xr3:uid="{79197F25-753E-42D5-9558-FBF7A2025914}" name="Column1487" dataDxfId="14867"/>
    <tableColumn id="1536" xr3:uid="{0A0CF16E-D637-470C-B91D-2D7F5109BF86}" name="Column1488" dataDxfId="14866"/>
    <tableColumn id="1537" xr3:uid="{4A5A0321-5A82-4894-9A19-40AE80511781}" name="Column1489" dataDxfId="14865"/>
    <tableColumn id="1538" xr3:uid="{159FBCE2-288A-413C-8832-C355DBDDF52C}" name="Column1490" dataDxfId="14864"/>
    <tableColumn id="1539" xr3:uid="{1B88524D-44D4-4A39-8121-B655B1EC7C8F}" name="Column1491" dataDxfId="14863"/>
    <tableColumn id="1540" xr3:uid="{F0689F27-253E-4FD6-A5CB-A5588CE8225B}" name="Column1492" dataDxfId="14862"/>
    <tableColumn id="1541" xr3:uid="{5AC40E7E-2426-4620-98D4-4B598354C491}" name="Column1493" dataDxfId="14861"/>
    <tableColumn id="1542" xr3:uid="{0325262E-7FB9-4B1A-840C-1A961B9B75CC}" name="Column1494" dataDxfId="14860"/>
    <tableColumn id="1543" xr3:uid="{914F927B-FCD7-42F1-BB23-B5C1AC96AB60}" name="Column1495" dataDxfId="14859"/>
    <tableColumn id="1544" xr3:uid="{1AB7A284-55A9-40C7-9D24-8C768EDAC5AD}" name="Column1496" dataDxfId="14858"/>
    <tableColumn id="1545" xr3:uid="{CFF978A5-EFE3-4B3F-AEA1-E108A9954E81}" name="Column1497" dataDxfId="14857"/>
    <tableColumn id="1546" xr3:uid="{2993F18B-D8B4-4C1D-9D35-630EB11690F8}" name="Column1498" dataDxfId="14856"/>
    <tableColumn id="1547" xr3:uid="{49B343FC-436C-4503-B15E-A69232C3AE2C}" name="Column1499" dataDxfId="14855"/>
    <tableColumn id="1548" xr3:uid="{F6413909-0AA5-4346-BAED-A76F85D93C07}" name="Column1500" dataDxfId="14854"/>
    <tableColumn id="1549" xr3:uid="{82217828-9664-4C10-AB4A-08D325837AFD}" name="Column1501" dataDxfId="14853"/>
    <tableColumn id="1550" xr3:uid="{2D8728A2-3529-4A26-B4DF-AA469C864F29}" name="Column1502" dataDxfId="14852"/>
    <tableColumn id="1551" xr3:uid="{71B34C4C-A402-43B4-8EEA-2B2DEA7FA32E}" name="Column1503" dataDxfId="14851"/>
    <tableColumn id="1552" xr3:uid="{E55E4401-65DD-44D5-8E1E-FB95232FC7C8}" name="Column1504" dataDxfId="14850"/>
    <tableColumn id="1553" xr3:uid="{0E7D8B6A-7961-4F3B-A4A2-4F271116B680}" name="Column1505" dataDxfId="14849"/>
    <tableColumn id="1554" xr3:uid="{DFE86139-F744-413C-8A5A-8AF3D10E19E1}" name="Column1506" dataDxfId="14848"/>
    <tableColumn id="1555" xr3:uid="{D0232277-EFAB-4DB2-82D5-DFC343ED9AF8}" name="Column1507" dataDxfId="14847"/>
    <tableColumn id="1556" xr3:uid="{3D134C5F-67CE-40AD-819D-763BDD914ECA}" name="Column1508" dataDxfId="14846"/>
    <tableColumn id="1557" xr3:uid="{66DB4307-DCA3-4F0B-8E82-12C41A938B94}" name="Column1509" dataDxfId="14845"/>
    <tableColumn id="1558" xr3:uid="{8A509213-38FC-4F18-AC0C-FDA46EEB4FB7}" name="Column1510" dataDxfId="14844"/>
    <tableColumn id="1559" xr3:uid="{461EB294-A1CA-4867-B2EC-6C1BB308CB0A}" name="Column1511" dataDxfId="14843"/>
    <tableColumn id="1560" xr3:uid="{2785A62B-153E-4FEA-A0BE-F6355F380220}" name="Column1512" dataDxfId="14842"/>
    <tableColumn id="1561" xr3:uid="{C0AB4B16-2ED3-4742-ABC5-63B48DFB1ED4}" name="Column1513" dataDxfId="14841"/>
    <tableColumn id="1562" xr3:uid="{F06BB405-7E2F-4307-B30D-99A66F793B46}" name="Column1514" dataDxfId="14840"/>
    <tableColumn id="1563" xr3:uid="{B537D947-BB7B-4C35-8D1E-6040950A7FF3}" name="Column1515" dataDxfId="14839"/>
    <tableColumn id="1564" xr3:uid="{5A4CA37D-EC1A-4891-B1E5-4A3A33AAA6AD}" name="Column1516" dataDxfId="14838"/>
    <tableColumn id="1565" xr3:uid="{C1176405-1330-47F4-93BF-471DAA88D755}" name="Column1517" dataDxfId="14837"/>
    <tableColumn id="1566" xr3:uid="{82FC6B9B-BFEF-47D7-9115-72F69A47BE8D}" name="Column1518" dataDxfId="14836"/>
    <tableColumn id="1567" xr3:uid="{347042AE-60E6-4CC4-9BFB-3EF270B210E9}" name="Column1519" dataDxfId="14835"/>
    <tableColumn id="1568" xr3:uid="{4C3D8950-9124-4998-A120-C11EDB3ECDDF}" name="Column1520" dataDxfId="14834"/>
    <tableColumn id="1569" xr3:uid="{1608EF20-5B4C-4458-9E72-6D2BD17B098E}" name="Column1521" dataDxfId="14833"/>
    <tableColumn id="1570" xr3:uid="{296706C5-93C1-4991-A365-8BB3E167D832}" name="Column1522" dataDxfId="14832"/>
    <tableColumn id="1571" xr3:uid="{3F159150-FD91-4A1E-B71B-939EC58DC9CE}" name="Column1523" dataDxfId="14831"/>
    <tableColumn id="1572" xr3:uid="{000090F5-7040-4E97-9172-09F6E541229D}" name="Column1524" dataDxfId="14830"/>
    <tableColumn id="1573" xr3:uid="{DFDC19BA-E662-48C0-8729-3A498BE256FC}" name="Column1525" dataDxfId="14829"/>
    <tableColumn id="1574" xr3:uid="{2E0DA1F0-7873-44A3-99F4-3C690A06CE46}" name="Column1526" dataDxfId="14828"/>
    <tableColumn id="1575" xr3:uid="{0CC1D978-7196-4644-B892-7FDAC241E197}" name="Column1527" dataDxfId="14827"/>
    <tableColumn id="1576" xr3:uid="{F2275A3B-3EF2-4431-BEBB-FB70D6C60C12}" name="Column1528" dataDxfId="14826"/>
    <tableColumn id="1577" xr3:uid="{DA7F4D26-5968-4A23-B03F-65C631C96AAA}" name="Column1529" dataDxfId="14825"/>
    <tableColumn id="1578" xr3:uid="{BDF78439-FA86-4A05-9E14-E02B676821FF}" name="Column1530" dataDxfId="14824"/>
    <tableColumn id="1579" xr3:uid="{072BF516-1B35-44A5-AAF9-07B76DEF9FB3}" name="Column1531" dataDxfId="14823"/>
    <tableColumn id="1580" xr3:uid="{93B15D9B-E4C5-41ED-9827-9426F76BFDD3}" name="Column1532" dataDxfId="14822"/>
    <tableColumn id="1581" xr3:uid="{7DE3F1AC-84D0-4861-BF46-65BCA67B1D7C}" name="Column1533" dataDxfId="14821"/>
    <tableColumn id="1582" xr3:uid="{3B58884C-842C-4093-8989-287BB8C3912A}" name="Column1534" dataDxfId="14820"/>
    <tableColumn id="1583" xr3:uid="{FC0D8A48-61D3-4D60-BA86-6F11B980524F}" name="Column1535" dataDxfId="14819"/>
    <tableColumn id="1584" xr3:uid="{C268755C-94E0-40D2-9A51-0F8406565DEE}" name="Column1536" dataDxfId="14818"/>
    <tableColumn id="1585" xr3:uid="{825080F5-3821-431A-857E-FDD300B77D04}" name="Column1537" dataDxfId="14817"/>
    <tableColumn id="1586" xr3:uid="{5388DE48-A46C-4AB4-8818-899E688CA0E9}" name="Column1538" dataDxfId="14816"/>
    <tableColumn id="1587" xr3:uid="{D97F9D88-58F8-4836-8D69-43D3CB911663}" name="Column1539" dataDxfId="14815"/>
    <tableColumn id="1588" xr3:uid="{CA3B9830-4FE9-4115-B30B-774C2C391CE3}" name="Column1540" dataDxfId="14814"/>
    <tableColumn id="1589" xr3:uid="{7904B79C-9995-445D-A82C-431AADDC40F8}" name="Column1541" dataDxfId="14813"/>
    <tableColumn id="1590" xr3:uid="{884766BC-BC6B-44B1-A5BE-679DBADDED03}" name="Column1542" dataDxfId="14812"/>
    <tableColumn id="1591" xr3:uid="{A4540F3E-6D33-4698-9EB6-8A9BC4BF91C2}" name="Column1543" dataDxfId="14811"/>
    <tableColumn id="1592" xr3:uid="{31F80BDD-D518-4F6E-9172-0FA60DFE667D}" name="Column1544" dataDxfId="14810"/>
    <tableColumn id="1593" xr3:uid="{8A84BEDB-456D-4132-A222-613B533FCF57}" name="Column1545" dataDxfId="14809"/>
    <tableColumn id="1594" xr3:uid="{0C558F9B-50B2-4927-8CB9-0A1F83F8F384}" name="Column1546" dataDxfId="14808"/>
    <tableColumn id="1595" xr3:uid="{5AEE80FF-6AF1-41B4-ACC9-5493B0852719}" name="Column1547" dataDxfId="14807"/>
    <tableColumn id="1596" xr3:uid="{EB53F54D-0BAF-4180-AD84-8F577C1B239A}" name="Column1548" dataDxfId="14806"/>
    <tableColumn id="1597" xr3:uid="{D74B604B-493F-421A-82AB-4AA43D842A43}" name="Column1549" dataDxfId="14805"/>
    <tableColumn id="1598" xr3:uid="{F0A76D9B-65C1-49E2-9F18-AFA357DFE898}" name="Column1550" dataDxfId="14804"/>
    <tableColumn id="1599" xr3:uid="{633399B2-C052-4FAA-B89A-FB997679B58B}" name="Column1551" dataDxfId="14803"/>
    <tableColumn id="1600" xr3:uid="{C3797F3D-0D5D-45F3-97DF-08EC0FAC3A96}" name="Column1552" dataDxfId="14802"/>
    <tableColumn id="1601" xr3:uid="{DCEAD497-6558-4192-AF9B-C3B11D0EDBD6}" name="Column1553" dataDxfId="14801"/>
    <tableColumn id="1602" xr3:uid="{643D357D-3BB6-480F-A72C-4CCDA607B340}" name="Column1554" dataDxfId="14800"/>
    <tableColumn id="1603" xr3:uid="{1B8C4C8B-9591-408C-8AB0-97AE24FC850D}" name="Column1555" dataDxfId="14799"/>
    <tableColumn id="1604" xr3:uid="{FB94276C-A84A-4D8F-97A4-DB0E5936402C}" name="Column1556" dataDxfId="14798"/>
    <tableColumn id="1605" xr3:uid="{24C0F294-8CEC-41FF-A91E-3022BEC9807C}" name="Column1557" dataDxfId="14797"/>
    <tableColumn id="1606" xr3:uid="{2539149F-5879-4A1F-97C5-9F9CF8E23BAD}" name="Column1558" dataDxfId="14796"/>
    <tableColumn id="1607" xr3:uid="{CB9DEC41-7B67-4AC1-BF7F-0587148F8C2A}" name="Column1559" dataDxfId="14795"/>
    <tableColumn id="1608" xr3:uid="{05A6F63F-AE54-46D5-8088-B413D2F28061}" name="Column1560" dataDxfId="14794"/>
    <tableColumn id="1609" xr3:uid="{51C27428-CF73-4694-8878-24FAC8E84870}" name="Column1561" dataDxfId="14793"/>
    <tableColumn id="1610" xr3:uid="{CD83FC63-CABE-4149-A11F-A5AF4E81BC69}" name="Column1562" dataDxfId="14792"/>
    <tableColumn id="1611" xr3:uid="{7CDEA23F-54C6-4646-B911-3F6FF658BAEF}" name="Column1563" dataDxfId="14791"/>
    <tableColumn id="1612" xr3:uid="{B9A840CD-2C59-491D-A7DD-674EC86C9BF9}" name="Column1564" dataDxfId="14790"/>
    <tableColumn id="1613" xr3:uid="{5FB3AD46-9B07-4EF3-845A-0543FD4D3032}" name="Column1565" dataDxfId="14789"/>
    <tableColumn id="1614" xr3:uid="{7A2E5B08-9B06-448E-85B8-6C5B6145F80B}" name="Column1566" dataDxfId="14788"/>
    <tableColumn id="1615" xr3:uid="{D0A83851-30FD-45BB-B059-676E82A4726E}" name="Column1567" dataDxfId="14787"/>
    <tableColumn id="1616" xr3:uid="{105866F2-33E6-4A56-92EE-E0A01626DA17}" name="Column1568" dataDxfId="14786"/>
    <tableColumn id="1617" xr3:uid="{47F60E12-448E-468B-91DF-90467A0C938F}" name="Column1569" dataDxfId="14785"/>
    <tableColumn id="1618" xr3:uid="{B0D6EE49-76F9-4396-84EC-2D1AEAD43EC1}" name="Column1570" dataDxfId="14784"/>
    <tableColumn id="1619" xr3:uid="{2CEC19D6-F01C-47E9-9813-8F921183D29D}" name="Column1571" dataDxfId="14783"/>
    <tableColumn id="1620" xr3:uid="{392C071C-F808-4F31-84F9-69D73878D270}" name="Column1572" dataDxfId="14782"/>
    <tableColumn id="1621" xr3:uid="{0D0B331B-813B-4025-851F-E9565E88D9AE}" name="Column1573" dataDxfId="14781"/>
    <tableColumn id="1622" xr3:uid="{DD9F16A5-9699-4D3E-BC30-41E22767CC1D}" name="Column1574" dataDxfId="14780"/>
    <tableColumn id="1623" xr3:uid="{77EA4067-67AC-461A-B0C5-EDB9C1B1CE95}" name="Column1575" dataDxfId="14779"/>
    <tableColumn id="1624" xr3:uid="{7CCC4128-EC11-4706-8C90-E76908DD428E}" name="Column1576" dataDxfId="14778"/>
    <tableColumn id="1625" xr3:uid="{A6DE8D3F-196C-4FD5-ADD9-095580F18F1E}" name="Column1577" dataDxfId="14777"/>
    <tableColumn id="1626" xr3:uid="{C89DC6C1-3ACA-4FC7-8CA3-268CA84F77FD}" name="Column1578" dataDxfId="14776"/>
    <tableColumn id="1627" xr3:uid="{9634B917-37CA-494B-8B3D-11E9068B1A3E}" name="Column1579" dataDxfId="14775"/>
    <tableColumn id="1628" xr3:uid="{C23FE97C-7D2A-4A22-81E5-981A210929A8}" name="Column1580" dataDxfId="14774"/>
    <tableColumn id="1629" xr3:uid="{C01C9D0E-89DD-4ABA-8F96-3E0D3C9A152D}" name="Column1581" dataDxfId="14773"/>
    <tableColumn id="1630" xr3:uid="{EBE95E87-4383-4528-AECB-B906EC750354}" name="Column1582" dataDxfId="14772"/>
    <tableColumn id="1631" xr3:uid="{8B56F1C1-6619-4059-BE7D-6C982C966A8C}" name="Column1583" dataDxfId="14771"/>
    <tableColumn id="1632" xr3:uid="{652190A9-7F31-43A7-9242-C806111C23F1}" name="Column1584" dataDxfId="14770"/>
    <tableColumn id="1633" xr3:uid="{8B5C91E8-37C5-4BBB-9BED-7F20E5CCF5AA}" name="Column1585" dataDxfId="14769"/>
    <tableColumn id="1634" xr3:uid="{A1A3015A-DCA7-429D-92E7-53E9E8B4DEAA}" name="Column1586" dataDxfId="14768"/>
    <tableColumn id="1635" xr3:uid="{0785CB2F-6D6B-4E92-B0C8-F97CB4A8DD89}" name="Column1587" dataDxfId="14767"/>
    <tableColumn id="1636" xr3:uid="{3DD94DEC-1588-48C3-A128-EB89AA1C2630}" name="Column1588" dataDxfId="14766"/>
    <tableColumn id="1637" xr3:uid="{499F9805-BC29-43C8-88F7-687D80308E46}" name="Column1589" dataDxfId="14765"/>
    <tableColumn id="1638" xr3:uid="{96C9D240-0479-4975-BD75-F4769A264D40}" name="Column1590" dataDxfId="14764"/>
    <tableColumn id="1639" xr3:uid="{91C8173E-BD93-4793-8E60-F8B388B3B02A}" name="Column1591" dataDxfId="14763"/>
    <tableColumn id="1640" xr3:uid="{910605F8-08B1-4CD9-9B62-2FFBDB5AB51B}" name="Column1592" dataDxfId="14762"/>
    <tableColumn id="1641" xr3:uid="{77762C18-7EA2-4935-A843-43BE85AEA9E8}" name="Column1593" dataDxfId="14761"/>
    <tableColumn id="1642" xr3:uid="{31514B6B-E3BA-4890-B241-39FBFF81684C}" name="Column1594" dataDxfId="14760"/>
    <tableColumn id="1643" xr3:uid="{4EE49814-68F9-4786-BAFC-5CFCCCAA3149}" name="Column1595" dataDxfId="14759"/>
    <tableColumn id="1644" xr3:uid="{CB77AE23-B3DC-4B28-BD68-4B8B5F35AC50}" name="Column1596" dataDxfId="14758"/>
    <tableColumn id="1645" xr3:uid="{88230EB4-F045-4EBB-BD2A-3E483B37EC82}" name="Column1597" dataDxfId="14757"/>
    <tableColumn id="1646" xr3:uid="{E13E097B-52CF-4B38-A7DD-6DBE5B85887C}" name="Column1598" dataDxfId="14756"/>
    <tableColumn id="1647" xr3:uid="{344A993C-97E4-49E2-B733-8871ADCB59B9}" name="Column1599" dataDxfId="14755"/>
    <tableColumn id="1648" xr3:uid="{3CCF64D7-F38F-4DF3-B0DB-16B45DB20D96}" name="Column1600" dataDxfId="14754"/>
    <tableColumn id="1649" xr3:uid="{95306EB2-8B33-4CCB-B124-7A4002AF63A6}" name="Column1601" dataDxfId="14753"/>
    <tableColumn id="1650" xr3:uid="{423E147B-93E1-4B18-A7DA-F9168CEEA40F}" name="Column1602" dataDxfId="14752"/>
    <tableColumn id="1651" xr3:uid="{459068AB-6C00-4D4B-B455-28BAD24128D1}" name="Column1603" dataDxfId="14751"/>
    <tableColumn id="1652" xr3:uid="{F79451CE-5FD7-40B3-9C24-2EB6D6DB06D3}" name="Column1604" dataDxfId="14750"/>
    <tableColumn id="1653" xr3:uid="{54DFF90D-5B4C-4517-99C7-5DF8529DDDE5}" name="Column1605" dataDxfId="14749"/>
    <tableColumn id="1654" xr3:uid="{4A3A77AD-42CE-4A79-B5ED-885E6A5FCB29}" name="Column1606" dataDxfId="14748"/>
    <tableColumn id="1655" xr3:uid="{FFA76780-FE99-4556-B44D-6B44B976A193}" name="Column1607" dataDxfId="14747"/>
    <tableColumn id="1656" xr3:uid="{4DC4EBC6-9340-4267-B4A1-66465B6A5C3F}" name="Column1608" dataDxfId="14746"/>
    <tableColumn id="1657" xr3:uid="{0446098F-76C9-4557-A68E-0ECB1483CD1D}" name="Column1609" dataDxfId="14745"/>
    <tableColumn id="1658" xr3:uid="{6E87F61A-EDCC-4C8F-A240-70E056C09E18}" name="Column1610" dataDxfId="14744"/>
    <tableColumn id="1659" xr3:uid="{D5C26563-302C-4F79-A371-B5B6063C825C}" name="Column1611" dataDxfId="14743"/>
    <tableColumn id="1660" xr3:uid="{A3C9D61F-E21F-45D4-A7B5-54C8F3136E30}" name="Column1612" dataDxfId="14742"/>
    <tableColumn id="1661" xr3:uid="{B78E8E92-C258-4934-8C14-8487AEF49B93}" name="Column1613" dataDxfId="14741"/>
    <tableColumn id="1662" xr3:uid="{5C84B746-AED1-4B77-BA0E-A7C5F7B3C4BD}" name="Column1614" dataDxfId="14740"/>
    <tableColumn id="1663" xr3:uid="{76DDBAA0-6DD0-438A-9FD9-0BC1C76CD807}" name="Column1615" dataDxfId="14739"/>
    <tableColumn id="1664" xr3:uid="{FD08D396-1751-4A61-8E45-EB369438A5B1}" name="Column1616" dataDxfId="14738"/>
    <tableColumn id="1665" xr3:uid="{98D9A1DD-B863-4B86-A418-2115E769DC28}" name="Column1617" dataDxfId="14737"/>
    <tableColumn id="1666" xr3:uid="{2BDA392B-4C71-44DF-B606-6B21E2540B51}" name="Column1618" dataDxfId="14736"/>
    <tableColumn id="1667" xr3:uid="{7B33CFB9-0B80-43BF-AEF9-C36E589344DB}" name="Column1619" dataDxfId="14735"/>
    <tableColumn id="1668" xr3:uid="{221685EC-ED84-474F-8E08-23C275C1A648}" name="Column1620" dataDxfId="14734"/>
    <tableColumn id="1669" xr3:uid="{6BE05E69-006F-4F3B-901C-6D45E1B86E9A}" name="Column1621" dataDxfId="14733"/>
    <tableColumn id="1670" xr3:uid="{43DAECC4-8A89-4B9E-A7B7-F33F845619F9}" name="Column1622" dataDxfId="14732"/>
    <tableColumn id="1671" xr3:uid="{36729FC4-801A-4572-B54C-C5FAB3744921}" name="Column1623" dataDxfId="14731"/>
    <tableColumn id="1672" xr3:uid="{67192DB4-733F-4804-9AED-CC2CF4B8F833}" name="Column1624" dataDxfId="14730"/>
    <tableColumn id="1673" xr3:uid="{4AE95B50-07ED-4BF7-B6A7-EBF1C03139CD}" name="Column1625" dataDxfId="14729"/>
    <tableColumn id="1674" xr3:uid="{5923A13F-9C28-45D8-BF92-0738FCA04A86}" name="Column1626" dataDxfId="14728"/>
    <tableColumn id="1675" xr3:uid="{EE1B154A-5DA3-4243-9957-37E0613A0267}" name="Column1627" dataDxfId="14727"/>
    <tableColumn id="1676" xr3:uid="{18DA7EC6-05BA-4F19-8D9A-BA67452B426F}" name="Column1628" dataDxfId="14726"/>
    <tableColumn id="1677" xr3:uid="{F62BE27B-95F2-4061-A53A-80A40FD1E9A5}" name="Column1629" dataDxfId="14725"/>
    <tableColumn id="1678" xr3:uid="{1150A1B8-E471-44DA-9826-B83515CE9BF4}" name="Column1630" dataDxfId="14724"/>
    <tableColumn id="1679" xr3:uid="{0D27A6FD-EB9D-496E-B423-BD314EB5B0E5}" name="Column1631" dataDxfId="14723"/>
    <tableColumn id="1680" xr3:uid="{D4009A47-56D1-43FC-BAA9-596134810BE6}" name="Column1632" dataDxfId="14722"/>
    <tableColumn id="1681" xr3:uid="{042A0354-D3DF-4501-B5D2-4AC4EF7FECC8}" name="Column1633" dataDxfId="14721"/>
    <tableColumn id="1682" xr3:uid="{7BBB7081-2042-4DB6-BCE9-7FA6791A92C6}" name="Column1634" dataDxfId="14720"/>
    <tableColumn id="1683" xr3:uid="{2ED7313E-482C-42C4-863E-8FFADEF732D3}" name="Column1635" dataDxfId="14719"/>
    <tableColumn id="1684" xr3:uid="{C4DCA697-C93F-4E4F-8423-2772194177C8}" name="Column1636" dataDxfId="14718"/>
    <tableColumn id="1685" xr3:uid="{FC7B4C1E-D607-474B-9797-6A91911E0460}" name="Column1637" dataDxfId="14717"/>
    <tableColumn id="1686" xr3:uid="{C19771E2-DA70-4D6D-A17F-ECD42A160186}" name="Column1638" dataDxfId="14716"/>
    <tableColumn id="1687" xr3:uid="{598337A3-1F6C-40CA-9059-C27737382828}" name="Column1639" dataDxfId="14715"/>
    <tableColumn id="1688" xr3:uid="{3E2F28E4-DA56-448D-83C5-A12B0BBF7DCA}" name="Column1640" dataDxfId="14714"/>
    <tableColumn id="1689" xr3:uid="{C0C6DEB0-B552-473E-9D75-C741B1E98CBA}" name="Column1641" dataDxfId="14713"/>
    <tableColumn id="1690" xr3:uid="{23A92DB9-E63D-4817-A264-833D15F8C800}" name="Column1642" dataDxfId="14712"/>
    <tableColumn id="1691" xr3:uid="{001DBE35-6E09-4381-9EDC-639C73C8C912}" name="Column1643" dataDxfId="14711"/>
    <tableColumn id="1692" xr3:uid="{CBDE60D3-424F-4D52-9643-CC573C78E900}" name="Column1644" dataDxfId="14710"/>
    <tableColumn id="1693" xr3:uid="{CF2AF30F-805D-4C0A-A78D-E43ABD3F11BC}" name="Column1645" dataDxfId="14709"/>
    <tableColumn id="1694" xr3:uid="{CAED04EB-757D-47D1-AB04-C2C822038C81}" name="Column1646" dataDxfId="14708"/>
    <tableColumn id="1695" xr3:uid="{AFEE9381-4189-41F7-9AFE-8CD03202E892}" name="Column1647" dataDxfId="14707"/>
    <tableColumn id="1696" xr3:uid="{15C491AB-753C-48E1-816A-64A982C3A706}" name="Column1648" dataDxfId="14706"/>
    <tableColumn id="1697" xr3:uid="{AD1C4090-63D9-41B1-95E7-8C6F83E0DB08}" name="Column1649" dataDxfId="14705"/>
    <tableColumn id="1698" xr3:uid="{33BC0D63-62B4-4586-AD02-AF070FE9C98A}" name="Column1650" dataDxfId="14704"/>
    <tableColumn id="1699" xr3:uid="{B6017015-71E9-4397-AC7B-38A5C68B5FB4}" name="Column1651" dataDxfId="14703"/>
    <tableColumn id="1700" xr3:uid="{7725239C-F378-4449-8CFC-12E1EFFF891B}" name="Column1652" dataDxfId="14702"/>
    <tableColumn id="1701" xr3:uid="{8DD6E31C-40BE-4E0A-9725-542C08F9781C}" name="Column1653" dataDxfId="14701"/>
    <tableColumn id="1702" xr3:uid="{435E2BAC-8397-441D-9C26-6BBE8BBB8F73}" name="Column1654" dataDxfId="14700"/>
    <tableColumn id="1703" xr3:uid="{F7452188-D950-40E8-9E76-FBCC02577423}" name="Column1655" dataDxfId="14699"/>
    <tableColumn id="1704" xr3:uid="{2F538EE2-CFD6-40DF-B382-EDC60C8C2C9B}" name="Column1656" dataDxfId="14698"/>
    <tableColumn id="1705" xr3:uid="{44E10FB3-BF2E-4BFE-8701-0AFAECCCD59B}" name="Column1657" dataDxfId="14697"/>
    <tableColumn id="1706" xr3:uid="{52C1E4E3-E862-4498-8F3D-4912FCC4A5E5}" name="Column1658" dataDxfId="14696"/>
    <tableColumn id="1707" xr3:uid="{FA568F74-9497-4149-9A5A-2EE369325CBB}" name="Column1659" dataDxfId="14695"/>
    <tableColumn id="1708" xr3:uid="{34A2A3AE-FB8A-4345-BA05-0B29992D7252}" name="Column1660" dataDxfId="14694"/>
    <tableColumn id="1709" xr3:uid="{820AE881-D376-4FD0-9FDE-89342BC46A69}" name="Column1661" dataDxfId="14693"/>
    <tableColumn id="1710" xr3:uid="{B28CCFAD-F621-49EB-8C12-1E3BD4B4167D}" name="Column1662" dataDxfId="14692"/>
    <tableColumn id="1711" xr3:uid="{06CE1E0B-2535-4311-A41B-18EC1C239CD4}" name="Column1663" dataDxfId="14691"/>
    <tableColumn id="1712" xr3:uid="{F29DE0F2-00F3-4381-B7DB-B360B1DF2F79}" name="Column1664" dataDxfId="14690"/>
    <tableColumn id="1713" xr3:uid="{A22D7A30-0AB6-4043-BB2A-C19C6FBEEEDB}" name="Column1665" dataDxfId="14689"/>
    <tableColumn id="1714" xr3:uid="{00ADD5BC-F671-4792-B77E-733250C4D042}" name="Column1666" dataDxfId="14688"/>
    <tableColumn id="1715" xr3:uid="{667502BB-8A1F-4ED0-88F8-45AAD9E10CD9}" name="Column1667" dataDxfId="14687"/>
    <tableColumn id="1716" xr3:uid="{91B62C03-6576-4255-922A-C88440119076}" name="Column1668" dataDxfId="14686"/>
    <tableColumn id="1717" xr3:uid="{EB89005D-03D7-4A06-9277-CD73D42332EE}" name="Column1669" dataDxfId="14685"/>
    <tableColumn id="1718" xr3:uid="{F9975DFE-66DC-43B7-BBDE-E516370D5339}" name="Column1670" dataDxfId="14684"/>
    <tableColumn id="1719" xr3:uid="{F0AD9AEF-94EB-4573-99E0-6A2AA7359D08}" name="Column1671" dataDxfId="14683"/>
    <tableColumn id="1720" xr3:uid="{202EDD8B-BDEB-425F-8A52-1F346BF7CF80}" name="Column1672" dataDxfId="14682"/>
    <tableColumn id="1721" xr3:uid="{9B836E10-AE9D-4B88-965E-B4B42D383ABA}" name="Column1673" dataDxfId="14681"/>
    <tableColumn id="1722" xr3:uid="{669E506D-2F69-4C7A-A314-288788217318}" name="Column1674" dataDxfId="14680"/>
    <tableColumn id="1723" xr3:uid="{53FCA1A1-1AF0-4749-AB34-BF4BF8E6649B}" name="Column1675" dataDxfId="14679"/>
    <tableColumn id="1724" xr3:uid="{FFD0645B-1704-4F09-839D-5042DDD02CAD}" name="Column1676" dataDxfId="14678"/>
    <tableColumn id="1725" xr3:uid="{EA38F3D8-C50B-4497-9C78-8DFBD8E9A0E1}" name="Column1677" dataDxfId="14677"/>
    <tableColumn id="1726" xr3:uid="{262001C9-CC81-4B5D-A603-3679A10E41C6}" name="Column1678" dataDxfId="14676"/>
    <tableColumn id="1727" xr3:uid="{51F7DF4C-F22C-44AD-AB01-D20CD2936C95}" name="Column1679" dataDxfId="14675"/>
    <tableColumn id="1728" xr3:uid="{E75B3B61-0085-48BB-ABDC-812F5FBE4F82}" name="Column1680" dataDxfId="14674"/>
    <tableColumn id="1729" xr3:uid="{B88ADFE4-7A87-4F2A-8F8D-888164686D35}" name="Column1681" dataDxfId="14673"/>
    <tableColumn id="1730" xr3:uid="{6C579A8A-2F89-49E4-BB09-ABBF1E1EF324}" name="Column1682" dataDxfId="14672"/>
    <tableColumn id="1731" xr3:uid="{E1203EEE-0EDE-45F0-86DF-855107A28964}" name="Column1683" dataDxfId="14671"/>
    <tableColumn id="1732" xr3:uid="{8E965506-31A1-4BF9-A0A7-CE302D037179}" name="Column1684" dataDxfId="14670"/>
    <tableColumn id="1733" xr3:uid="{869F5BA9-2AEB-46F9-B0A0-A889B9C65571}" name="Column1685" dataDxfId="14669"/>
    <tableColumn id="1734" xr3:uid="{FBFDF234-7ACF-4966-8617-71E0491AE03F}" name="Column1686" dataDxfId="14668"/>
    <tableColumn id="1735" xr3:uid="{503E53F5-67CC-427D-9E5C-884F5D50931F}" name="Column1687" dataDxfId="14667"/>
    <tableColumn id="1736" xr3:uid="{D00079D5-5571-4A6D-9AE4-3C5C000DDD47}" name="Column1688" dataDxfId="14666"/>
    <tableColumn id="1737" xr3:uid="{826B91B0-DA02-4ED6-AA41-C7E848CCDF86}" name="Column1689" dataDxfId="14665"/>
    <tableColumn id="1738" xr3:uid="{6FA47EDC-84B1-43EA-8F2A-34B27B371DA8}" name="Column1690" dataDxfId="14664"/>
    <tableColumn id="1739" xr3:uid="{1BD321D0-A4BE-449E-84CE-27D777B33FA1}" name="Column1691" dataDxfId="14663"/>
    <tableColumn id="1740" xr3:uid="{F4368642-2528-4E4A-8073-C3BB34F66B7C}" name="Column1692" dataDxfId="14662"/>
    <tableColumn id="1741" xr3:uid="{CC17C7AE-ADB4-4859-90B0-D4ECBE4ABB8F}" name="Column1693" dataDxfId="14661"/>
    <tableColumn id="1742" xr3:uid="{BE4CDBC3-1BEB-4988-90FF-DB7E1A9E9F9A}" name="Column1694" dataDxfId="14660"/>
    <tableColumn id="1743" xr3:uid="{B5C1A852-60B9-4E26-91EB-F030A845DF1C}" name="Column1695" dataDxfId="14659"/>
    <tableColumn id="1744" xr3:uid="{68A95976-5B91-41A5-A8ED-F8EEA46409AA}" name="Column1696" dataDxfId="14658"/>
    <tableColumn id="1745" xr3:uid="{427E4D96-0207-4D9A-B084-572A6EFAE54B}" name="Column1697" dataDxfId="14657"/>
    <tableColumn id="1746" xr3:uid="{1B172DC0-5578-4A70-9FE5-AEDE348BD509}" name="Column1698" dataDxfId="14656"/>
    <tableColumn id="1747" xr3:uid="{EE8B8AF5-BC9D-4902-ADC6-10859AE95FC3}" name="Column1699" dataDxfId="14655"/>
    <tableColumn id="1748" xr3:uid="{1FD2085D-325C-4159-A4B6-C0535B764AD9}" name="Column1700" dataDxfId="14654"/>
    <tableColumn id="1749" xr3:uid="{F520BD8A-B718-4F00-B9A8-65F78EA3B8AE}" name="Column1701" dataDxfId="14653"/>
    <tableColumn id="1750" xr3:uid="{2D55D41B-F294-4B75-99E2-46DC6E67B26C}" name="Column1702" dataDxfId="14652"/>
    <tableColumn id="1751" xr3:uid="{499490A1-4955-47F7-8C70-AE9CE6DC8799}" name="Column1703" dataDxfId="14651"/>
    <tableColumn id="1752" xr3:uid="{DA7B97EF-7F87-48E3-BE5E-9B488FCCADE7}" name="Column1704" dataDxfId="14650"/>
    <tableColumn id="1753" xr3:uid="{79912D21-DD6D-49DD-8AB8-CEFA88DBBFEE}" name="Column1705" dataDxfId="14649"/>
    <tableColumn id="1754" xr3:uid="{ABD98E9B-CC4A-4664-9E01-49184DB44516}" name="Column1706" dataDxfId="14648"/>
    <tableColumn id="1755" xr3:uid="{0D28CDD0-64BA-47A0-81B1-87F2036935EE}" name="Column1707" dataDxfId="14647"/>
    <tableColumn id="1756" xr3:uid="{B05FD76A-0290-44DB-8E32-5A6E38207578}" name="Column1708" dataDxfId="14646"/>
    <tableColumn id="1757" xr3:uid="{91105890-C935-4D1E-AB14-21A5A391DE07}" name="Column1709" dataDxfId="14645"/>
    <tableColumn id="1758" xr3:uid="{F7EEF4DF-4426-4F4D-94E6-0A364FFD4E18}" name="Column1710" dataDxfId="14644"/>
    <tableColumn id="1759" xr3:uid="{B6A3F91B-E8F2-4AB6-911A-DE62914A01AA}" name="Column1711" dataDxfId="14643"/>
    <tableColumn id="1760" xr3:uid="{22775180-6AED-4335-AB69-5A56C12C4F74}" name="Column1712" dataDxfId="14642"/>
    <tableColumn id="1761" xr3:uid="{9786F216-D219-4B5E-80C8-D0330F0FFC35}" name="Column1713" dataDxfId="14641"/>
    <tableColumn id="1762" xr3:uid="{9BC834EF-45EB-46B8-81B0-2755EA48C176}" name="Column1714" dataDxfId="14640"/>
    <tableColumn id="1763" xr3:uid="{E43B8B53-6486-4CE7-8E6A-BBCCCC4E3C75}" name="Column1715" dataDxfId="14639"/>
    <tableColumn id="1764" xr3:uid="{2B328CD9-CB54-4BF1-812D-13C3FFB27513}" name="Column1716" dataDxfId="14638"/>
    <tableColumn id="1765" xr3:uid="{DED1759D-F4DE-4EEC-B506-194443C99269}" name="Column1717" dataDxfId="14637"/>
    <tableColumn id="1766" xr3:uid="{BDF0BC12-2CF6-45B4-BE3E-A71F84A9B076}" name="Column1718" dataDxfId="14636"/>
    <tableColumn id="1767" xr3:uid="{48DB4895-CE27-4CF3-956D-440465C45920}" name="Column1719" dataDxfId="14635"/>
    <tableColumn id="1768" xr3:uid="{0E9CA46C-8657-4299-A35F-250DB37E1E1D}" name="Column1720" dataDxfId="14634"/>
    <tableColumn id="1769" xr3:uid="{C297AB76-E229-4A12-8275-F0AD3B6185A4}" name="Column1721" dataDxfId="14633"/>
    <tableColumn id="1770" xr3:uid="{B06949E9-5B8D-4F5F-8524-B52C6CCB19A9}" name="Column1722" dataDxfId="14632"/>
    <tableColumn id="1771" xr3:uid="{A9331FC6-28A7-4393-92A9-BD9CE961D207}" name="Column1723" dataDxfId="14631"/>
    <tableColumn id="1772" xr3:uid="{943F5132-0FB3-4138-B40C-CAAE649AEAEC}" name="Column1724" dataDxfId="14630"/>
    <tableColumn id="1773" xr3:uid="{088B4F72-4DD8-4525-8C0A-65B67C09A9E2}" name="Column1725" dataDxfId="14629"/>
    <tableColumn id="1774" xr3:uid="{1287EEDE-4133-4308-8642-13F7C8C7210E}" name="Column1726" dataDxfId="14628"/>
    <tableColumn id="1775" xr3:uid="{B233E5F9-E53A-4A8D-AA7D-B93BA40F8E7F}" name="Column1727" dataDxfId="14627"/>
    <tableColumn id="1776" xr3:uid="{69FFDA6C-9619-45EF-93F4-ACF659B66CD1}" name="Column1728" dataDxfId="14626"/>
    <tableColumn id="1777" xr3:uid="{CA70BC09-B0FE-44F1-AAB2-223264FC2C91}" name="Column1729" dataDxfId="14625"/>
    <tableColumn id="1778" xr3:uid="{AF3A5994-F5E2-4A69-9B3D-28D04859B545}" name="Column1730" dataDxfId="14624"/>
    <tableColumn id="1779" xr3:uid="{D522BB5A-33FF-4562-9FB5-379CD5B01070}" name="Column1731" dataDxfId="14623"/>
    <tableColumn id="1780" xr3:uid="{2B1CDE49-0C09-4F5B-B3A8-A4A2F4962E5A}" name="Column1732" dataDxfId="14622"/>
    <tableColumn id="1781" xr3:uid="{68D995A2-0100-4F3C-B02A-98FB4DA9C2AB}" name="Column1733" dataDxfId="14621"/>
    <tableColumn id="1782" xr3:uid="{C2D0E87F-B643-4B3A-B2B8-9294D6834ED5}" name="Column1734" dataDxfId="14620"/>
    <tableColumn id="1783" xr3:uid="{79A7F477-FEFB-4CAD-8A4F-D06D883FA38B}" name="Column1735" dataDxfId="14619"/>
    <tableColumn id="1784" xr3:uid="{8491BBC4-964C-459F-A32B-A49EC99B5E94}" name="Column1736" dataDxfId="14618"/>
    <tableColumn id="1785" xr3:uid="{8A00C566-7590-4A42-A2CD-994EEA6CF6CA}" name="Column1737" dataDxfId="14617"/>
    <tableColumn id="1786" xr3:uid="{A8296A3C-4F78-4B08-8003-8F17433B6428}" name="Column1738" dataDxfId="14616"/>
    <tableColumn id="1787" xr3:uid="{ED352BC6-41A0-44E8-B154-A6768EF8178F}" name="Column1739" dataDxfId="14615"/>
    <tableColumn id="1788" xr3:uid="{381BF0F6-C218-4F11-ACE8-5771DF86C9A3}" name="Column1740" dataDxfId="14614"/>
    <tableColumn id="1789" xr3:uid="{0734C156-217F-47D9-8AF5-DA25DDFB52E0}" name="Column1741" dataDxfId="14613"/>
    <tableColumn id="1790" xr3:uid="{474B7042-FB6B-4DB9-B1C4-FF9F1F6EC4AA}" name="Column1742" dataDxfId="14612"/>
    <tableColumn id="1791" xr3:uid="{1BD08D11-9E2A-4432-8554-50100BFEC54F}" name="Column1743" dataDxfId="14611"/>
    <tableColumn id="1792" xr3:uid="{28A53F11-2FDE-4797-A65E-6F973EE30534}" name="Column1744" dataDxfId="14610"/>
    <tableColumn id="1793" xr3:uid="{3AF72FEB-1431-42F5-A95E-91CB4134E3CF}" name="Column1745" dataDxfId="14609"/>
    <tableColumn id="1794" xr3:uid="{0C222FB2-0CD8-443C-A64A-3783D0A0B6A5}" name="Column1746" dataDxfId="14608"/>
    <tableColumn id="1795" xr3:uid="{99A60850-83E0-4493-9EC6-4B15622500E5}" name="Column1747" dataDxfId="14607"/>
    <tableColumn id="1796" xr3:uid="{7785BF42-59F0-4A80-8882-258FD9626D7A}" name="Column1748" dataDxfId="14606"/>
    <tableColumn id="1797" xr3:uid="{8FE38846-71CC-4104-9587-37701442D1F6}" name="Column1749" dataDxfId="14605"/>
    <tableColumn id="1798" xr3:uid="{C509D834-3DB1-43B8-BA7A-F603976B4C76}" name="Column1750" dataDxfId="14604"/>
    <tableColumn id="1799" xr3:uid="{25C23E28-EB15-4167-A9E9-33FD2A9D88C9}" name="Column1751" dataDxfId="14603"/>
    <tableColumn id="1800" xr3:uid="{50D9CA00-5E36-4B08-AD30-F65E2E60C107}" name="Column1752" dataDxfId="14602"/>
    <tableColumn id="1801" xr3:uid="{1E193A19-A7DA-42EA-94B4-F781BEA57A68}" name="Column1753" dataDxfId="14601"/>
    <tableColumn id="1802" xr3:uid="{6A6C677D-D70A-4493-9CFB-46B6DEBD6238}" name="Column1754" dataDxfId="14600"/>
    <tableColumn id="1803" xr3:uid="{90015CD0-DE15-4A98-B94B-C90445507FB1}" name="Column1755" dataDxfId="14599"/>
    <tableColumn id="1804" xr3:uid="{73206110-53E8-4E31-8812-CD4178F4024E}" name="Column1756" dataDxfId="14598"/>
    <tableColumn id="1805" xr3:uid="{209D8322-D068-4F4C-BD61-70957CCDAA83}" name="Column1757" dataDxfId="14597"/>
    <tableColumn id="1806" xr3:uid="{A101330D-0CC9-40A7-B771-8015EAB268B5}" name="Column1758" dataDxfId="14596"/>
    <tableColumn id="1807" xr3:uid="{07FA6C55-C028-4C96-ACC0-4DDEF7EF6338}" name="Column1759" dataDxfId="14595"/>
    <tableColumn id="1808" xr3:uid="{5880A35E-814C-4E53-80CF-30AEB851CC9F}" name="Column1760" dataDxfId="14594"/>
    <tableColumn id="1809" xr3:uid="{4D00A56E-668B-4F9E-9666-7DBC43D878B1}" name="Column1761" dataDxfId="14593"/>
    <tableColumn id="1810" xr3:uid="{1A6D1792-1DDE-41F2-9EDD-111A496F90B0}" name="Column1762" dataDxfId="14592"/>
    <tableColumn id="1811" xr3:uid="{9252F650-E3FD-4F56-B5B9-54F14DEDCD55}" name="Column1763" dataDxfId="14591"/>
    <tableColumn id="1812" xr3:uid="{C1D0BE60-AE3F-46AD-A750-46C7F39D117A}" name="Column1764" dataDxfId="14590"/>
    <tableColumn id="1813" xr3:uid="{C3609503-BF55-45E4-94E7-3032A4AF4E4F}" name="Column1765" dataDxfId="14589"/>
    <tableColumn id="1814" xr3:uid="{9C1F07FA-F1D9-4AB0-B0FA-6D5A82B51869}" name="Column1766" dataDxfId="14588"/>
    <tableColumn id="1815" xr3:uid="{6AEC93CE-55DF-49C4-8028-4A20539BADF6}" name="Column1767" dataDxfId="14587"/>
    <tableColumn id="1816" xr3:uid="{92DB12C8-263A-490E-91DF-CF65B5941EFC}" name="Column1768" dataDxfId="14586"/>
    <tableColumn id="1817" xr3:uid="{A9556AC4-3677-48DB-8ADF-0EA45F907C25}" name="Column1769" dataDxfId="14585"/>
    <tableColumn id="1818" xr3:uid="{91318F98-0CC0-4FE5-B53B-AE67B0F71171}" name="Column1770" dataDxfId="14584"/>
    <tableColumn id="1819" xr3:uid="{C971EC83-5A00-4215-83F6-D30F986EC913}" name="Column1771" dataDxfId="14583"/>
    <tableColumn id="1820" xr3:uid="{C8CB7451-EAAB-4A92-8BE1-CBB09C36F64F}" name="Column1772" dataDxfId="14582"/>
    <tableColumn id="1821" xr3:uid="{1F69EBDB-A2CD-4BDA-9A82-151EA062D359}" name="Column1773" dataDxfId="14581"/>
    <tableColumn id="1822" xr3:uid="{8DC4A1EB-F535-4404-8F83-A987AF023A4D}" name="Column1774" dataDxfId="14580"/>
    <tableColumn id="1823" xr3:uid="{0E7B8C06-626D-47F9-8D78-8591E288FA0F}" name="Column1775" dataDxfId="14579"/>
    <tableColumn id="1824" xr3:uid="{3CFB6F86-F46E-437D-B055-B7F40EA4433E}" name="Column1776" dataDxfId="14578"/>
    <tableColumn id="1825" xr3:uid="{13021E00-C2AA-4551-B3E5-1C0BD5FC8EAC}" name="Column1777" dataDxfId="14577"/>
    <tableColumn id="1826" xr3:uid="{DF586603-56A3-4436-8B65-1570531C2117}" name="Column1778" dataDxfId="14576"/>
    <tableColumn id="1827" xr3:uid="{2C7AC803-6C83-4536-9160-FDA86194EDD6}" name="Column1779" dataDxfId="14575"/>
    <tableColumn id="1828" xr3:uid="{22C82796-D1F6-4F5C-8F11-B73B09DE1E61}" name="Column1780" dataDxfId="14574"/>
    <tableColumn id="1829" xr3:uid="{CBCE3F19-80BA-4F7E-89DE-5F7BE6AE26EA}" name="Column1781" dataDxfId="14573"/>
    <tableColumn id="1830" xr3:uid="{928D39AC-2C1E-4AAB-8387-2C07015A1B01}" name="Column1782" dataDxfId="14572"/>
    <tableColumn id="1831" xr3:uid="{A756848B-3DCA-4452-B057-366F6C6CC80A}" name="Column1783" dataDxfId="14571"/>
    <tableColumn id="1832" xr3:uid="{476913BD-7F84-4847-849A-A6B224B83F51}" name="Column1784" dataDxfId="14570"/>
    <tableColumn id="1833" xr3:uid="{E741E3B1-5D5C-4A65-8E67-0BBEC5F5973E}" name="Column1785" dataDxfId="14569"/>
    <tableColumn id="1834" xr3:uid="{0FD2ECD1-7209-438A-B475-8CA0D26D6B64}" name="Column1786" dataDxfId="14568"/>
    <tableColumn id="1835" xr3:uid="{6C94B5BC-ABE3-421A-ADD5-B71DEEA87949}" name="Column1787" dataDxfId="14567"/>
    <tableColumn id="1836" xr3:uid="{678188D2-4000-4E3C-8684-6074BC53F118}" name="Column1788" dataDxfId="14566"/>
    <tableColumn id="1837" xr3:uid="{43769210-D6DE-4A8C-8956-E2031C52C2E7}" name="Column1789" dataDxfId="14565"/>
    <tableColumn id="1838" xr3:uid="{689DF94F-7E20-4EC1-A463-756A29DB6670}" name="Column1790" dataDxfId="14564"/>
    <tableColumn id="1839" xr3:uid="{68C9D40F-055A-4DE4-81D1-CC4CA2651E26}" name="Column1791" dataDxfId="14563"/>
    <tableColumn id="1840" xr3:uid="{41107DCB-83AD-419E-AAD3-AA1058921F47}" name="Column1792" dataDxfId="14562"/>
    <tableColumn id="1841" xr3:uid="{D170EABB-0D09-409F-B406-E48D0764EB8F}" name="Column1793" dataDxfId="14561"/>
    <tableColumn id="1842" xr3:uid="{E450DEE5-CCB3-47F7-8FE1-3BB75D14D908}" name="Column1794" dataDxfId="14560"/>
    <tableColumn id="1843" xr3:uid="{B085201F-4290-491A-9448-4774C7FF5A31}" name="Column1795" dataDxfId="14559"/>
    <tableColumn id="1844" xr3:uid="{618E4524-9897-4F79-B2EB-33C20AFC6341}" name="Column1796" dataDxfId="14558"/>
    <tableColumn id="1845" xr3:uid="{CEF5F2BA-654D-4BEB-B149-6AECB150AAE4}" name="Column1797" dataDxfId="14557"/>
    <tableColumn id="1846" xr3:uid="{88915475-3F41-4D50-AC61-9955CD6F0E8F}" name="Column1798" dataDxfId="14556"/>
    <tableColumn id="1847" xr3:uid="{9416882F-753F-447B-9D14-D6581FA05A8A}" name="Column1799" dataDxfId="14555"/>
    <tableColumn id="1848" xr3:uid="{6A2F9E23-BC63-4804-888C-C17D5176D690}" name="Column1800" dataDxfId="14554"/>
    <tableColumn id="1849" xr3:uid="{29164ED5-671A-46BD-A5FE-DFE3669B55FF}" name="Column1801" dataDxfId="14553"/>
    <tableColumn id="1850" xr3:uid="{B80DA91B-C361-4C8C-8CD4-9C831BB174A1}" name="Column1802" dataDxfId="14552"/>
    <tableColumn id="1851" xr3:uid="{A7FFC88A-4F44-4519-BF4F-0462740512CD}" name="Column1803" dataDxfId="14551"/>
    <tableColumn id="1852" xr3:uid="{D096E153-0C42-431B-ABF4-DB6C69550265}" name="Column1804" dataDxfId="14550"/>
    <tableColumn id="1853" xr3:uid="{E3C0C406-D8CC-4866-8D7A-E91454140F71}" name="Column1805" dataDxfId="14549"/>
    <tableColumn id="1854" xr3:uid="{4A448C7D-3C42-4A99-AD4E-740A52534001}" name="Column1806" dataDxfId="14548"/>
    <tableColumn id="1855" xr3:uid="{E62EF228-33E6-4224-9A2A-D15EFBCDC328}" name="Column1807" dataDxfId="14547"/>
    <tableColumn id="1856" xr3:uid="{FD4ABD4F-53EE-48EB-8CAA-B20D138C9A4A}" name="Column1808" dataDxfId="14546"/>
    <tableColumn id="1857" xr3:uid="{0FB50211-534D-4359-87CF-CF141B16E8A1}" name="Column1809" dataDxfId="14545"/>
    <tableColumn id="1858" xr3:uid="{C8A57232-E76F-430F-8776-F7565E027746}" name="Column1810" dataDxfId="14544"/>
    <tableColumn id="1859" xr3:uid="{7F4CE6E4-35AF-4195-8FFC-B3B592D79BEC}" name="Column1811" dataDxfId="14543"/>
    <tableColumn id="1860" xr3:uid="{061BAF90-1E11-4742-8BC9-9ABCB3FB16BF}" name="Column1812" dataDxfId="14542"/>
    <tableColumn id="1861" xr3:uid="{561BD80F-5DF1-4EBE-9C29-593E781E1095}" name="Column1813" dataDxfId="14541"/>
    <tableColumn id="1862" xr3:uid="{DCC6CDFB-0303-4D54-B0FF-9D7CB370D9AE}" name="Column1814" dataDxfId="14540"/>
    <tableColumn id="1863" xr3:uid="{E89E9674-EB53-435E-B606-54C9DE226C94}" name="Column1815" dataDxfId="14539"/>
    <tableColumn id="1864" xr3:uid="{82FA89A0-8D7A-4A63-8231-4574B87F9FCC}" name="Column1816" dataDxfId="14538"/>
    <tableColumn id="1865" xr3:uid="{E6ABF8D1-6273-4BC2-90DF-EFCE0B703D75}" name="Column1817" dataDxfId="14537"/>
    <tableColumn id="1866" xr3:uid="{DE9D7BD4-FAD4-49EB-AFA0-CE28F9121B52}" name="Column1818" dataDxfId="14536"/>
    <tableColumn id="1867" xr3:uid="{07EB9517-75F4-41CF-957B-307B938C792E}" name="Column1819" dataDxfId="14535"/>
    <tableColumn id="1868" xr3:uid="{078E12E4-5133-4315-83AD-F56C08201F78}" name="Column1820" dataDxfId="14534"/>
    <tableColumn id="1869" xr3:uid="{EB969720-2326-41CD-80BF-98B664E57FB9}" name="Column1821" dataDxfId="14533"/>
    <tableColumn id="1870" xr3:uid="{AD3E2505-618E-441F-A794-089E77E65AC9}" name="Column1822" dataDxfId="14532"/>
    <tableColumn id="1871" xr3:uid="{706C2270-86EE-4845-910C-054BE9EAE55E}" name="Column1823" dataDxfId="14531"/>
    <tableColumn id="1872" xr3:uid="{B334414A-BAC1-4CAE-AF63-02957BF434D1}" name="Column1824" dataDxfId="14530"/>
    <tableColumn id="1873" xr3:uid="{A924F40D-7880-4279-BB42-B050211CC6CB}" name="Column1825" dataDxfId="14529"/>
    <tableColumn id="1874" xr3:uid="{E6739680-9816-4AF3-98B5-11692E4E9B85}" name="Column1826" dataDxfId="14528"/>
    <tableColumn id="1875" xr3:uid="{9229BFF9-A1F7-4522-921C-915239C83C2F}" name="Column1827" dataDxfId="14527"/>
    <tableColumn id="1876" xr3:uid="{A6D92EC2-567E-4491-86A6-EB545F55C148}" name="Column1828" dataDxfId="14526"/>
    <tableColumn id="1877" xr3:uid="{2EAE6F3B-3123-405C-B930-EAA515AF7B7B}" name="Column1829" dataDxfId="14525"/>
    <tableColumn id="1878" xr3:uid="{94B3FA30-C622-4C73-A89A-9925AF4B9450}" name="Column1830" dataDxfId="14524"/>
    <tableColumn id="1879" xr3:uid="{6EC6E4B8-4918-40E4-A2BC-345114F34E57}" name="Column1831" dataDxfId="14523"/>
    <tableColumn id="1880" xr3:uid="{431115A1-C58C-472B-9BEE-B78D853D3D19}" name="Column1832" dataDxfId="14522"/>
    <tableColumn id="1881" xr3:uid="{D7847CDA-EEB5-4C30-8A5D-546D84219634}" name="Column1833" dataDxfId="14521"/>
    <tableColumn id="1882" xr3:uid="{DD63DBFE-95CF-45B2-A247-BC7B47EA9EA9}" name="Column1834" dataDxfId="14520"/>
    <tableColumn id="1883" xr3:uid="{0D976D68-CDB5-4057-8012-8404B05578CE}" name="Column1835" dataDxfId="14519"/>
    <tableColumn id="1884" xr3:uid="{5A936055-C167-43F9-BF34-DBB34B637CC1}" name="Column1836" dataDxfId="14518"/>
    <tableColumn id="1885" xr3:uid="{037FFB0A-C801-440B-8501-723CEC07F760}" name="Column1837" dataDxfId="14517"/>
    <tableColumn id="1886" xr3:uid="{BE8688DB-868E-4B62-BF9D-D07589898688}" name="Column1838" dataDxfId="14516"/>
    <tableColumn id="1887" xr3:uid="{D2179A02-45C2-4490-A510-E48A24014849}" name="Column1839" dataDxfId="14515"/>
    <tableColumn id="1888" xr3:uid="{52F2E081-95F2-474B-9854-5D37F0EA70E1}" name="Column1840" dataDxfId="14514"/>
    <tableColumn id="1889" xr3:uid="{0CB4B1C2-C5A5-4834-A7F6-B8DB4E7C145D}" name="Column1841" dataDxfId="14513"/>
    <tableColumn id="1890" xr3:uid="{E2D24D3E-A246-4EAC-AB90-9B5467CCD478}" name="Column1842" dataDxfId="14512"/>
    <tableColumn id="1891" xr3:uid="{7021F89C-2A36-4536-9D70-BD653A1E2271}" name="Column1843" dataDxfId="14511"/>
    <tableColumn id="1892" xr3:uid="{13ED3465-8FEC-45C3-BA83-9B69B503D8CB}" name="Column1844" dataDxfId="14510"/>
    <tableColumn id="1893" xr3:uid="{0E552A36-1C41-4BC0-BB4A-BBDC533DBD3B}" name="Column1845" dataDxfId="14509"/>
    <tableColumn id="1894" xr3:uid="{42C9DEBC-383F-42B8-B251-F0FA732ADEFF}" name="Column1846" dataDxfId="14508"/>
    <tableColumn id="1895" xr3:uid="{F2719433-B651-4713-8319-A55AFAEFE96D}" name="Column1847" dataDxfId="14507"/>
    <tableColumn id="1896" xr3:uid="{1CF17358-0397-4A94-B5CE-D0011B306DEA}" name="Column1848" dataDxfId="14506"/>
    <tableColumn id="1897" xr3:uid="{64308511-3983-4AC5-9D58-D5227071E696}" name="Column1849" dataDxfId="14505"/>
    <tableColumn id="1898" xr3:uid="{3C8E0C6F-4A02-4E95-AD72-D2D97C1A24E8}" name="Column1850" dataDxfId="14504"/>
    <tableColumn id="1899" xr3:uid="{F1509DE3-B56D-457D-B01A-5A01A2737E20}" name="Column1851" dataDxfId="14503"/>
    <tableColumn id="1900" xr3:uid="{208BC3A5-C417-4792-BB69-DB0E183D5CAF}" name="Column1852" dataDxfId="14502"/>
    <tableColumn id="1901" xr3:uid="{565F7515-391C-49C7-A0CA-1B02BD31C034}" name="Column1853" dataDxfId="14501"/>
    <tableColumn id="1902" xr3:uid="{12AFD0A9-3A8A-4356-BC62-2C995E24C3A1}" name="Column1854" dataDxfId="14500"/>
    <tableColumn id="1903" xr3:uid="{D3F66B4D-F164-4953-8F0E-D60425C0219F}" name="Column1855" dataDxfId="14499"/>
    <tableColumn id="1904" xr3:uid="{DCF60C36-0A51-485B-8643-0D87CB016468}" name="Column1856" dataDxfId="14498"/>
    <tableColumn id="1905" xr3:uid="{0E3AA951-6E17-436C-8543-0E4367A99175}" name="Column1857" dataDxfId="14497"/>
    <tableColumn id="1906" xr3:uid="{5640FCBC-6947-45CB-BC4C-1ACE90739AF7}" name="Column1858" dataDxfId="14496"/>
    <tableColumn id="1907" xr3:uid="{7AF317BC-C67C-4AF8-9A84-8410DE5F23F8}" name="Column1859" dataDxfId="14495"/>
    <tableColumn id="1908" xr3:uid="{6AEBACDA-E43C-4D0F-A499-1DD0C239C6D2}" name="Column1860" dataDxfId="14494"/>
    <tableColumn id="1909" xr3:uid="{5AE892F7-5FA9-4E82-88E6-A65592E5EB7B}" name="Column1861" dataDxfId="14493"/>
    <tableColumn id="1910" xr3:uid="{77D80C05-2505-46B8-B5E0-6B4C37BF8DD6}" name="Column1862" dataDxfId="14492"/>
    <tableColumn id="1911" xr3:uid="{3345058C-EA22-4703-A811-4D3351760CDA}" name="Column1863" dataDxfId="14491"/>
    <tableColumn id="1912" xr3:uid="{EA1F21DC-B1D8-4C7E-B99E-F5A0F24A266A}" name="Column1864" dataDxfId="14490"/>
    <tableColumn id="1913" xr3:uid="{BA5A9BDE-189E-4EF5-9597-7383EF49B5EF}" name="Column1865" dataDxfId="14489"/>
    <tableColumn id="1914" xr3:uid="{E29CA8F7-609D-42AB-9F6B-93A7DBD008CF}" name="Column1866" dataDxfId="14488"/>
    <tableColumn id="1915" xr3:uid="{B62A7701-4CCD-4E58-9A9C-47D736CBAF37}" name="Column1867" dataDxfId="14487"/>
    <tableColumn id="1916" xr3:uid="{D9B22378-8803-48AC-B339-C5DE27D836A1}" name="Column1868" dataDxfId="14486"/>
    <tableColumn id="1917" xr3:uid="{AD2E387A-5A7C-48D9-AD16-958B3C34A9D5}" name="Column1869" dataDxfId="14485"/>
    <tableColumn id="1918" xr3:uid="{35508D5E-A2EE-4B18-A2D0-4D932D28C384}" name="Column1870" dataDxfId="14484"/>
    <tableColumn id="1919" xr3:uid="{DEF62374-EAA6-4029-AEB1-BE581C950EF7}" name="Column1871" dataDxfId="14483"/>
    <tableColumn id="1920" xr3:uid="{7BEA778A-58C9-4A9B-A2DD-720F482054A3}" name="Column1872" dataDxfId="14482"/>
    <tableColumn id="1921" xr3:uid="{559F932D-1381-4393-AE6C-DA5F3AF16E59}" name="Column1873" dataDxfId="14481"/>
    <tableColumn id="1922" xr3:uid="{66FDFCCB-62D2-46FF-972B-50314DDEBBF0}" name="Column1874" dataDxfId="14480"/>
    <tableColumn id="1923" xr3:uid="{5950444A-E62B-49AA-942D-8DB38A79E205}" name="Column1875" dataDxfId="14479"/>
    <tableColumn id="1924" xr3:uid="{0424F948-66DF-4C4A-B0CA-C490139C3658}" name="Column1876" dataDxfId="14478"/>
    <tableColumn id="1925" xr3:uid="{4A2F8A75-993E-4FA1-8D86-336711AB0E31}" name="Column1877" dataDxfId="14477"/>
    <tableColumn id="1926" xr3:uid="{1A7C8839-E131-41B7-B1D4-312F6A378010}" name="Column1878" dataDxfId="14476"/>
    <tableColumn id="1927" xr3:uid="{30249630-1C6C-443D-830B-E2143E07E362}" name="Column1879" dataDxfId="14475"/>
    <tableColumn id="1928" xr3:uid="{2E6872E8-A751-48AB-9DBC-FA42A01332B1}" name="Column1880" dataDxfId="14474"/>
    <tableColumn id="1929" xr3:uid="{0BBBCEB9-8562-4BB4-B0E7-3C6CE0097F46}" name="Column1881" dataDxfId="14473"/>
    <tableColumn id="1930" xr3:uid="{C1F07CAD-A0FC-4FCB-B927-E7A547CE6A44}" name="Column1882" dataDxfId="14472"/>
    <tableColumn id="1931" xr3:uid="{BF31FF86-901A-4609-959B-7EFD1FD055D7}" name="Column1883" dataDxfId="14471"/>
    <tableColumn id="1932" xr3:uid="{629FAC58-4B55-45BD-AE70-5A358D29AA3F}" name="Column1884" dataDxfId="14470"/>
    <tableColumn id="1933" xr3:uid="{B8CE373F-7CA5-43F0-A7EA-0B9ADB07ECA1}" name="Column1885" dataDxfId="14469"/>
    <tableColumn id="1934" xr3:uid="{1AD47A99-066C-4CFD-9C5B-26234A749C0A}" name="Column1886" dataDxfId="14468"/>
    <tableColumn id="1935" xr3:uid="{7C97FA62-0824-42D2-B4BF-E5035E961938}" name="Column1887" dataDxfId="14467"/>
    <tableColumn id="1936" xr3:uid="{9FF0D915-664D-414F-AB36-FF4CFC6298D1}" name="Column1888" dataDxfId="14466"/>
    <tableColumn id="1937" xr3:uid="{119EFA09-64E7-4A7A-A6B3-B2EE8F880172}" name="Column1889" dataDxfId="14465"/>
    <tableColumn id="1938" xr3:uid="{4EAB1FD0-1B8C-4403-AE0D-7B4E822DC82D}" name="Column1890" dataDxfId="14464"/>
    <tableColumn id="1939" xr3:uid="{F76BCC8D-6073-4E58-A807-1C8C46FA660B}" name="Column1891" dataDxfId="14463"/>
    <tableColumn id="1940" xr3:uid="{34134279-06F5-4729-B95E-AC099AAD7986}" name="Column1892" dataDxfId="14462"/>
    <tableColumn id="1941" xr3:uid="{625B320B-B2B9-4C3A-9BF5-D9249C8F548E}" name="Column1893" dataDxfId="14461"/>
    <tableColumn id="1942" xr3:uid="{786F912F-A6CE-41DD-BD58-B95DFF8CF62C}" name="Column1894" dataDxfId="14460"/>
    <tableColumn id="1943" xr3:uid="{AC0BB47F-EC9D-4EE1-88B0-21ED8EC72A0A}" name="Column1895" dataDxfId="14459"/>
    <tableColumn id="1944" xr3:uid="{559E0223-234C-4EEA-B0FE-71BE83496EC5}" name="Column1896" dataDxfId="14458"/>
    <tableColumn id="1945" xr3:uid="{C8C9035E-F1CB-4306-B975-1E6F4B6CBABF}" name="Column1897" dataDxfId="14457"/>
    <tableColumn id="1946" xr3:uid="{D5B1EA44-F905-4B39-B5CF-D772D39D37A1}" name="Column1898" dataDxfId="14456"/>
    <tableColumn id="1947" xr3:uid="{155B93CB-2708-4699-9315-8E4036655B49}" name="Column1899" dataDxfId="14455"/>
    <tableColumn id="1948" xr3:uid="{9A9B72A2-1ED7-4E45-8F37-CFAF1A73069C}" name="Column1900" dataDxfId="14454"/>
    <tableColumn id="1949" xr3:uid="{2C750340-3BF5-4F7E-B515-0A038214F652}" name="Column1901" dataDxfId="14453"/>
    <tableColumn id="1950" xr3:uid="{2380400F-9181-4781-A675-8D30CEF87878}" name="Column1902" dataDxfId="14452"/>
    <tableColumn id="1951" xr3:uid="{B0A024C0-1615-43D3-A7D0-06B8D78251B8}" name="Column1903" dataDxfId="14451"/>
    <tableColumn id="1952" xr3:uid="{E0F722D1-E946-4598-B80D-E79E7721D481}" name="Column1904" dataDxfId="14450"/>
    <tableColumn id="1953" xr3:uid="{0E39FFAF-5856-4A50-9192-7B99F2C804ED}" name="Column1905" dataDxfId="14449"/>
    <tableColumn id="1954" xr3:uid="{6DD72955-2265-4353-8106-AE1702D65511}" name="Column1906" dataDxfId="14448"/>
    <tableColumn id="1955" xr3:uid="{206EB80B-C1EC-4421-935B-013E49C9AB39}" name="Column1907" dataDxfId="14447"/>
    <tableColumn id="1956" xr3:uid="{C8D9456F-D4D3-4C8F-8068-4F9930FB8E99}" name="Column1908" dataDxfId="14446"/>
    <tableColumn id="1957" xr3:uid="{00CAE1D4-F54B-4883-B122-ABAD655DA09A}" name="Column1909" dataDxfId="14445"/>
    <tableColumn id="1958" xr3:uid="{79D9F3C0-E649-4DB6-85F3-C41BB45A306E}" name="Column1910" dataDxfId="14444"/>
    <tableColumn id="1959" xr3:uid="{A3B22D2D-9446-4134-878F-E25BA1F37B3F}" name="Column1911" dataDxfId="14443"/>
    <tableColumn id="1960" xr3:uid="{400C96E7-9189-4FA9-8642-90A1BB6A52C0}" name="Column1912" dataDxfId="14442"/>
    <tableColumn id="1961" xr3:uid="{4CDDBFD4-DCD9-4A49-B077-CAB03C2E3E20}" name="Column1913" dataDxfId="14441"/>
    <tableColumn id="1962" xr3:uid="{E15F0A83-8EA7-4844-90C3-95BC5451CA13}" name="Column1914" dataDxfId="14440"/>
    <tableColumn id="1963" xr3:uid="{A50981A6-4516-404C-AE52-BDB4649A8D81}" name="Column1915" dataDxfId="14439"/>
    <tableColumn id="1964" xr3:uid="{272B6FE6-375F-42D4-9925-860C8DC32B3F}" name="Column1916" dataDxfId="14438"/>
    <tableColumn id="1965" xr3:uid="{6A0B46A5-78A3-4792-81BC-C90EDBBED7DD}" name="Column1917" dataDxfId="14437"/>
    <tableColumn id="1966" xr3:uid="{44E1CC2A-AF17-45DB-A392-79DB4B8025DF}" name="Column1918" dataDxfId="14436"/>
    <tableColumn id="1967" xr3:uid="{1C443A2D-9994-44DF-AF3F-204B34223436}" name="Column1919" dataDxfId="14435"/>
    <tableColumn id="1968" xr3:uid="{FC5BD6C8-9F04-439B-927C-D42A9E704A31}" name="Column1920" dataDxfId="14434"/>
    <tableColumn id="1969" xr3:uid="{C6016F1F-C7AF-4D5A-8143-5B811CD658D8}" name="Column1921" dataDxfId="14433"/>
    <tableColumn id="1970" xr3:uid="{205B7B81-5642-4004-9489-80E031916E70}" name="Column1922" dataDxfId="14432"/>
    <tableColumn id="1971" xr3:uid="{A1BAE464-4510-4C7F-A31D-B00B956DA129}" name="Column1923" dataDxfId="14431"/>
    <tableColumn id="1972" xr3:uid="{5D505C01-B34D-4CC3-A297-A99FD970B8EB}" name="Column1924" dataDxfId="14430"/>
    <tableColumn id="1973" xr3:uid="{A1FD4EF5-A114-42BA-A6A8-77334501A26A}" name="Column1925" dataDxfId="14429"/>
    <tableColumn id="1974" xr3:uid="{9003A41C-43FA-4083-BDA8-13D7E5402473}" name="Column1926" dataDxfId="14428"/>
    <tableColumn id="1975" xr3:uid="{0DBD2C23-3EE2-44F9-BE51-9698182FCC9A}" name="Column1927" dataDxfId="14427"/>
    <tableColumn id="1976" xr3:uid="{B2FA2F65-B6CD-45E7-962A-D8A22A9BE321}" name="Column1928" dataDxfId="14426"/>
    <tableColumn id="1977" xr3:uid="{A06B1457-5CDD-4D90-89BE-86E7B5A1AA66}" name="Column1929" dataDxfId="14425"/>
    <tableColumn id="1978" xr3:uid="{6188C964-6843-428A-A043-7272987F8691}" name="Column1930" dataDxfId="14424"/>
    <tableColumn id="1979" xr3:uid="{465EB954-F03D-4879-BDDE-47DB3A8AC269}" name="Column1931" dataDxfId="14423"/>
    <tableColumn id="1980" xr3:uid="{B8D9EA84-FAF2-4FA5-8996-12A11776B0FF}" name="Column1932" dataDxfId="14422"/>
    <tableColumn id="1981" xr3:uid="{581A92D1-110D-42E3-8477-841D4E331258}" name="Column1933" dataDxfId="14421"/>
    <tableColumn id="1982" xr3:uid="{BD9E03AC-2AC3-4510-8781-7E135AAD5F08}" name="Column1934" dataDxfId="14420"/>
    <tableColumn id="1983" xr3:uid="{66D1DD0C-F25D-4856-B4F7-D799E9FB3B66}" name="Column1935" dataDxfId="14419"/>
    <tableColumn id="1984" xr3:uid="{35EB5F9C-D557-4D4E-86D1-3C4103678909}" name="Column1936" dataDxfId="14418"/>
    <tableColumn id="1985" xr3:uid="{69D13795-E81B-4BCE-B332-CB2C32A8766E}" name="Column1937" dataDxfId="14417"/>
    <tableColumn id="1986" xr3:uid="{4490DC50-4EC7-4647-B198-DCC1AD3B232B}" name="Column1938" dataDxfId="14416"/>
    <tableColumn id="1987" xr3:uid="{0D763E89-C88C-44B9-BB45-216F6B90C48D}" name="Column1939" dataDxfId="14415"/>
    <tableColumn id="1988" xr3:uid="{5C9CFA09-0395-4A73-ADDC-2AAD37151FEF}" name="Column1940" dataDxfId="14414"/>
    <tableColumn id="1989" xr3:uid="{2A4259BE-2154-41A7-BEAA-1EE9410578AF}" name="Column1941" dataDxfId="14413"/>
    <tableColumn id="1990" xr3:uid="{865D8923-8703-421F-9ECA-AF862C04B19E}" name="Column1942" dataDxfId="14412"/>
    <tableColumn id="1991" xr3:uid="{DA6014F5-FD24-404C-9C43-EB5BBBDBB7A2}" name="Column1943" dataDxfId="14411"/>
    <tableColumn id="1992" xr3:uid="{0709DF2F-8E34-4767-97DF-45A4CC1694B9}" name="Column1944" dataDxfId="14410"/>
    <tableColumn id="1993" xr3:uid="{2B13EA25-D614-40E0-8E24-B20F3B5C8F2F}" name="Column1945" dataDxfId="14409"/>
    <tableColumn id="1994" xr3:uid="{8937D478-2717-415E-BD5A-9EEFE5C43EFA}" name="Column1946" dataDxfId="14408"/>
    <tableColumn id="1995" xr3:uid="{E721A11F-7975-4931-AD12-22D522440390}" name="Column1947" dataDxfId="14407"/>
    <tableColumn id="1996" xr3:uid="{6A61D88B-B7B9-4AC1-A23C-8A759ACC3661}" name="Column1948" dataDxfId="14406"/>
    <tableColumn id="1997" xr3:uid="{F28754DC-E49C-4FE0-9653-65DD993C79BE}" name="Column1949" dataDxfId="14405"/>
    <tableColumn id="1998" xr3:uid="{208CC009-2220-4CE0-B135-7DF6F8E7961E}" name="Column1950" dataDxfId="14404"/>
    <tableColumn id="1999" xr3:uid="{4D4DA1A7-EEAF-44EB-AC7F-F4053B7C843E}" name="Column1951" dataDxfId="14403"/>
    <tableColumn id="2000" xr3:uid="{14A92DA4-EE44-4A53-9ED8-806F3CB86D3B}" name="Column1952" dataDxfId="14402"/>
    <tableColumn id="2001" xr3:uid="{E70979B6-76B9-474A-B764-4D87050EE1D8}" name="Column1953" dataDxfId="14401"/>
    <tableColumn id="2002" xr3:uid="{74CEE451-DE8B-4EEE-A63D-23F34FA0445E}" name="Column1954" dataDxfId="14400"/>
    <tableColumn id="2003" xr3:uid="{C91C2BC0-3FA6-4095-A827-2CCF86E40C89}" name="Column1955" dataDxfId="14399"/>
    <tableColumn id="2004" xr3:uid="{F45FB776-F0B9-493C-92B1-086F46F66278}" name="Column1956" dataDxfId="14398"/>
    <tableColumn id="2005" xr3:uid="{12D31BCF-6511-4353-B14F-6031A4ABF808}" name="Column1957" dataDxfId="14397"/>
    <tableColumn id="2006" xr3:uid="{8DA937A5-F842-4732-B696-631E02190EAB}" name="Column1958" dataDxfId="14396"/>
    <tableColumn id="2007" xr3:uid="{3E75C588-A91C-411C-8542-3938567D4446}" name="Column1959" dataDxfId="14395"/>
    <tableColumn id="2008" xr3:uid="{DAEB2E19-5A1E-4E38-828F-81707ABA525D}" name="Column1960" dataDxfId="14394"/>
    <tableColumn id="2009" xr3:uid="{3C866D52-FD6D-43DE-9CB6-078508CBFAEC}" name="Column1961" dataDxfId="14393"/>
    <tableColumn id="2010" xr3:uid="{575FA949-07D2-4C21-A033-DD17FB4C1554}" name="Column1962" dataDxfId="14392"/>
    <tableColumn id="2011" xr3:uid="{C1544449-18B8-4AFB-9816-B9BF9DBA800F}" name="Column1963" dataDxfId="14391"/>
    <tableColumn id="2012" xr3:uid="{E079CFAE-FC3F-49EC-B442-8F589CC63513}" name="Column1964" dataDxfId="14390"/>
    <tableColumn id="2013" xr3:uid="{FEBD1E90-AB5E-4CFA-ACDE-A4956B18A585}" name="Column1965" dataDxfId="14389"/>
    <tableColumn id="2014" xr3:uid="{B312198A-4716-4EF4-B829-9D6164337832}" name="Column1966" dataDxfId="14388"/>
    <tableColumn id="2015" xr3:uid="{253D68B1-DAF7-4580-8C4F-A27ABDFC49B4}" name="Column1967" dataDxfId="14387"/>
    <tableColumn id="2016" xr3:uid="{E9AC1824-F51F-4D57-A02C-82B367580846}" name="Column1968" dataDxfId="14386"/>
    <tableColumn id="2017" xr3:uid="{53A50F68-B1DA-46B1-AE5B-5748119FFB25}" name="Column1969" dataDxfId="14385"/>
    <tableColumn id="2018" xr3:uid="{B716B0BE-91F7-47C9-A74F-70D98FA1BDF5}" name="Column1970" dataDxfId="14384"/>
    <tableColumn id="2019" xr3:uid="{8EFAE97C-0D6C-4548-80DC-B89D24AFFBE7}" name="Column1971" dataDxfId="14383"/>
    <tableColumn id="2020" xr3:uid="{7764CD0E-1D98-4B17-BCFC-851D71FC80D9}" name="Column1972" dataDxfId="14382"/>
    <tableColumn id="2021" xr3:uid="{540BA7FB-E125-499A-8536-FF8EE18663D4}" name="Column1973" dataDxfId="14381"/>
    <tableColumn id="2022" xr3:uid="{E375DCFF-D920-44C8-A8DA-46F42B978123}" name="Column1974" dataDxfId="14380"/>
    <tableColumn id="2023" xr3:uid="{5A6D70FE-AF2E-45E6-B44A-646295D92879}" name="Column1975" dataDxfId="14379"/>
    <tableColumn id="2024" xr3:uid="{205F2C99-499B-4ADB-BB21-2418E43ADDCF}" name="Column1976" dataDxfId="14378"/>
    <tableColumn id="2025" xr3:uid="{BE022E0B-3AED-4BEF-926E-919F0D67CF68}" name="Column1977" dataDxfId="14377"/>
    <tableColumn id="2026" xr3:uid="{9487BE67-6671-4ACD-8DBC-F219BC2E8173}" name="Column1978" dataDxfId="14376"/>
    <tableColumn id="2027" xr3:uid="{EA8CD4DF-389B-45A5-BA56-72B223A24D5B}" name="Column1979" dataDxfId="14375"/>
    <tableColumn id="2028" xr3:uid="{83B295D0-94CD-40B5-ACC5-85C2F658CCC9}" name="Column1980" dataDxfId="14374"/>
    <tableColumn id="2029" xr3:uid="{E71264A8-CB04-4E29-9B32-04ED9E25F31E}" name="Column1981" dataDxfId="14373"/>
    <tableColumn id="2030" xr3:uid="{E58A1EB2-277B-4F0B-A580-3EDDAA69603C}" name="Column1982" dataDxfId="14372"/>
    <tableColumn id="2031" xr3:uid="{9B2E9D56-A93C-45C8-A860-6136A4D47515}" name="Column1983" dataDxfId="14371"/>
    <tableColumn id="2032" xr3:uid="{4344F8AA-06AA-402F-A281-FBC94FCCE0D2}" name="Column1984" dataDxfId="14370"/>
    <tableColumn id="2033" xr3:uid="{B1986C8A-F34A-4156-B3D2-8C409274D3E2}" name="Column1985" dataDxfId="14369"/>
    <tableColumn id="2034" xr3:uid="{A4FD814A-214C-4A23-B7C3-E60AE6A5C65C}" name="Column1986" dataDxfId="14368"/>
    <tableColumn id="2035" xr3:uid="{3DE24854-7212-4B62-84D3-AF32CB60FC94}" name="Column1987" dataDxfId="14367"/>
    <tableColumn id="2036" xr3:uid="{68304F45-3E9E-4161-9688-231FAC98AFF8}" name="Column1988" dataDxfId="14366"/>
    <tableColumn id="2037" xr3:uid="{A20BA584-9BFF-4369-A5F9-BFEAA6E697C5}" name="Column1989" dataDxfId="14365"/>
    <tableColumn id="2038" xr3:uid="{D5E2A759-06A4-4572-9C96-97F10B537BA8}" name="Column1990" dataDxfId="14364"/>
    <tableColumn id="2039" xr3:uid="{7828EE03-0486-470E-BC8D-387B940120F0}" name="Column1991" dataDxfId="14363"/>
    <tableColumn id="2040" xr3:uid="{A6E68067-90B3-4D53-BE08-0F59C7EA25F0}" name="Column1992" dataDxfId="14362"/>
    <tableColumn id="2041" xr3:uid="{954FE74F-B04A-4B27-8BD8-033C4B85CDE2}" name="Column1993" dataDxfId="14361"/>
    <tableColumn id="2042" xr3:uid="{21039227-CD4E-4426-9684-9239A8C2396A}" name="Column1994" dataDxfId="14360"/>
    <tableColumn id="2043" xr3:uid="{E4B7AF57-CB6D-44D7-9746-CFFC72E9FCA1}" name="Column1995" dataDxfId="14359"/>
    <tableColumn id="2044" xr3:uid="{28397FDE-65DB-4871-8902-600C6A826BC6}" name="Column1996" dataDxfId="14358"/>
    <tableColumn id="2045" xr3:uid="{21EE1D50-4A13-4DEA-BF27-C8D1AF8C1933}" name="Column1997" dataDxfId="14357"/>
    <tableColumn id="2046" xr3:uid="{A466A7F1-28EC-4040-AC80-9ACF1DE6A737}" name="Column1998" dataDxfId="14356"/>
    <tableColumn id="2047" xr3:uid="{425B3081-1940-43D3-A55E-8B9755BD7B1E}" name="Column1999" dataDxfId="14355"/>
    <tableColumn id="2048" xr3:uid="{6B773DFA-19FF-467F-ACF2-696920122D6A}" name="Column2000" dataDxfId="14354"/>
    <tableColumn id="2049" xr3:uid="{6C7DD446-4E49-4F81-8298-CCDC87C9CF11}" name="Column2001" dataDxfId="14353"/>
    <tableColumn id="2050" xr3:uid="{67DDF7FE-B2BF-46C0-9916-8A2E0B473910}" name="Column2002" dataDxfId="14352"/>
    <tableColumn id="2051" xr3:uid="{A14DA9E4-2E80-494D-8F08-4BDBBC8CF809}" name="Column2003" dataDxfId="14351"/>
    <tableColumn id="2052" xr3:uid="{39FBFF1D-8EAA-4CFE-B6B6-40F334BD6006}" name="Column2004" dataDxfId="14350"/>
    <tableColumn id="2053" xr3:uid="{35CCF3FC-62B3-49D0-BEF2-D50F212E95C8}" name="Column2005" dataDxfId="14349"/>
    <tableColumn id="2054" xr3:uid="{3079DE59-22E2-48A9-A5D1-BD4516ED4143}" name="Column2006" dataDxfId="14348"/>
    <tableColumn id="2055" xr3:uid="{209CB9B5-ADFB-46DE-A997-F53F18DF69FA}" name="Column2007" dataDxfId="14347"/>
    <tableColumn id="2056" xr3:uid="{6107A328-D13D-40FF-8F0A-DA111445112D}" name="Column2008" dataDxfId="14346"/>
    <tableColumn id="2057" xr3:uid="{EBCE3C30-5009-4897-BC8C-DE4110A942B4}" name="Column2009" dataDxfId="14345"/>
    <tableColumn id="2058" xr3:uid="{D840FB09-BFF0-4BBF-984D-09862EB6540C}" name="Column2010" dataDxfId="14344"/>
    <tableColumn id="2059" xr3:uid="{9EC70A47-6506-44A6-A1D9-3561BC51B3ED}" name="Column2011" dataDxfId="14343"/>
    <tableColumn id="2060" xr3:uid="{2EF9D74A-4635-4999-B244-7BA04635CD02}" name="Column2012" dataDxfId="14342"/>
    <tableColumn id="2061" xr3:uid="{A39C36DB-DE99-4DF5-821B-EB9605DFF7C3}" name="Column2013" dataDxfId="14341"/>
    <tableColumn id="2062" xr3:uid="{E0FEE94E-AB2E-4E0E-B1F1-8B4263C4F73B}" name="Column2014" dataDxfId="14340"/>
    <tableColumn id="2063" xr3:uid="{FAD76B95-A119-41B7-A17C-3616CDDFD366}" name="Column2015" dataDxfId="14339"/>
    <tableColumn id="2064" xr3:uid="{A9D401C3-9CC8-4976-9F79-9C77FB03D733}" name="Column2016" dataDxfId="14338"/>
    <tableColumn id="2065" xr3:uid="{D8190BA6-12AF-4502-85BC-231280B48873}" name="Column2017" dataDxfId="14337"/>
    <tableColumn id="2066" xr3:uid="{93758F5B-02A3-4C78-A3D5-116D90DC0123}" name="Column2018" dataDxfId="14336"/>
    <tableColumn id="2067" xr3:uid="{62BA713D-6223-4114-8720-AAB8C349B825}" name="Column2019" dataDxfId="14335"/>
    <tableColumn id="2068" xr3:uid="{6951D7EE-E39D-46A4-B110-BFFD0CED148D}" name="Column2020" dataDxfId="14334"/>
    <tableColumn id="2069" xr3:uid="{9EC9A473-CFA2-4599-BB51-EED9AC0EBF07}" name="Column2021" dataDxfId="14333"/>
    <tableColumn id="2070" xr3:uid="{50A33D46-F23D-4963-BF2A-064630B7D9AF}" name="Column2022" dataDxfId="14332"/>
    <tableColumn id="2071" xr3:uid="{9F9B7707-513B-419F-A6A3-D489E077B75F}" name="Column2023" dataDxfId="14331"/>
    <tableColumn id="2072" xr3:uid="{73CA8A0F-F50C-4CFC-8F1B-021571142262}" name="Column2024" dataDxfId="14330"/>
    <tableColumn id="2073" xr3:uid="{3342255E-8292-4FB4-9706-8A7CD48AEAB7}" name="Column2025" dataDxfId="14329"/>
    <tableColumn id="2074" xr3:uid="{AFE5E9FA-EF86-4859-AAC5-35AA3C997474}" name="Column2026" dataDxfId="14328"/>
    <tableColumn id="2075" xr3:uid="{2929C3E5-6B03-4598-89CB-AFB204F16719}" name="Column2027" dataDxfId="14327"/>
    <tableColumn id="2076" xr3:uid="{74555531-3A9D-41A9-A369-F06327186749}" name="Column2028" dataDxfId="14326"/>
    <tableColumn id="2077" xr3:uid="{1E5119A6-0826-4608-B08A-5146D016AB1D}" name="Column2029" dataDxfId="14325"/>
    <tableColumn id="2078" xr3:uid="{62E4AE63-AAFE-44F0-A7C2-F734DE1AB6D8}" name="Column2030" dataDxfId="14324"/>
    <tableColumn id="2079" xr3:uid="{B2BF4612-CF36-4E84-ACF1-8C069AA04097}" name="Column2031" dataDxfId="14323"/>
    <tableColumn id="2080" xr3:uid="{8701EC7C-790E-4390-A09B-8A2864EE3FBC}" name="Column2032" dataDxfId="14322"/>
    <tableColumn id="2081" xr3:uid="{33E3FE12-A64A-4FAE-8C5F-4425AFE7AFAC}" name="Column2033" dataDxfId="14321"/>
    <tableColumn id="2082" xr3:uid="{E474E3AF-CB95-41F5-8232-9E29D7781826}" name="Column2034" dataDxfId="14320"/>
    <tableColumn id="2083" xr3:uid="{DC07E125-F5BA-4C26-AF17-1C3C5AF0B576}" name="Column2035" dataDxfId="14319"/>
    <tableColumn id="2084" xr3:uid="{59CC724B-DF46-4F64-A0D4-EF256B3F417E}" name="Column2036" dataDxfId="14318"/>
    <tableColumn id="2085" xr3:uid="{B1B87B3D-59EF-4E4F-8C3F-C1C7A3A3DB64}" name="Column2037" dataDxfId="14317"/>
    <tableColumn id="2086" xr3:uid="{8F73CC27-18F1-4E2C-8681-B20691FB1158}" name="Column2038" dataDxfId="14316"/>
    <tableColumn id="2087" xr3:uid="{4C311781-CB55-4FBA-B07D-AFCB1CB8A498}" name="Column2039" dataDxfId="14315"/>
    <tableColumn id="2088" xr3:uid="{AD994768-B0B5-43C8-97D7-7932C1E6C270}" name="Column2040" dataDxfId="14314"/>
    <tableColumn id="2089" xr3:uid="{C50D612C-ABA5-4F5B-86E4-B6FC4E1EAB14}" name="Column2041" dataDxfId="14313"/>
    <tableColumn id="2090" xr3:uid="{2D51EC34-9AF6-45DD-909F-3E2272A6EC4D}" name="Column2042" dataDxfId="14312"/>
    <tableColumn id="2091" xr3:uid="{B2B2A9B6-9EF8-421A-B2A3-C818B6FEBC9C}" name="Column2043" dataDxfId="14311"/>
    <tableColumn id="2092" xr3:uid="{B2D56A57-948B-408B-AF65-74BE29BFE7CE}" name="Column2044" dataDxfId="14310"/>
    <tableColumn id="2093" xr3:uid="{79D552C6-9BA0-445E-83F3-BDD476588B07}" name="Column2045" dataDxfId="14309"/>
    <tableColumn id="2094" xr3:uid="{47C5BBCC-0407-4F65-A371-509CA42A9E8E}" name="Column2046" dataDxfId="14308"/>
    <tableColumn id="2095" xr3:uid="{52151795-7908-40B0-8D8E-D0C29234E835}" name="Column2047" dataDxfId="14307"/>
    <tableColumn id="2096" xr3:uid="{909575F9-D796-46CC-8E4B-DE34D5DBC22E}" name="Column2048" dataDxfId="14306"/>
    <tableColumn id="2097" xr3:uid="{18975B6A-D386-412D-AB13-C400923FF213}" name="Column2049" dataDxfId="14305"/>
    <tableColumn id="2098" xr3:uid="{52152B0E-D769-485A-9B1E-E4142D67A548}" name="Column2050" dataDxfId="14304"/>
    <tableColumn id="2099" xr3:uid="{B193ABFD-EB94-48E1-89DE-5695486B38E7}" name="Column2051" dataDxfId="14303"/>
    <tableColumn id="2100" xr3:uid="{5BD0B418-5A46-4E00-8F5F-1BBE556AB28B}" name="Column2052" dataDxfId="14302"/>
    <tableColumn id="2101" xr3:uid="{ADC831C2-EE5C-4610-AC42-3F5EB27B2F2E}" name="Column2053" dataDxfId="14301"/>
    <tableColumn id="2102" xr3:uid="{EBCF02CB-2558-4037-9ABB-5DE5AB93933E}" name="Column2054" dataDxfId="14300"/>
    <tableColumn id="2103" xr3:uid="{9B68AE84-59AF-43EC-AA32-D9760683E408}" name="Column2055" dataDxfId="14299"/>
    <tableColumn id="2104" xr3:uid="{17F1588B-199C-4791-AC50-96D533B7B336}" name="Column2056" dataDxfId="14298"/>
    <tableColumn id="2105" xr3:uid="{85DD915F-EF11-416A-A80E-DC295BE52569}" name="Column2057" dataDxfId="14297"/>
    <tableColumn id="2106" xr3:uid="{3BE320D8-8823-493F-A42C-7AF5A46DEAC4}" name="Column2058" dataDxfId="14296"/>
    <tableColumn id="2107" xr3:uid="{E942B0FB-B59E-41B6-B0C6-4C35CA23D273}" name="Column2059" dataDxfId="14295"/>
    <tableColumn id="2108" xr3:uid="{6C0EDE60-8239-460C-8EFF-4AE1CC5AAA98}" name="Column2060" dataDxfId="14294"/>
    <tableColumn id="2109" xr3:uid="{C3D6A4FF-D5CF-4612-A322-349E71CC34B6}" name="Column2061" dataDxfId="14293"/>
    <tableColumn id="2110" xr3:uid="{A5E7B450-3159-484C-BCA3-D8D687FDEB04}" name="Column2062" dataDxfId="14292"/>
    <tableColumn id="2111" xr3:uid="{4F3C7B95-DFAA-4D8D-A569-D814EA0CA905}" name="Column2063" dataDxfId="14291"/>
    <tableColumn id="2112" xr3:uid="{9D8398CB-13F5-40F1-A03A-4630DFC28C8F}" name="Column2064" dataDxfId="14290"/>
    <tableColumn id="2113" xr3:uid="{0B964570-3123-4852-8AA9-444431E546BF}" name="Column2065" dataDxfId="14289"/>
    <tableColumn id="2114" xr3:uid="{3B4F9012-FD20-4B09-8952-167097CC17C8}" name="Column2066" dataDxfId="14288"/>
    <tableColumn id="2115" xr3:uid="{956BCE1F-915C-43B6-AF4F-F200C94047EA}" name="Column2067" dataDxfId="14287"/>
    <tableColumn id="2116" xr3:uid="{F59892D7-469A-4FC7-AE82-57A0F582F8AD}" name="Column2068" dataDxfId="14286"/>
    <tableColumn id="2117" xr3:uid="{1DAAABCD-BB3D-40B7-A3C7-BD87B54FC7A1}" name="Column2069" dataDxfId="14285"/>
    <tableColumn id="2118" xr3:uid="{AB934C9E-BC9E-4B7B-9760-9059F6B823A0}" name="Column2070" dataDxfId="14284"/>
    <tableColumn id="2119" xr3:uid="{629A097A-8342-493E-ABA4-436CE97EC7F9}" name="Column2071" dataDxfId="14283"/>
    <tableColumn id="2120" xr3:uid="{231F1DC5-C052-41C6-9EE5-1157107BCF6F}" name="Column2072" dataDxfId="14282"/>
    <tableColumn id="2121" xr3:uid="{C1B6FA8B-A5E5-40C2-8522-31F731331BD6}" name="Column2073" dataDxfId="14281"/>
    <tableColumn id="2122" xr3:uid="{5870F203-5800-4CAB-AA91-6CEE097F1951}" name="Column2074" dataDxfId="14280"/>
    <tableColumn id="2123" xr3:uid="{CB859C19-D05E-4D86-A967-AFDFFBCEBF58}" name="Column2075" dataDxfId="14279"/>
    <tableColumn id="2124" xr3:uid="{F6BC09CB-2A93-45FD-9CCE-DE633EE0D6C6}" name="Column2076" dataDxfId="14278"/>
    <tableColumn id="2125" xr3:uid="{F07EF24D-4185-4324-9D3B-0F22B80E05F8}" name="Column2077" dataDxfId="14277"/>
    <tableColumn id="2126" xr3:uid="{B961177F-15CC-468E-9D93-166F842F0E78}" name="Column2078" dataDxfId="14276"/>
    <tableColumn id="2127" xr3:uid="{73D3048D-6F70-48D9-A0A1-F07129DB585C}" name="Column2079" dataDxfId="14275"/>
    <tableColumn id="2128" xr3:uid="{3E94352E-B00E-46DE-95B1-9D8A04B0FACB}" name="Column2080" dataDxfId="14274"/>
    <tableColumn id="2129" xr3:uid="{99AD0FB0-FF66-4B11-A6F2-A3DE7F434A87}" name="Column2081" dataDxfId="14273"/>
    <tableColumn id="2130" xr3:uid="{7CB51AED-A51E-48AB-89C2-8EAA853BC386}" name="Column2082" dataDxfId="14272"/>
    <tableColumn id="2131" xr3:uid="{C971A113-3448-442E-9D12-ABF77CAAF717}" name="Column2083" dataDxfId="14271"/>
    <tableColumn id="2132" xr3:uid="{67370641-9A43-40FD-9CE2-B6FE977F410F}" name="Column2084" dataDxfId="14270"/>
    <tableColumn id="2133" xr3:uid="{59BFA92A-4476-48DC-9852-04E815033E53}" name="Column2085" dataDxfId="14269"/>
    <tableColumn id="2134" xr3:uid="{81DC1C0F-ED85-4803-9513-796AE4F0F047}" name="Column2086" dataDxfId="14268"/>
    <tableColumn id="2135" xr3:uid="{A159B4F2-6D2F-4DBF-952F-5D0FAA627E66}" name="Column2087" dataDxfId="14267"/>
    <tableColumn id="2136" xr3:uid="{10342F85-8EA5-49AA-BDE7-D0463CE531FF}" name="Column2088" dataDxfId="14266"/>
    <tableColumn id="2137" xr3:uid="{EC7275C3-5F85-4429-A96F-1D6B664886AC}" name="Column2089" dataDxfId="14265"/>
    <tableColumn id="2138" xr3:uid="{A82957BF-EF77-41F3-BDA9-A62E23725281}" name="Column2090" dataDxfId="14264"/>
    <tableColumn id="2139" xr3:uid="{5FB13967-3357-44FE-AD11-C44580B77207}" name="Column2091" dataDxfId="14263"/>
    <tableColumn id="2140" xr3:uid="{97F93CF8-09B6-4450-8F19-B97DCB0AB0BC}" name="Column2092" dataDxfId="14262"/>
    <tableColumn id="2141" xr3:uid="{85E8368C-1360-4BFD-897C-56E5C96AB545}" name="Column2093" dataDxfId="14261"/>
    <tableColumn id="2142" xr3:uid="{443A10BA-2937-4E23-8DDD-6A30D5EAE491}" name="Column2094" dataDxfId="14260"/>
    <tableColumn id="2143" xr3:uid="{148EB468-6566-41ED-9462-CCCAB434C452}" name="Column2095" dataDxfId="14259"/>
    <tableColumn id="2144" xr3:uid="{4C177A6B-DF3F-4E1D-BDD7-24F933306EF6}" name="Column2096" dataDxfId="14258"/>
    <tableColumn id="2145" xr3:uid="{ECF74914-F592-4B05-86FF-C71677461DB3}" name="Column2097" dataDxfId="14257"/>
    <tableColumn id="2146" xr3:uid="{07C1DF95-8364-4B4F-8D1D-4BB01CFC1EE1}" name="Column2098" dataDxfId="14256"/>
    <tableColumn id="2147" xr3:uid="{8835E36C-EF5F-4829-8490-E25DC6B0435C}" name="Column2099" dataDxfId="14255"/>
    <tableColumn id="2148" xr3:uid="{910C2A8F-B6C4-45D8-8663-C1D766E3B041}" name="Column2100" dataDxfId="14254"/>
    <tableColumn id="2149" xr3:uid="{D80F5D03-27A1-4003-BCCD-68FF381C227E}" name="Column2101" dataDxfId="14253"/>
    <tableColumn id="2150" xr3:uid="{D9F3C0B2-4CD5-4969-8A16-3E902B8BC589}" name="Column2102" dataDxfId="14252"/>
    <tableColumn id="2151" xr3:uid="{CBB71E19-74DF-40C0-9D70-23F455529769}" name="Column2103" dataDxfId="14251"/>
    <tableColumn id="2152" xr3:uid="{FEAFDE23-03D8-458C-8877-60DA1CC76466}" name="Column2104" dataDxfId="14250"/>
    <tableColumn id="2153" xr3:uid="{2575C54F-510C-4976-AD86-37B76A9A6EC3}" name="Column2105" dataDxfId="14249"/>
    <tableColumn id="2154" xr3:uid="{8BF817F3-D6FC-43C1-B105-0FC06ECF5290}" name="Column2106" dataDxfId="14248"/>
    <tableColumn id="2155" xr3:uid="{D84ADFB1-04C2-41E5-945D-2ACC7B275839}" name="Column2107" dataDxfId="14247"/>
    <tableColumn id="2156" xr3:uid="{B32B9816-24CB-4552-90F4-601DF58815F6}" name="Column2108" dataDxfId="14246"/>
    <tableColumn id="2157" xr3:uid="{23300314-793A-4696-8E34-8A2BDA579E76}" name="Column2109" dataDxfId="14245"/>
    <tableColumn id="2158" xr3:uid="{6F130D9E-010A-45E0-98ED-023B1A4255F4}" name="Column2110" dataDxfId="14244"/>
    <tableColumn id="2159" xr3:uid="{2D2D4DD5-ACB5-44F5-96BB-E3A8A83E87DE}" name="Column2111" dataDxfId="14243"/>
    <tableColumn id="2160" xr3:uid="{6665B6A1-5911-4E37-95C3-CE395D94D6F9}" name="Column2112" dataDxfId="14242"/>
    <tableColumn id="2161" xr3:uid="{22391B07-F478-42DF-9C40-76705C5A6801}" name="Column2113" dataDxfId="14241"/>
    <tableColumn id="2162" xr3:uid="{93147ABD-6778-4D43-80C1-FE995051823F}" name="Column2114" dataDxfId="14240"/>
    <tableColumn id="2163" xr3:uid="{87E7D031-B9A3-4A1C-BC2C-A0A96291D863}" name="Column2115" dataDxfId="14239"/>
    <tableColumn id="2164" xr3:uid="{7AE22CAA-16E9-47F6-A8A9-5A3CF1C1D91F}" name="Column2116" dataDxfId="14238"/>
    <tableColumn id="2165" xr3:uid="{B94740AC-EFA2-4DF6-AEA8-F1690E431754}" name="Column2117" dataDxfId="14237"/>
    <tableColumn id="2166" xr3:uid="{D6E26CF3-40BF-4397-B503-51255B347811}" name="Column2118" dataDxfId="14236"/>
    <tableColumn id="2167" xr3:uid="{68AD825A-4BED-4285-8722-96D7D693E482}" name="Column2119" dataDxfId="14235"/>
    <tableColumn id="2168" xr3:uid="{D9254C82-ED36-47FB-89CE-8ABF00011A98}" name="Column2120" dataDxfId="14234"/>
    <tableColumn id="2169" xr3:uid="{C0A0201E-284F-4161-848E-CE2089F8C07C}" name="Column2121" dataDxfId="14233"/>
    <tableColumn id="2170" xr3:uid="{23A89729-72BA-4399-B3B5-70D2726B65A3}" name="Column2122" dataDxfId="14232"/>
    <tableColumn id="2171" xr3:uid="{10E08AE7-5743-45D4-9B03-6357B50C13AA}" name="Column2123" dataDxfId="14231"/>
    <tableColumn id="2172" xr3:uid="{E4F5F2D1-0D2E-4A08-BC4F-5C627C57DE41}" name="Column2124" dataDxfId="14230"/>
    <tableColumn id="2173" xr3:uid="{1468E231-8F7C-4BC6-A5C4-1F0DCF81F16C}" name="Column2125" dataDxfId="14229"/>
    <tableColumn id="2174" xr3:uid="{B8F1DF08-E1A3-41A5-85F6-1D2F82768C0D}" name="Column2126" dataDxfId="14228"/>
    <tableColumn id="2175" xr3:uid="{7CABBB36-8EDB-41E9-B40D-996CAB5DDB66}" name="Column2127" dataDxfId="14227"/>
    <tableColumn id="2176" xr3:uid="{34B432C1-DD80-462B-82C4-83A78C853449}" name="Column2128" dataDxfId="14226"/>
    <tableColumn id="2177" xr3:uid="{86D2F6F9-3F34-4745-85FE-792AC9BAC1AB}" name="Column2129" dataDxfId="14225"/>
    <tableColumn id="2178" xr3:uid="{534EC699-07DF-478D-9098-C1A7D43C95E4}" name="Column2130" dataDxfId="14224"/>
    <tableColumn id="2179" xr3:uid="{E8CA9B5C-A37D-4A30-9293-FEBD6BAC812C}" name="Column2131" dataDxfId="14223"/>
    <tableColumn id="2180" xr3:uid="{337F9AD9-CFB5-4CA5-BA2C-655C0D345E47}" name="Column2132" dataDxfId="14222"/>
    <tableColumn id="2181" xr3:uid="{CC63FCC9-B71E-4443-B77C-B8DE3E974F44}" name="Column2133" dataDxfId="14221"/>
    <tableColumn id="2182" xr3:uid="{9103DE55-50AA-4867-990E-04CFABF3F619}" name="Column2134" dataDxfId="14220"/>
    <tableColumn id="2183" xr3:uid="{92EFE30A-B1B3-4972-8D3D-F22460F7664B}" name="Column2135" dataDxfId="14219"/>
    <tableColumn id="2184" xr3:uid="{D624F89C-FDC2-4155-99A6-615607671EAE}" name="Column2136" dataDxfId="14218"/>
    <tableColumn id="2185" xr3:uid="{D0627002-CE7F-4709-B4B9-D6EBAFFFAEF6}" name="Column2137" dataDxfId="14217"/>
    <tableColumn id="2186" xr3:uid="{DC89B3D0-B05A-4DC7-A6DF-045C052BAF1B}" name="Column2138" dataDxfId="14216"/>
    <tableColumn id="2187" xr3:uid="{3510126B-3B6A-4255-B29E-A760A2C3BD0B}" name="Column2139" dataDxfId="14215"/>
    <tableColumn id="2188" xr3:uid="{EF918781-22C5-4AB8-B0BB-CE10126DD05C}" name="Column2140" dataDxfId="14214"/>
    <tableColumn id="2189" xr3:uid="{8325CF6F-5171-4127-A47F-290409CFCE52}" name="Column2141" dataDxfId="14213"/>
    <tableColumn id="2190" xr3:uid="{513648FF-A875-4A20-8867-4F574371A591}" name="Column2142" dataDxfId="14212"/>
    <tableColumn id="2191" xr3:uid="{E9B6D857-DCFF-4E5E-85B8-DB3D686A8A90}" name="Column2143" dataDxfId="14211"/>
    <tableColumn id="2192" xr3:uid="{CFB3B555-B805-40CA-93E6-4054C01A6F9B}" name="Column2144" dataDxfId="14210"/>
    <tableColumn id="2193" xr3:uid="{4D4A0D0C-1195-4626-A616-569651CE41F3}" name="Column2145" dataDxfId="14209"/>
    <tableColumn id="2194" xr3:uid="{8527DA5D-817B-452D-81BB-F19AE3FB833B}" name="Column2146" dataDxfId="14208"/>
    <tableColumn id="2195" xr3:uid="{89F34896-324C-4CFF-9E6E-E73E9ED4B6E6}" name="Column2147" dataDxfId="14207"/>
    <tableColumn id="2196" xr3:uid="{479B251C-426D-4F61-B477-3D01FABAF276}" name="Column2148" dataDxfId="14206"/>
    <tableColumn id="2197" xr3:uid="{8EEA8A7D-124C-4655-80D6-E4B50BCA51C7}" name="Column2149" dataDxfId="14205"/>
    <tableColumn id="2198" xr3:uid="{944B308C-0CB6-4F32-BA29-51E4D42EF91B}" name="Column2150" dataDxfId="14204"/>
    <tableColumn id="2199" xr3:uid="{111A1EFD-9E34-4DDA-99FA-ADD9C766F131}" name="Column2151" dataDxfId="14203"/>
    <tableColumn id="2200" xr3:uid="{07F129D6-6BA9-4980-B9A9-F82C02AD32D3}" name="Column2152" dataDxfId="14202"/>
    <tableColumn id="2201" xr3:uid="{B26F5FDA-C0CF-4EFA-86F5-BBC40F518944}" name="Column2153" dataDxfId="14201"/>
    <tableColumn id="2202" xr3:uid="{DC9FC8B2-126B-4FDD-A1A1-79E17634088E}" name="Column2154" dataDxfId="14200"/>
    <tableColumn id="2203" xr3:uid="{CB589638-8CE1-42CC-84E6-E422FFFEA551}" name="Column2155" dataDxfId="14199"/>
    <tableColumn id="2204" xr3:uid="{A33F74B2-CE2A-44D7-88B4-C6F8F30CDE4C}" name="Column2156" dataDxfId="14198"/>
    <tableColumn id="2205" xr3:uid="{82AB82F8-470B-478A-9BFD-D5F6D2D15FBE}" name="Column2157" dataDxfId="14197"/>
    <tableColumn id="2206" xr3:uid="{9DA873EC-B35D-4795-B83A-A57D09125A84}" name="Column2158" dataDxfId="14196"/>
    <tableColumn id="2207" xr3:uid="{B753041E-7F79-4ED3-B595-B8EF06C6EB3B}" name="Column2159" dataDxfId="14195"/>
    <tableColumn id="2208" xr3:uid="{6027DE64-D1DA-4820-B297-FDE917313024}" name="Column2160" dataDxfId="14194"/>
    <tableColumn id="2209" xr3:uid="{D6480B5A-1F0F-4626-943D-7057C6C66665}" name="Column2161" dataDxfId="14193"/>
    <tableColumn id="2210" xr3:uid="{3C8BA653-9B73-44AE-A275-90AB879E1B0A}" name="Column2162" dataDxfId="14192"/>
    <tableColumn id="2211" xr3:uid="{C3601448-7801-4AAF-9D76-000C012EC272}" name="Column2163" dataDxfId="14191"/>
    <tableColumn id="2212" xr3:uid="{670036CC-0DFB-46CB-B20D-55FBA702D24E}" name="Column2164" dataDxfId="14190"/>
    <tableColumn id="2213" xr3:uid="{12561F3B-C100-4A99-A212-125A95EA8DD5}" name="Column2165" dataDxfId="14189"/>
    <tableColumn id="2214" xr3:uid="{EADB1943-F435-4A94-B876-22963B330F8A}" name="Column2166" dataDxfId="14188"/>
    <tableColumn id="2215" xr3:uid="{9318A97D-1C50-423D-BC8F-1A7AEFB4125D}" name="Column2167" dataDxfId="14187"/>
    <tableColumn id="2216" xr3:uid="{882B4915-CD13-458D-B88C-02C07D88F47C}" name="Column2168" dataDxfId="14186"/>
    <tableColumn id="2217" xr3:uid="{5EA9EEF9-A17D-49C6-A32D-6599620B4FF7}" name="Column2169" dataDxfId="14185"/>
    <tableColumn id="2218" xr3:uid="{1393FDC5-DFFE-46D0-8AEF-E14619A678D5}" name="Column2170" dataDxfId="14184"/>
    <tableColumn id="2219" xr3:uid="{3123E51C-8122-4241-A35C-6AA47EEB3E74}" name="Column2171" dataDxfId="14183"/>
    <tableColumn id="2220" xr3:uid="{7B6693A7-8C68-4D49-9096-0EE4E0232EFE}" name="Column2172" dataDxfId="14182"/>
    <tableColumn id="2221" xr3:uid="{E4103E9D-E3D2-485D-BAA3-BCA514E914A3}" name="Column2173" dataDxfId="14181"/>
    <tableColumn id="2222" xr3:uid="{9A12881D-483C-4F16-8C7F-192E8AB45940}" name="Column2174" dataDxfId="14180"/>
    <tableColumn id="2223" xr3:uid="{78C57E63-57BB-43B4-A979-DA5DDD2899E9}" name="Column2175" dataDxfId="14179"/>
    <tableColumn id="2224" xr3:uid="{6974A49A-FCD8-4E1A-91A2-EC757206B72E}" name="Column2176" dataDxfId="14178"/>
    <tableColumn id="2225" xr3:uid="{83363C14-C2F5-4BA2-AFBB-FB7A4724675F}" name="Column2177" dataDxfId="14177"/>
    <tableColumn id="2226" xr3:uid="{CE872DEA-F89C-4DC4-AC80-28E5FA703582}" name="Column2178" dataDxfId="14176"/>
    <tableColumn id="2227" xr3:uid="{F7CA58BE-FBDF-4AF9-975F-3AFE56444582}" name="Column2179" dataDxfId="14175"/>
    <tableColumn id="2228" xr3:uid="{6E805D59-BDAE-4C70-A1EC-355121EE90E8}" name="Column2180" dataDxfId="14174"/>
    <tableColumn id="2229" xr3:uid="{A3C822BF-73AA-4C1E-9ECD-87F580469BE7}" name="Column2181" dataDxfId="14173"/>
    <tableColumn id="2230" xr3:uid="{2079B563-9B86-4A77-B434-0A1AE356C2D6}" name="Column2182" dataDxfId="14172"/>
    <tableColumn id="2231" xr3:uid="{6044FBE3-5498-491D-B898-9EC3B20FD6BA}" name="Column2183" dataDxfId="14171"/>
    <tableColumn id="2232" xr3:uid="{34D6B11A-69A2-4986-9DF9-CE2831933975}" name="Column2184" dataDxfId="14170"/>
    <tableColumn id="2233" xr3:uid="{907A6B2F-95CA-4D1F-B3B5-59B7C34EE106}" name="Column2185" dataDxfId="14169"/>
    <tableColumn id="2234" xr3:uid="{E62F4CE1-76F6-4B35-836C-074F19D5E1B8}" name="Column2186" dataDxfId="14168"/>
    <tableColumn id="2235" xr3:uid="{17A55025-45E8-4D85-BA88-D9263E4A9EA3}" name="Column2187" dataDxfId="14167"/>
    <tableColumn id="2236" xr3:uid="{0C5AF614-D263-4227-A490-C79CAE1CD7F6}" name="Column2188" dataDxfId="14166"/>
    <tableColumn id="2237" xr3:uid="{748792C6-B418-4F0D-8D5B-FF7499D18C3C}" name="Column2189" dataDxfId="14165"/>
    <tableColumn id="2238" xr3:uid="{5F504A95-CB8E-41B5-9FC0-C02F0FACFB1F}" name="Column2190" dataDxfId="14164"/>
    <tableColumn id="2239" xr3:uid="{1EB2464D-C64C-4490-B0D1-53A6E61112C1}" name="Column2191" dataDxfId="14163"/>
    <tableColumn id="2240" xr3:uid="{162B43F6-BF01-4E6A-8395-A64A6C466F42}" name="Column2192" dataDxfId="14162"/>
    <tableColumn id="2241" xr3:uid="{28AD274E-2528-469F-8B48-2F278C5E106A}" name="Column2193" dataDxfId="14161"/>
    <tableColumn id="2242" xr3:uid="{54B1D6BC-0B31-4091-A059-0555A7DE13CF}" name="Column2194" dataDxfId="14160"/>
    <tableColumn id="2243" xr3:uid="{82157DDF-FA6D-48E4-B8DD-11D33F32CF8C}" name="Column2195" dataDxfId="14159"/>
    <tableColumn id="2244" xr3:uid="{ECDFFB30-62F0-4BB9-BA17-7BC12D149492}" name="Column2196" dataDxfId="14158"/>
    <tableColumn id="2245" xr3:uid="{3C4F5383-9439-49BE-800B-392DF7EEF4BD}" name="Column2197" dataDxfId="14157"/>
    <tableColumn id="2246" xr3:uid="{E87EC18A-8EED-4197-AE02-1397E8E724FE}" name="Column2198" dataDxfId="14156"/>
    <tableColumn id="2247" xr3:uid="{38FBA144-F00A-4D17-9327-0F86A455705B}" name="Column2199" dataDxfId="14155"/>
    <tableColumn id="2248" xr3:uid="{9475DDD2-9290-4DB0-AAB0-50AB8A55FB0A}" name="Column2200" dataDxfId="14154"/>
    <tableColumn id="2249" xr3:uid="{B81CD0B0-62C7-4DCF-ACAA-48545A01A199}" name="Column2201" dataDxfId="14153"/>
    <tableColumn id="2250" xr3:uid="{229803CF-DF4F-4347-94BC-CAB75B49D804}" name="Column2202" dataDxfId="14152"/>
    <tableColumn id="2251" xr3:uid="{40E64778-4349-41DD-A3BE-DA9EB7977DCA}" name="Column2203" dataDxfId="14151"/>
    <tableColumn id="2252" xr3:uid="{CA02F60F-A22C-453A-9425-451FCABD113A}" name="Column2204" dataDxfId="14150"/>
    <tableColumn id="2253" xr3:uid="{DA74FCC3-80D2-48D9-BEA2-12D9E9D6038B}" name="Column2205" dataDxfId="14149"/>
    <tableColumn id="2254" xr3:uid="{4FC85C20-AF93-4EC9-8262-34CD3F5819F7}" name="Column2206" dataDxfId="14148"/>
    <tableColumn id="2255" xr3:uid="{89BD7B42-8687-43FC-AEC0-1B2D0D37C56C}" name="Column2207" dataDxfId="14147"/>
    <tableColumn id="2256" xr3:uid="{1EE6E0DA-96FB-4A3F-8B94-A2EDD82F87DC}" name="Column2208" dataDxfId="14146"/>
    <tableColumn id="2257" xr3:uid="{C001AABD-A7C2-4465-B6C5-7B964F20859B}" name="Column2209" dataDxfId="14145"/>
    <tableColumn id="2258" xr3:uid="{0DA3936C-3926-46BD-B1DD-BEBB0B9BDA02}" name="Column2210" dataDxfId="14144"/>
    <tableColumn id="2259" xr3:uid="{79817F23-2429-4988-BC3B-B4DEBAC09F7F}" name="Column2211" dataDxfId="14143"/>
    <tableColumn id="2260" xr3:uid="{31754E6B-990E-437A-81DA-93AB98582F0E}" name="Column2212" dataDxfId="14142"/>
    <tableColumn id="2261" xr3:uid="{DC6A56E7-F240-4258-A750-CFD514E7CF7B}" name="Column2213" dataDxfId="14141"/>
    <tableColumn id="2262" xr3:uid="{B62388A9-6B01-482A-ACA6-F5C5E7AECAD5}" name="Column2214" dataDxfId="14140"/>
    <tableColumn id="2263" xr3:uid="{FB9BBDF9-625D-4BD4-BE7D-E9E0E0219569}" name="Column2215" dataDxfId="14139"/>
    <tableColumn id="2264" xr3:uid="{B26578F7-C2A5-451E-8ED1-3219FA3A73C1}" name="Column2216" dataDxfId="14138"/>
    <tableColumn id="2265" xr3:uid="{F411D20F-D934-417C-98EE-4449E5A75036}" name="Column2217" dataDxfId="14137"/>
    <tableColumn id="2266" xr3:uid="{D42F918A-FB76-4F14-870B-54480CF588D1}" name="Column2218" dataDxfId="14136"/>
    <tableColumn id="2267" xr3:uid="{8C0FE59B-5467-475D-B3F9-1589E53CD26B}" name="Column2219" dataDxfId="14135"/>
    <tableColumn id="2268" xr3:uid="{375FAD49-50B7-4AE2-BC74-789ABDC6F696}" name="Column2220" dataDxfId="14134"/>
    <tableColumn id="2269" xr3:uid="{E68108EC-4FCB-4AEE-B794-BABB93F8B1C3}" name="Column2221" dataDxfId="14133"/>
    <tableColumn id="2270" xr3:uid="{C535E32B-6016-4B7F-8AEB-79427CE41B39}" name="Column2222" dataDxfId="14132"/>
    <tableColumn id="2271" xr3:uid="{7C3CDAA0-A0B7-4FEC-B143-4436DD1B84CF}" name="Column2223" dataDxfId="14131"/>
    <tableColumn id="2272" xr3:uid="{9C629890-ADEF-4F80-BEBD-3C5CECA4364D}" name="Column2224" dataDxfId="14130"/>
    <tableColumn id="2273" xr3:uid="{7F163DE7-53B7-4E57-8F07-BEB0EE8D2806}" name="Column2225" dataDxfId="14129"/>
    <tableColumn id="2274" xr3:uid="{D9DC4B9E-9C4F-4D6C-9AE6-30BA16AF9143}" name="Column2226" dataDxfId="14128"/>
    <tableColumn id="2275" xr3:uid="{75D69C16-2223-4DE9-955A-12D6BF12E297}" name="Column2227" dataDxfId="14127"/>
    <tableColumn id="2276" xr3:uid="{ED1B7861-9AE7-4286-AFDC-1EA482FB67A3}" name="Column2228" dataDxfId="14126"/>
    <tableColumn id="2277" xr3:uid="{43F93EDC-7923-4953-A794-31257A171466}" name="Column2229" dataDxfId="14125"/>
    <tableColumn id="2278" xr3:uid="{77BDE82D-CCF8-494F-AE92-1E79CFDA7D11}" name="Column2230" dataDxfId="14124"/>
    <tableColumn id="2279" xr3:uid="{BC1B936F-DAC3-413E-AAC3-8EB854CB3A04}" name="Column2231" dataDxfId="14123"/>
    <tableColumn id="2280" xr3:uid="{F6A2E881-AD37-4788-91C5-7B29CAD11B51}" name="Column2232" dataDxfId="14122"/>
    <tableColumn id="2281" xr3:uid="{FBC14E8A-E63D-410B-B4BE-80900E88FF23}" name="Column2233" dataDxfId="14121"/>
    <tableColumn id="2282" xr3:uid="{E733C920-8F1C-4FC1-8969-D5FF3BED9E41}" name="Column2234" dataDxfId="14120"/>
    <tableColumn id="2283" xr3:uid="{E9B3313D-4BA6-4A4D-A0C1-73146ADFFE21}" name="Column2235" dataDxfId="14119"/>
    <tableColumn id="2284" xr3:uid="{AAA20707-B2F0-49D0-B657-F578284AFA44}" name="Column2236" dataDxfId="14118"/>
    <tableColumn id="2285" xr3:uid="{845391D3-9763-454E-8BA6-E1EF5F6DD997}" name="Column2237" dataDxfId="14117"/>
    <tableColumn id="2286" xr3:uid="{9E9DEA6E-0833-4667-ACF8-AB23054C11BE}" name="Column2238" dataDxfId="14116"/>
    <tableColumn id="2287" xr3:uid="{97DCBEA4-5A2A-47EB-A994-001F9C2ACBC8}" name="Column2239" dataDxfId="14115"/>
    <tableColumn id="2288" xr3:uid="{449C89DF-0DF8-4B32-BE54-62FF0240E5E3}" name="Column2240" dataDxfId="14114"/>
    <tableColumn id="2289" xr3:uid="{9CAE8147-F277-4E75-8D2B-7C9E294B332B}" name="Column2241" dataDxfId="14113"/>
    <tableColumn id="2290" xr3:uid="{7F47E871-672D-4A01-A733-AA609605A99A}" name="Column2242" dataDxfId="14112"/>
    <tableColumn id="2291" xr3:uid="{D25D4B6B-20B9-4AB1-A0CF-0B025E177876}" name="Column2243" dataDxfId="14111"/>
    <tableColumn id="2292" xr3:uid="{FCB3CB3F-BF5A-4141-A5CF-F4ADE823ED70}" name="Column2244" dataDxfId="14110"/>
    <tableColumn id="2293" xr3:uid="{552487B6-AC00-43B1-8CF1-A4C0F0D0140E}" name="Column2245" dataDxfId="14109"/>
    <tableColumn id="2294" xr3:uid="{7A12F576-0596-41F3-8693-33FC9784D115}" name="Column2246" dataDxfId="14108"/>
    <tableColumn id="2295" xr3:uid="{66AFF8B2-AB08-42C0-90D0-1F521DD52237}" name="Column2247" dataDxfId="14107"/>
    <tableColumn id="2296" xr3:uid="{E34F441A-E2D9-45FF-A522-2E380AF4F284}" name="Column2248" dataDxfId="14106"/>
    <tableColumn id="2297" xr3:uid="{3117E31D-A882-4548-A146-BEEA61C1227B}" name="Column2249" dataDxfId="14105"/>
    <tableColumn id="2298" xr3:uid="{CC928910-7DDE-4903-8155-D310F7A881D7}" name="Column2250" dataDxfId="14104"/>
    <tableColumn id="2299" xr3:uid="{99C00A0C-999E-4302-8760-B47CEAC08FDD}" name="Column2251" dataDxfId="14103"/>
    <tableColumn id="2300" xr3:uid="{E34AAACA-4B8F-4AE7-9B23-D01034EA05A1}" name="Column2252" dataDxfId="14102"/>
    <tableColumn id="2301" xr3:uid="{F1458DE0-28E5-4FD8-9ABB-59A265CA4862}" name="Column2253" dataDxfId="14101"/>
    <tableColumn id="2302" xr3:uid="{5BB7C22E-4301-4CA8-B78E-FEE6811B8C0D}" name="Column2254" dataDxfId="14100"/>
    <tableColumn id="2303" xr3:uid="{27B961E3-B11D-475C-98DA-EACF51D6B6C1}" name="Column2255" dataDxfId="14099"/>
    <tableColumn id="2304" xr3:uid="{AB9B6895-3AAB-4C11-80ED-F28CD780CF37}" name="Column2256" dataDxfId="14098"/>
    <tableColumn id="2305" xr3:uid="{0E8A9A0E-82AD-44AA-A802-1EA77D48EA19}" name="Column2257" dataDxfId="14097"/>
    <tableColumn id="2306" xr3:uid="{65277C08-8F25-479E-87DA-1D7DD9A4E052}" name="Column2258" dataDxfId="14096"/>
    <tableColumn id="2307" xr3:uid="{3DE9318D-9F61-4FA8-ADC0-C4D27F62D854}" name="Column2259" dataDxfId="14095"/>
    <tableColumn id="2308" xr3:uid="{89F71874-7834-4BD6-AF25-D9C9953330EA}" name="Column2260" dataDxfId="14094"/>
    <tableColumn id="2309" xr3:uid="{B4D70B97-FA4A-4B0D-8FF8-D76A005B4AD5}" name="Column2261" dataDxfId="14093"/>
    <tableColumn id="2310" xr3:uid="{42F423F9-62F0-41AD-A139-D753B95B8CB9}" name="Column2262" dataDxfId="14092"/>
    <tableColumn id="2311" xr3:uid="{B0DD120A-4269-4CE5-AD5F-5A8B828B6FAD}" name="Column2263" dataDxfId="14091"/>
    <tableColumn id="2312" xr3:uid="{FAFB093F-B59F-44C3-963A-5F3B4EE0A352}" name="Column2264" dataDxfId="14090"/>
    <tableColumn id="2313" xr3:uid="{044D3164-351F-465F-A13F-848626E7B9F8}" name="Column2265" dataDxfId="14089"/>
    <tableColumn id="2314" xr3:uid="{ACB3CF8D-1CC2-485C-B2BE-F3CA90A3EE0A}" name="Column2266" dataDxfId="14088"/>
    <tableColumn id="2315" xr3:uid="{EB663AD3-23FD-4588-B9C3-EEFE2D593C43}" name="Column2267" dataDxfId="14087"/>
    <tableColumn id="2316" xr3:uid="{7043B01E-9029-4AE1-B14A-349BB23181B5}" name="Column2268" dataDxfId="14086"/>
    <tableColumn id="2317" xr3:uid="{8463706D-9548-4963-80BE-E0F3B5CD0E57}" name="Column2269" dataDxfId="14085"/>
    <tableColumn id="2318" xr3:uid="{3847ED58-9025-4A46-A1AE-68CAE1272AB0}" name="Column2270" dataDxfId="14084"/>
    <tableColumn id="2319" xr3:uid="{AD3FF0C9-B175-455B-9421-691089CADD1A}" name="Column2271" dataDxfId="14083"/>
    <tableColumn id="2320" xr3:uid="{5C6ABA57-701E-404F-826E-48BAB96367E2}" name="Column2272" dataDxfId="14082"/>
    <tableColumn id="2321" xr3:uid="{317C8103-1D6E-4783-9F3B-BF68EAEA1702}" name="Column2273" dataDxfId="14081"/>
    <tableColumn id="2322" xr3:uid="{DC8DAAC8-5DB7-4B93-9173-4299B828C4C0}" name="Column2274" dataDxfId="14080"/>
    <tableColumn id="2323" xr3:uid="{79E731F2-BCFA-4E62-A37E-B54B7F72AC50}" name="Column2275" dataDxfId="14079"/>
    <tableColumn id="2324" xr3:uid="{D08271BF-450E-4351-91DB-B5FA256628AF}" name="Column2276" dataDxfId="14078"/>
    <tableColumn id="2325" xr3:uid="{A872C88B-72DD-43B9-B91F-383F3802977A}" name="Column2277" dataDxfId="14077"/>
    <tableColumn id="2326" xr3:uid="{9CD5EEB2-3A48-4C3B-900D-DCDD93AD766E}" name="Column2278" dataDxfId="14076"/>
    <tableColumn id="2327" xr3:uid="{EC28D2AC-22E9-4D8C-AB45-2EB8EAB0D804}" name="Column2279" dataDxfId="14075"/>
    <tableColumn id="2328" xr3:uid="{C5D54AAA-4BB4-4F69-BF9F-3D86A4F6BB7F}" name="Column2280" dataDxfId="14074"/>
    <tableColumn id="2329" xr3:uid="{2A495058-FE13-4DD9-8337-26CC3240F805}" name="Column2281" dataDxfId="14073"/>
    <tableColumn id="2330" xr3:uid="{462F532D-8A25-4003-93F6-822D8BA06526}" name="Column2282" dataDxfId="14072"/>
    <tableColumn id="2331" xr3:uid="{B8FA802F-F029-46DD-B392-7CC8EFCDE97C}" name="Column2283" dataDxfId="14071"/>
    <tableColumn id="2332" xr3:uid="{AC729864-C693-46C7-9B96-7A124E0563EE}" name="Column2284" dataDxfId="14070"/>
    <tableColumn id="2333" xr3:uid="{E4B949F7-A035-473E-9AB7-B28A60ACACFE}" name="Column2285" dataDxfId="14069"/>
    <tableColumn id="2334" xr3:uid="{45F4D473-45D0-4C2D-81D3-02C89D7C5216}" name="Column2286" dataDxfId="14068"/>
    <tableColumn id="2335" xr3:uid="{14F9DAD4-F71E-4B18-A93E-FD907B775B33}" name="Column2287" dataDxfId="14067"/>
    <tableColumn id="2336" xr3:uid="{95AD1564-B98D-4452-8C47-ACF350E5F812}" name="Column2288" dataDxfId="14066"/>
    <tableColumn id="2337" xr3:uid="{E9D896B3-A55E-4EF6-9B42-62E74950F425}" name="Column2289" dataDxfId="14065"/>
    <tableColumn id="2338" xr3:uid="{87A60A89-D9C2-42EC-A3D3-81D0065A57CE}" name="Column2290" dataDxfId="14064"/>
    <tableColumn id="2339" xr3:uid="{BA6EB51E-7C52-4CCB-A9F4-882C26F2B6F3}" name="Column2291" dataDxfId="14063"/>
    <tableColumn id="2340" xr3:uid="{C0D0DF95-3D41-48A9-92A9-1E68E4057529}" name="Column2292" dataDxfId="14062"/>
    <tableColumn id="2341" xr3:uid="{B66EAA82-D59B-44B7-96BA-5F803BDCF7A3}" name="Column2293" dataDxfId="14061"/>
    <tableColumn id="2342" xr3:uid="{FF5067B6-DACE-43BE-9107-928361BC5EAE}" name="Column2294" dataDxfId="14060"/>
    <tableColumn id="2343" xr3:uid="{7E2E25D5-5408-4359-890D-F3869935D88F}" name="Column2295" dataDxfId="14059"/>
    <tableColumn id="2344" xr3:uid="{6E161DD0-E978-4420-91C0-1737F34BC952}" name="Column2296" dataDxfId="14058"/>
    <tableColumn id="2345" xr3:uid="{F66722E8-DA00-402D-9914-3480D8265FF5}" name="Column2297" dataDxfId="14057"/>
    <tableColumn id="2346" xr3:uid="{F78C0E6B-AAF0-4976-B2EB-9834BE4DE74F}" name="Column2298" dataDxfId="14056"/>
    <tableColumn id="2347" xr3:uid="{2EBB8A66-4980-41C1-A96E-D3A540ED610D}" name="Column2299" dataDxfId="14055"/>
    <tableColumn id="2348" xr3:uid="{6C2EF846-77C1-4561-BC14-C16D5705C832}" name="Column2300" dataDxfId="14054"/>
    <tableColumn id="2349" xr3:uid="{655386EB-4801-441E-BB7A-0F7552A75BC2}" name="Column2301" dataDxfId="14053"/>
    <tableColumn id="2350" xr3:uid="{2F6ECE9C-C811-4E4A-9040-1E0F115117C8}" name="Column2302" dataDxfId="14052"/>
    <tableColumn id="2351" xr3:uid="{C6648D1E-2D74-48E5-A6F0-5040B16CB23C}" name="Column2303" dataDxfId="14051"/>
    <tableColumn id="2352" xr3:uid="{B5FE4E31-1E2D-43FB-9B8E-0FD11460D038}" name="Column2304" dataDxfId="14050"/>
    <tableColumn id="2353" xr3:uid="{0BDE5CC0-D5C6-469F-80F7-E0EE76C33685}" name="Column2305" dataDxfId="14049"/>
    <tableColumn id="2354" xr3:uid="{702C13A8-370F-405C-9008-B0994ECB28C7}" name="Column2306" dataDxfId="14048"/>
    <tableColumn id="2355" xr3:uid="{4BACD3E3-BE5F-4C7C-B28B-6E5922C8D23F}" name="Column2307" dataDxfId="14047"/>
    <tableColumn id="2356" xr3:uid="{A47D557E-E67E-4D50-B377-47E784B5D025}" name="Column2308" dataDxfId="14046"/>
    <tableColumn id="2357" xr3:uid="{2348BB9D-E12E-4E7F-A504-6EFD39B5EC87}" name="Column2309" dataDxfId="14045"/>
    <tableColumn id="2358" xr3:uid="{872CD455-5762-44F4-9F35-98B458377B24}" name="Column2310" dataDxfId="14044"/>
    <tableColumn id="2359" xr3:uid="{A98A66B2-04DD-4876-832A-52A75BB70003}" name="Column2311" dataDxfId="14043"/>
    <tableColumn id="2360" xr3:uid="{5DBA79A8-2067-4160-98BF-8BA2124A3B5B}" name="Column2312" dataDxfId="14042"/>
    <tableColumn id="2361" xr3:uid="{A40DEAF9-D924-46E0-BFD9-0951C3B8ACF7}" name="Column2313" dataDxfId="14041"/>
    <tableColumn id="2362" xr3:uid="{FAA90358-90D8-4E0A-8086-701C155997D1}" name="Column2314" dataDxfId="14040"/>
    <tableColumn id="2363" xr3:uid="{0B12766B-A578-4335-8309-4DEAE96C58DD}" name="Column2315" dataDxfId="14039"/>
    <tableColumn id="2364" xr3:uid="{FD2239D1-6E0D-4508-85B8-328AD2F53662}" name="Column2316" dataDxfId="14038"/>
    <tableColumn id="2365" xr3:uid="{9A9231F5-6180-4975-AE55-BB097A67D536}" name="Column2317" dataDxfId="14037"/>
    <tableColumn id="2366" xr3:uid="{88B3A846-8294-4574-94A8-E976FA9C2F2C}" name="Column2318" dataDxfId="14036"/>
    <tableColumn id="2367" xr3:uid="{A868FACC-E5DA-41D2-8F6F-D6F0F778F02C}" name="Column2319" dataDxfId="14035"/>
    <tableColumn id="2368" xr3:uid="{DB3DC231-2F4F-4F90-A1D4-61C565A56CA8}" name="Column2320" dataDxfId="14034"/>
    <tableColumn id="2369" xr3:uid="{F6E33376-699B-4007-A60B-5EA8D6DC1BB8}" name="Column2321" dataDxfId="14033"/>
    <tableColumn id="2370" xr3:uid="{1F93E781-787E-4BA1-A5F4-B98E4527806A}" name="Column2322" dataDxfId="14032"/>
    <tableColumn id="2371" xr3:uid="{064284C9-58C2-4FE0-B635-B2AA4D604256}" name="Column2323" dataDxfId="14031"/>
    <tableColumn id="2372" xr3:uid="{46DD06FF-3D0B-4F07-802C-65059B5FBA1C}" name="Column2324" dataDxfId="14030"/>
    <tableColumn id="2373" xr3:uid="{6E8111D0-9BC3-4BED-BE73-69ECFB5EAC9F}" name="Column2325" dataDxfId="14029"/>
    <tableColumn id="2374" xr3:uid="{861EE360-E842-4CF0-B0B7-D1AF607E95C3}" name="Column2326" dataDxfId="14028"/>
    <tableColumn id="2375" xr3:uid="{2CFE08A0-1644-4DC3-9B28-544F7BDB8C63}" name="Column2327" dataDxfId="14027"/>
    <tableColumn id="2376" xr3:uid="{B1143180-128B-4A94-8275-15759A2C8A92}" name="Column2328" dataDxfId="14026"/>
    <tableColumn id="2377" xr3:uid="{470E9237-A43C-4A51-BCF4-5208D507A24F}" name="Column2329" dataDxfId="14025"/>
    <tableColumn id="2378" xr3:uid="{7C86B872-FC78-4AA4-9EC0-611C2B1E130B}" name="Column2330" dataDxfId="14024"/>
    <tableColumn id="2379" xr3:uid="{D95E09F9-ADA6-4BF6-9DE5-D1BC68A6EDB8}" name="Column2331" dataDxfId="14023"/>
    <tableColumn id="2380" xr3:uid="{3C24FB6D-DEC9-45B0-BE38-58572408C9B8}" name="Column2332" dataDxfId="14022"/>
    <tableColumn id="2381" xr3:uid="{D6B560F0-2055-4770-ABF5-932A13E3CDCB}" name="Column2333" dataDxfId="14021"/>
    <tableColumn id="2382" xr3:uid="{A6D9A2F3-520F-47B1-90D4-0D8CCA1CF545}" name="Column2334" dataDxfId="14020"/>
    <tableColumn id="2383" xr3:uid="{AAD45B70-4553-425D-90CD-2A2E17E58E98}" name="Column2335" dataDxfId="14019"/>
    <tableColumn id="2384" xr3:uid="{1E804E4D-424E-4806-BB65-91D6FD71C9DF}" name="Column2336" dataDxfId="14018"/>
    <tableColumn id="2385" xr3:uid="{9AC074FF-5E56-43FF-9AE2-1D44B019AAC8}" name="Column2337" dataDxfId="14017"/>
    <tableColumn id="2386" xr3:uid="{2F3D277F-50A9-499A-848C-8D85514EFE01}" name="Column2338" dataDxfId="14016"/>
    <tableColumn id="2387" xr3:uid="{10A165EF-B308-4C81-9949-28E6AA0C1767}" name="Column2339" dataDxfId="14015"/>
    <tableColumn id="2388" xr3:uid="{AD9CD7AB-FC62-4A02-8E2D-FC887609D646}" name="Column2340" dataDxfId="14014"/>
    <tableColumn id="2389" xr3:uid="{14C0B123-AA16-4334-8EA1-5FD7D00DE034}" name="Column2341" dataDxfId="14013"/>
    <tableColumn id="2390" xr3:uid="{2FBE1001-F842-4CCC-8423-11E76D3F79A2}" name="Column2342" dataDxfId="14012"/>
    <tableColumn id="2391" xr3:uid="{CF8B5267-C5A4-4EA2-A006-BD2F9D622EBF}" name="Column2343" dataDxfId="14011"/>
    <tableColumn id="2392" xr3:uid="{FAE2CCA2-E402-480A-970C-A10E4AE0A6B1}" name="Column2344" dataDxfId="14010"/>
    <tableColumn id="2393" xr3:uid="{887EA485-A966-4C4A-82AB-FD76E5DC3E5D}" name="Column2345" dataDxfId="14009"/>
    <tableColumn id="2394" xr3:uid="{251B1473-22C3-449A-8B1E-A14AAB9B7286}" name="Column2346" dataDxfId="14008"/>
    <tableColumn id="2395" xr3:uid="{551043B2-F3C3-45AE-9F28-3255D9A0A288}" name="Column2347" dataDxfId="14007"/>
    <tableColumn id="2396" xr3:uid="{3DC7A865-94FA-48BC-A447-DD756A95752C}" name="Column2348" dataDxfId="14006"/>
    <tableColumn id="2397" xr3:uid="{DE53EA38-0509-4485-865A-6DF9A434F204}" name="Column2349" dataDxfId="14005"/>
    <tableColumn id="2398" xr3:uid="{53EA184C-D2DC-4D87-8FB6-A43CC5BCD03E}" name="Column2350" dataDxfId="14004"/>
    <tableColumn id="2399" xr3:uid="{A19872B1-ADEE-4B66-8271-EA4126BD5A88}" name="Column2351" dataDxfId="14003"/>
    <tableColumn id="2400" xr3:uid="{B05D34C7-0170-4145-BAB6-A1BE79C5BA17}" name="Column2352" dataDxfId="14002"/>
    <tableColumn id="2401" xr3:uid="{E6C16F4A-C24F-4709-A419-71D317368A7F}" name="Column2353" dataDxfId="14001"/>
    <tableColumn id="2402" xr3:uid="{7272A371-3708-4170-B218-8D0A34C611F2}" name="Column2354" dataDxfId="14000"/>
    <tableColumn id="2403" xr3:uid="{EB9A3B61-05E9-47C5-B00A-972E7735B053}" name="Column2355" dataDxfId="13999"/>
    <tableColumn id="2404" xr3:uid="{205D3FCF-8036-43F8-92A1-FBD5280AAA54}" name="Column2356" dataDxfId="13998"/>
    <tableColumn id="2405" xr3:uid="{9D6BE66F-DA61-4754-96E2-57DD920FC80F}" name="Column2357" dataDxfId="13997"/>
    <tableColumn id="2406" xr3:uid="{BA578B6D-F7DF-49F4-BE2F-DFDF803DEB0A}" name="Column2358" dataDxfId="13996"/>
    <tableColumn id="2407" xr3:uid="{49E3034A-C652-41D5-8CF1-51CEEE2369D9}" name="Column2359" dataDxfId="13995"/>
    <tableColumn id="2408" xr3:uid="{175B7BC7-64A4-4E5F-B9A6-4698F73B13B9}" name="Column2360" dataDxfId="13994"/>
    <tableColumn id="2409" xr3:uid="{45EE80A4-D414-44B7-8E2F-E28867EF6E67}" name="Column2361" dataDxfId="13993"/>
    <tableColumn id="2410" xr3:uid="{28E18291-5FF7-4CFE-8B30-B16970AA49B0}" name="Column2362" dataDxfId="13992"/>
    <tableColumn id="2411" xr3:uid="{F21B599B-74A6-4490-9CD5-C4F640C632F5}" name="Column2363" dataDxfId="13991"/>
    <tableColumn id="2412" xr3:uid="{D598C489-9C56-4767-AE65-DEE0080A050D}" name="Column2364" dataDxfId="13990"/>
    <tableColumn id="2413" xr3:uid="{35967D9A-E545-4C4C-ACEE-CBF886FE5E8C}" name="Column2365" dataDxfId="13989"/>
    <tableColumn id="2414" xr3:uid="{F7B2EB87-D2A0-4FD2-9AD8-28DF97D39E25}" name="Column2366" dataDxfId="13988"/>
    <tableColumn id="2415" xr3:uid="{9CA1EAEF-F8CA-4A65-AC47-BCD05199EE6E}" name="Column2367" dataDxfId="13987"/>
    <tableColumn id="2416" xr3:uid="{DAD08681-96BC-4541-ADE7-A1028CE3B1B7}" name="Column2368" dataDxfId="13986"/>
    <tableColumn id="2417" xr3:uid="{FEAACCBE-ACF8-4626-8CAB-73546004FA7F}" name="Column2369" dataDxfId="13985"/>
    <tableColumn id="2418" xr3:uid="{D9D9AF3E-1B18-4BC8-AFE6-100BCF7494FB}" name="Column2370" dataDxfId="13984"/>
    <tableColumn id="2419" xr3:uid="{F5C76811-052D-4AB9-9CDC-C3479805945F}" name="Column2371" dataDxfId="13983"/>
    <tableColumn id="2420" xr3:uid="{F1B2C097-AE4F-419C-85B7-B86F3E116174}" name="Column2372" dataDxfId="13982"/>
    <tableColumn id="2421" xr3:uid="{700D36EF-1FCB-4206-89E8-3400CE8BD6CA}" name="Column2373" dataDxfId="13981"/>
    <tableColumn id="2422" xr3:uid="{B9DC21DE-F9BE-470B-9514-CD2B2377B884}" name="Column2374" dataDxfId="13980"/>
    <tableColumn id="2423" xr3:uid="{F352A2D0-50C0-4A29-B5AF-F682DFE3B707}" name="Column2375" dataDxfId="13979"/>
    <tableColumn id="2424" xr3:uid="{0267B6A3-D375-4832-A322-08BFEE26540D}" name="Column2376" dataDxfId="13978"/>
    <tableColumn id="2425" xr3:uid="{90223B89-9FD3-4836-99BE-0565D4EA043A}" name="Column2377" dataDxfId="13977"/>
    <tableColumn id="2426" xr3:uid="{E9BCF3F1-6C6C-4508-B575-FF8EFAFF628F}" name="Column2378" dataDxfId="13976"/>
    <tableColumn id="2427" xr3:uid="{5F315496-6758-461F-8BD1-4B5E629FFBDA}" name="Column2379" dataDxfId="13975"/>
    <tableColumn id="2428" xr3:uid="{693C061E-08DC-4F47-B9D0-0A69B0755FB7}" name="Column2380" dataDxfId="13974"/>
    <tableColumn id="2429" xr3:uid="{3BDF98EB-612B-43CE-ABE0-EC4DBF0844F1}" name="Column2381" dataDxfId="13973"/>
    <tableColumn id="2430" xr3:uid="{799814DF-457F-404F-8C15-B2D8A631F534}" name="Column2382" dataDxfId="13972"/>
    <tableColumn id="2431" xr3:uid="{88853D58-77C8-4A3D-9210-4F923E30B3A7}" name="Column2383" dataDxfId="13971"/>
    <tableColumn id="2432" xr3:uid="{2A0F6113-AFC9-468A-AD57-CD8F7A0EB647}" name="Column2384" dataDxfId="13970"/>
    <tableColumn id="2433" xr3:uid="{04494DDB-0393-4B50-93D3-7500E7A5B905}" name="Column2385" dataDxfId="13969"/>
    <tableColumn id="2434" xr3:uid="{12282F4B-3195-4406-9FE3-89186D084CE3}" name="Column2386" dataDxfId="13968"/>
    <tableColumn id="2435" xr3:uid="{ABDCAE54-3019-4245-8A14-3EB9F853433F}" name="Column2387" dataDxfId="13967"/>
    <tableColumn id="2436" xr3:uid="{53B8DE61-7AA6-46BA-B573-8CE590A39827}" name="Column2388" dataDxfId="13966"/>
    <tableColumn id="2437" xr3:uid="{0FD049E6-0A32-4F81-AC78-AC08AFF24A6B}" name="Column2389" dataDxfId="13965"/>
    <tableColumn id="2438" xr3:uid="{17F2AEFC-A7A1-4C91-BEA0-4D9AB9B5AB44}" name="Column2390" dataDxfId="13964"/>
    <tableColumn id="2439" xr3:uid="{B553298B-7BEC-42EA-BFA1-402208DCA00B}" name="Column2391" dataDxfId="13963"/>
    <tableColumn id="2440" xr3:uid="{ED48FC8B-5AE4-4148-BFC9-823793EE608A}" name="Column2392" dataDxfId="13962"/>
    <tableColumn id="2441" xr3:uid="{52719B9B-7EB6-4623-9CDF-9C3B86F3C888}" name="Column2393" dataDxfId="13961"/>
    <tableColumn id="2442" xr3:uid="{9187F7BA-E689-49EC-8080-E3C2043398EA}" name="Column2394" dataDxfId="13960"/>
    <tableColumn id="2443" xr3:uid="{B1DA3D92-E067-4BA0-976A-3A8D530AF613}" name="Column2395" dataDxfId="13959"/>
    <tableColumn id="2444" xr3:uid="{963DFC53-873D-4243-85A5-BE8A4FCF41DF}" name="Column2396" dataDxfId="13958"/>
    <tableColumn id="2445" xr3:uid="{6B5200AA-8920-4C08-844E-94B9B5161D82}" name="Column2397" dataDxfId="13957"/>
    <tableColumn id="2446" xr3:uid="{2F8D1A34-D7F3-400B-91E1-0B78E235EC0B}" name="Column2398" dataDxfId="13956"/>
    <tableColumn id="2447" xr3:uid="{51619747-82E6-4BC7-BDC6-6378BFFD1342}" name="Column2399" dataDxfId="13955"/>
    <tableColumn id="2448" xr3:uid="{2D605B9B-0B3A-4409-98EC-DB40D8F9A6C4}" name="Column2400" dataDxfId="13954"/>
    <tableColumn id="2449" xr3:uid="{D5AD7032-4674-4F55-955F-BF1B43D07A71}" name="Column2401" dataDxfId="13953"/>
    <tableColumn id="2450" xr3:uid="{17DAEC1E-EDD2-4E1F-A9A6-4931D622E0DB}" name="Column2402" dataDxfId="13952"/>
    <tableColumn id="2451" xr3:uid="{84B51761-9727-4620-8AAD-75347B6D6E38}" name="Column2403" dataDxfId="13951"/>
    <tableColumn id="2452" xr3:uid="{63B7952F-FD44-4822-B93A-52ACC3624D30}" name="Column2404" dataDxfId="13950"/>
    <tableColumn id="2453" xr3:uid="{D009B1BE-4F76-47EF-BE61-E0823BE723F5}" name="Column2405" dataDxfId="13949"/>
    <tableColumn id="2454" xr3:uid="{F8A6CF79-7E07-43BA-A313-29FEFB113000}" name="Column2406" dataDxfId="13948"/>
    <tableColumn id="2455" xr3:uid="{757ECA4E-55AA-418B-BD8D-0C23BC19D7CF}" name="Column2407" dataDxfId="13947"/>
    <tableColumn id="2456" xr3:uid="{DEB968BF-01F8-4239-B589-2EDFB68E4862}" name="Column2408" dataDxfId="13946"/>
    <tableColumn id="2457" xr3:uid="{2B747231-9F7A-4B2F-A969-E35E61ADBEFC}" name="Column2409" dataDxfId="13945"/>
    <tableColumn id="2458" xr3:uid="{D42798FF-371B-4C59-A561-4030E32484C0}" name="Column2410" dataDxfId="13944"/>
    <tableColumn id="2459" xr3:uid="{5E22EF94-361F-4BFA-94F7-3FCC04325AC9}" name="Column2411" dataDxfId="13943"/>
    <tableColumn id="2460" xr3:uid="{E774EF23-A5F5-4006-8E14-B908AB07309F}" name="Column2412" dataDxfId="13942"/>
    <tableColumn id="2461" xr3:uid="{66BA6952-BF88-4A1D-B19E-36473F21279C}" name="Column2413" dataDxfId="13941"/>
    <tableColumn id="2462" xr3:uid="{2093F582-020F-4AAA-8BF1-2E412E450882}" name="Column2414" dataDxfId="13940"/>
    <tableColumn id="2463" xr3:uid="{C89DFF6B-441C-43E9-90C5-7CC84C334D92}" name="Column2415" dataDxfId="13939"/>
    <tableColumn id="2464" xr3:uid="{4A8ED33C-27E6-45AA-8F94-2DDC7453DD67}" name="Column2416" dataDxfId="13938"/>
    <tableColumn id="2465" xr3:uid="{B65C54FF-C798-4A51-8D6A-46131D106E8A}" name="Column2417" dataDxfId="13937"/>
    <tableColumn id="2466" xr3:uid="{BFCFEAF4-4B03-4F71-88DF-7ED69ACF87FB}" name="Column2418" dataDxfId="13936"/>
    <tableColumn id="2467" xr3:uid="{24EB029B-09DB-42EA-B53C-3E85300844B0}" name="Column2419" dataDxfId="13935"/>
    <tableColumn id="2468" xr3:uid="{E4566737-1359-4A73-8AB7-E6E99148BD13}" name="Column2420" dataDxfId="13934"/>
    <tableColumn id="2469" xr3:uid="{6FA1BE5E-7EBF-4D1B-9B5A-A302535D8090}" name="Column2421" dataDxfId="13933"/>
    <tableColumn id="2470" xr3:uid="{A7DB0170-CBCD-4773-8DB8-5AD6ED068954}" name="Column2422" dataDxfId="13932"/>
    <tableColumn id="2471" xr3:uid="{815CF419-32A8-4F56-9144-1E6918FF0BBF}" name="Column2423" dataDxfId="13931"/>
    <tableColumn id="2472" xr3:uid="{C9BF7BD5-203D-4283-A5E4-0C95659C1158}" name="Column2424" dataDxfId="13930"/>
    <tableColumn id="2473" xr3:uid="{422CEB97-ED83-4D8B-B14E-27A541AA5718}" name="Column2425" dataDxfId="13929"/>
    <tableColumn id="2474" xr3:uid="{17E32BAB-2229-43AE-94EA-5017CA72FD5E}" name="Column2426" dataDxfId="13928"/>
    <tableColumn id="2475" xr3:uid="{9967B0A8-0FD5-46D6-B00C-6B10BABEA4CD}" name="Column2427" dataDxfId="13927"/>
    <tableColumn id="2476" xr3:uid="{45557A0F-D47A-40AF-904F-714A70BACED6}" name="Column2428" dataDxfId="13926"/>
    <tableColumn id="2477" xr3:uid="{F92D5FE2-3173-4482-9730-5301437138C2}" name="Column2429" dataDxfId="13925"/>
    <tableColumn id="2478" xr3:uid="{E8A813FF-4D83-4A89-8083-7D99F1E27DB4}" name="Column2430" dataDxfId="13924"/>
    <tableColumn id="2479" xr3:uid="{EA9D36A7-6091-40F3-9B06-DC5CB1486DF2}" name="Column2431" dataDxfId="13923"/>
    <tableColumn id="2480" xr3:uid="{D5B48B44-4416-43D6-9E53-568F266FC645}" name="Column2432" dataDxfId="13922"/>
    <tableColumn id="2481" xr3:uid="{64624347-D4F4-49D4-B151-E2B6BF0B87C6}" name="Column2433" dataDxfId="13921"/>
    <tableColumn id="2482" xr3:uid="{BE1231C0-BEC6-4948-9B36-CA860B20A631}" name="Column2434" dataDxfId="13920"/>
    <tableColumn id="2483" xr3:uid="{5D63CDF2-0681-43ED-9942-CEA34E724D23}" name="Column2435" dataDxfId="13919"/>
    <tableColumn id="2484" xr3:uid="{D10DF684-7AF1-40C8-8C32-639CEB8F69AE}" name="Column2436" dataDxfId="13918"/>
    <tableColumn id="2485" xr3:uid="{45DEB4AC-DE13-4DEB-94A4-2D9B9061C6B1}" name="Column2437" dataDxfId="13917"/>
    <tableColumn id="2486" xr3:uid="{50CD623D-7A28-4669-9C2B-C8EE68A4C09D}" name="Column2438" dataDxfId="13916"/>
    <tableColumn id="2487" xr3:uid="{81CC82AF-5FF4-4223-B18C-34A4B5B70ED8}" name="Column2439" dataDxfId="13915"/>
    <tableColumn id="2488" xr3:uid="{CEC839DB-78B4-48E9-B5A9-C0C90BBFD9FC}" name="Column2440" dataDxfId="13914"/>
    <tableColumn id="2489" xr3:uid="{AB27F06D-C388-4F31-BF70-4DDE0381B404}" name="Column2441" dataDxfId="13913"/>
    <tableColumn id="2490" xr3:uid="{2FEEF788-657F-4ED4-A1BB-D3953A5187B2}" name="Column2442" dataDxfId="13912"/>
    <tableColumn id="2491" xr3:uid="{7EE684CF-0EAB-4F18-8905-6D704A748228}" name="Column2443" dataDxfId="13911"/>
    <tableColumn id="2492" xr3:uid="{C5FA2181-EEFB-4B3D-87CD-DA454931AE73}" name="Column2444" dataDxfId="13910"/>
    <tableColumn id="2493" xr3:uid="{70BFFD35-6C01-4F5F-B75C-BBB4E165201B}" name="Column2445" dataDxfId="13909"/>
    <tableColumn id="2494" xr3:uid="{F284516F-57CC-4538-A3A8-CA9BB3E432BE}" name="Column2446" dataDxfId="13908"/>
    <tableColumn id="2495" xr3:uid="{438A8604-EDB2-4844-83BB-235BBA2EB262}" name="Column2447" dataDxfId="13907"/>
    <tableColumn id="2496" xr3:uid="{4D7E2C4C-E472-4688-928D-3460E83F47A2}" name="Column2448" dataDxfId="13906"/>
    <tableColumn id="2497" xr3:uid="{0BECAD9B-4B13-4DF7-B480-767D1514BF0D}" name="Column2449" dataDxfId="13905"/>
    <tableColumn id="2498" xr3:uid="{7C68C311-FFBB-40F1-8702-F3151E6C93A2}" name="Column2450" dataDxfId="13904"/>
    <tableColumn id="2499" xr3:uid="{8481ECF5-092B-490D-B620-7047D71F84E2}" name="Column2451" dataDxfId="13903"/>
    <tableColumn id="2500" xr3:uid="{EE55277B-B3B1-4A21-A680-01D853A1E1AB}" name="Column2452" dataDxfId="13902"/>
    <tableColumn id="2501" xr3:uid="{6E031551-1D71-4C9D-99FD-EEA8883F05E2}" name="Column2453" dataDxfId="13901"/>
    <tableColumn id="2502" xr3:uid="{9FF67700-219A-4D99-BE21-A831F1851337}" name="Column2454" dataDxfId="13900"/>
    <tableColumn id="2503" xr3:uid="{8BF22349-4D8F-425C-A318-80EA09B7EB4F}" name="Column2455" dataDxfId="13899"/>
    <tableColumn id="2504" xr3:uid="{E03C9FFD-723E-4725-9C86-C8A0733C5BFE}" name="Column2456" dataDxfId="13898"/>
    <tableColumn id="2505" xr3:uid="{596B968D-CA5D-4E7B-93E2-E49E5AFC3935}" name="Column2457" dataDxfId="13897"/>
    <tableColumn id="2506" xr3:uid="{A2611EC6-E465-4C87-B3FE-7F4AF7AE42F3}" name="Column2458" dataDxfId="13896"/>
    <tableColumn id="2507" xr3:uid="{35C9DFF6-3043-4F66-900A-D54ECC20BAE3}" name="Column2459" dataDxfId="13895"/>
    <tableColumn id="2508" xr3:uid="{159D6456-019F-431A-A412-239562849656}" name="Column2460" dataDxfId="13894"/>
    <tableColumn id="2509" xr3:uid="{3C808852-097B-4381-AE0D-114A764EEC31}" name="Column2461" dataDxfId="13893"/>
    <tableColumn id="2510" xr3:uid="{7CFD57E5-8777-4179-A562-91CC8A72C91D}" name="Column2462" dataDxfId="13892"/>
    <tableColumn id="2511" xr3:uid="{84F06771-9718-457E-8B1F-D6E6514AA2B8}" name="Column2463" dataDxfId="13891"/>
    <tableColumn id="2512" xr3:uid="{6856B0FA-E0FD-452D-84F4-93CE79C82C14}" name="Column2464" dataDxfId="13890"/>
    <tableColumn id="2513" xr3:uid="{56AAC301-B080-46C7-B94D-A8993EB64A97}" name="Column2465" dataDxfId="13889"/>
    <tableColumn id="2514" xr3:uid="{D1FC8397-0BD5-4410-ABDE-E0BBD16F2069}" name="Column2466" dataDxfId="13888"/>
    <tableColumn id="2515" xr3:uid="{402BE425-CD6F-4B6C-9920-31C4B7ECDC96}" name="Column2467" dataDxfId="13887"/>
    <tableColumn id="2516" xr3:uid="{7BC26304-4904-4200-AC86-FC1997C67D7B}" name="Column2468" dataDxfId="13886"/>
    <tableColumn id="2517" xr3:uid="{711F5CCE-061D-4D7C-B65E-2B5B671D6577}" name="Column2469" dataDxfId="13885"/>
    <tableColumn id="2518" xr3:uid="{E6F67810-B1D0-476F-956B-2EEC9DBA57B1}" name="Column2470" dataDxfId="13884"/>
    <tableColumn id="2519" xr3:uid="{AC1C3AD9-44ED-45E2-BD2D-02E48BE61B17}" name="Column2471" dataDxfId="13883"/>
    <tableColumn id="2520" xr3:uid="{BDD67950-E046-4CC9-9CAF-43DBEEC395E4}" name="Column2472" dataDxfId="13882"/>
    <tableColumn id="2521" xr3:uid="{42A36044-4F58-49D8-A15F-6D8D741C089B}" name="Column2473" dataDxfId="13881"/>
    <tableColumn id="2522" xr3:uid="{8E5917E4-7D7C-4810-AB5D-C976D3EB3C1F}" name="Column2474" dataDxfId="13880"/>
    <tableColumn id="2523" xr3:uid="{F7970713-40C2-4117-9D13-D827A8E9FA7C}" name="Column2475" dataDxfId="13879"/>
    <tableColumn id="2524" xr3:uid="{D021041C-0EFD-4DCB-8804-987293FE4A08}" name="Column2476" dataDxfId="13878"/>
    <tableColumn id="2525" xr3:uid="{0168ED24-A64E-4995-BECE-85D62F575155}" name="Column2477" dataDxfId="13877"/>
    <tableColumn id="2526" xr3:uid="{39493CB9-5A27-466B-841E-B4379B7611A4}" name="Column2478" dataDxfId="13876"/>
    <tableColumn id="2527" xr3:uid="{806BC292-9A3D-43F7-8C43-AFFB9D7CFDC0}" name="Column2479" dataDxfId="13875"/>
    <tableColumn id="2528" xr3:uid="{005496BC-A0F2-4355-A20A-25D200AD192A}" name="Column2480" dataDxfId="13874"/>
    <tableColumn id="2529" xr3:uid="{2F9A0592-503F-421F-A5FF-7E177B4B6ED8}" name="Column2481" dataDxfId="13873"/>
    <tableColumn id="2530" xr3:uid="{8DAADD92-2E0A-4B04-A2B2-B5C0C1048144}" name="Column2482" dataDxfId="13872"/>
    <tableColumn id="2531" xr3:uid="{237B7A41-7EF1-4FDE-BA6C-9E7735C417F5}" name="Column2483" dataDxfId="13871"/>
    <tableColumn id="2532" xr3:uid="{58E7BD77-406F-4A2E-88DB-2BB06485C1D8}" name="Column2484" dataDxfId="13870"/>
    <tableColumn id="2533" xr3:uid="{B88AF580-A947-4A77-8C52-B4322BE22CB7}" name="Column2485" dataDxfId="13869"/>
    <tableColumn id="2534" xr3:uid="{F84F141A-E617-4256-940B-1A5CED6A2C24}" name="Column2486" dataDxfId="13868"/>
    <tableColumn id="2535" xr3:uid="{9AF2718A-F008-4E4D-A164-C5F9F4913654}" name="Column2487" dataDxfId="13867"/>
    <tableColumn id="2536" xr3:uid="{6AF37207-583A-4F39-B57C-772B1AFA1C3D}" name="Column2488" dataDxfId="13866"/>
    <tableColumn id="2537" xr3:uid="{5978E959-A379-4FC5-B11B-CDF3F66B4F3E}" name="Column2489" dataDxfId="13865"/>
    <tableColumn id="2538" xr3:uid="{650B89EF-1B81-4B2F-AD9F-2586380E6163}" name="Column2490" dataDxfId="13864"/>
    <tableColumn id="2539" xr3:uid="{E96AA439-3024-4C03-958E-5D71D5C7A90F}" name="Column2491" dataDxfId="13863"/>
    <tableColumn id="2540" xr3:uid="{98257C6A-BFD3-4DDC-A253-46835CC8A2A4}" name="Column2492" dataDxfId="13862"/>
    <tableColumn id="2541" xr3:uid="{3ADF7416-A6CD-4514-9664-2745BDA21B6C}" name="Column2493" dataDxfId="13861"/>
    <tableColumn id="2542" xr3:uid="{26A2FE98-0C22-4DBB-88F7-B9CB814C4155}" name="Column2494" dataDxfId="13860"/>
    <tableColumn id="2543" xr3:uid="{813376FA-D7C8-492C-845A-DE6D477104B3}" name="Column2495" dataDxfId="13859"/>
    <tableColumn id="2544" xr3:uid="{672DCCE3-54F9-4F51-ADF4-BAA09CF60F39}" name="Column2496" dataDxfId="13858"/>
    <tableColumn id="2545" xr3:uid="{54EDC061-084D-4048-95E0-A986752B898D}" name="Column2497" dataDxfId="13857"/>
    <tableColumn id="2546" xr3:uid="{CAE1F241-6784-4FE3-B8DF-B6463B04BD14}" name="Column2498" dataDxfId="13856"/>
    <tableColumn id="2547" xr3:uid="{A282077F-5F73-4D30-84A2-61EEFFD891CA}" name="Column2499" dataDxfId="13855"/>
    <tableColumn id="2548" xr3:uid="{822FDD9D-7B3E-4073-AC31-A3A6AF18396A}" name="Column2500" dataDxfId="13854"/>
    <tableColumn id="2549" xr3:uid="{ECF53902-727D-4C61-BD14-0B7AA783D118}" name="Column2501" dataDxfId="13853"/>
    <tableColumn id="2550" xr3:uid="{5D8A6763-C6DD-4F7A-A007-671E7D7872C2}" name="Column2502" dataDxfId="13852"/>
    <tableColumn id="2551" xr3:uid="{97475C6A-A82B-4622-B4AC-83663F9F5CFB}" name="Column2503" dataDxfId="13851"/>
    <tableColumn id="2552" xr3:uid="{0F534B04-23F4-4D5D-A685-C91DDBAA8F88}" name="Column2504" dataDxfId="13850"/>
    <tableColumn id="2553" xr3:uid="{871E6DDA-A38E-4CCC-A8F3-A50C666CAC4A}" name="Column2505" dataDxfId="13849"/>
    <tableColumn id="2554" xr3:uid="{A139F0F2-CCBD-469E-926B-5731730C561C}" name="Column2506" dataDxfId="13848"/>
    <tableColumn id="2555" xr3:uid="{B7B753AD-9761-4049-A149-B1BDE67F90EB}" name="Column2507" dataDxfId="13847"/>
    <tableColumn id="2556" xr3:uid="{C0AB308F-AC69-4D4A-8620-1D72777ED777}" name="Column2508" dataDxfId="13846"/>
    <tableColumn id="2557" xr3:uid="{8C9B15E5-4701-462D-BA03-197EE63FEA4A}" name="Column2509" dataDxfId="13845"/>
    <tableColumn id="2558" xr3:uid="{244878A0-95D7-47CF-AD06-BD97672D645E}" name="Column2510" dataDxfId="13844"/>
    <tableColumn id="2559" xr3:uid="{C1D243B9-3FE9-4947-B443-B2B565D24697}" name="Column2511" dataDxfId="13843"/>
    <tableColumn id="2560" xr3:uid="{8E19703B-3DA1-4424-8E2D-A5F20A0AE4E7}" name="Column2512" dataDxfId="13842"/>
    <tableColumn id="2561" xr3:uid="{2BAC044A-F884-4217-9A93-7266B1E5B2AD}" name="Column2513" dataDxfId="13841"/>
    <tableColumn id="2562" xr3:uid="{2DC9D0D1-084D-49F2-9007-4853F17E0942}" name="Column2514" dataDxfId="13840"/>
    <tableColumn id="2563" xr3:uid="{5A950C3E-4935-4967-BAB9-574C60DD4214}" name="Column2515" dataDxfId="13839"/>
    <tableColumn id="2564" xr3:uid="{4D85A41F-A23C-4694-A840-7F9CAA811F67}" name="Column2516" dataDxfId="13838"/>
    <tableColumn id="2565" xr3:uid="{4F133285-14AC-4DB9-A410-1706012AC36C}" name="Column2517" dataDxfId="13837"/>
    <tableColumn id="2566" xr3:uid="{6B00800A-0303-4E99-9875-97FF385EF53A}" name="Column2518" dataDxfId="13836"/>
    <tableColumn id="2567" xr3:uid="{27A5B3DC-B5BE-4A8B-877E-ABA3D09CC62F}" name="Column2519" dataDxfId="13835"/>
    <tableColumn id="2568" xr3:uid="{2387B93A-BEDE-4F5C-A584-F0A664A12A23}" name="Column2520" dataDxfId="13834"/>
    <tableColumn id="2569" xr3:uid="{568558AC-908A-4E2A-869B-B2E25C8E38A6}" name="Column2521" dataDxfId="13833"/>
    <tableColumn id="2570" xr3:uid="{C03C40E8-3D89-4F7E-B433-5E3EB043F9F5}" name="Column2522" dataDxfId="13832"/>
    <tableColumn id="2571" xr3:uid="{5A6EAF41-9B41-493D-9282-B86AA003E185}" name="Column2523" dataDxfId="13831"/>
    <tableColumn id="2572" xr3:uid="{280A643F-F91B-4A12-B1EF-F2968231E942}" name="Column2524" dataDxfId="13830"/>
    <tableColumn id="2573" xr3:uid="{4B3EAE8F-DE1A-4FD6-AB7E-DC4E9D40C335}" name="Column2525" dataDxfId="13829"/>
    <tableColumn id="2574" xr3:uid="{82E557B2-1EF6-42D5-99EC-02597FF7F4E5}" name="Column2526" dataDxfId="13828"/>
    <tableColumn id="2575" xr3:uid="{9B31AF96-CD1C-4E13-A461-4DB770E34808}" name="Column2527" dataDxfId="13827"/>
    <tableColumn id="2576" xr3:uid="{E65099BD-DF90-4CAD-A74F-744BA0A4828F}" name="Column2528" dataDxfId="13826"/>
    <tableColumn id="2577" xr3:uid="{A5BA73DA-2AE1-4F46-A879-4A5C4DCC1AC3}" name="Column2529" dataDxfId="13825"/>
    <tableColumn id="2578" xr3:uid="{A1CE059A-8FFD-4E28-93E0-004F10C4F41F}" name="Column2530" dataDxfId="13824"/>
    <tableColumn id="2579" xr3:uid="{2B55C798-2832-4F80-A2C3-D5DF2FADE740}" name="Column2531" dataDxfId="13823"/>
    <tableColumn id="2580" xr3:uid="{14D58678-C641-4ED9-9F75-F9D9C79517CB}" name="Column2532" dataDxfId="13822"/>
    <tableColumn id="2581" xr3:uid="{C80C963E-0BED-44B3-BEC5-C08BAD5B6FC8}" name="Column2533" dataDxfId="13821"/>
    <tableColumn id="2582" xr3:uid="{C177B9D1-115D-4BFB-AE84-2BD7F7061793}" name="Column2534" dataDxfId="13820"/>
    <tableColumn id="2583" xr3:uid="{F2022724-D666-4F89-ADC0-A807FC090606}" name="Column2535" dataDxfId="13819"/>
    <tableColumn id="2584" xr3:uid="{368B5BCC-FBD2-4CF4-AA0B-8D4B7F9889E1}" name="Column2536" dataDxfId="13818"/>
    <tableColumn id="2585" xr3:uid="{3989C13C-342B-4DF9-BA71-001178CDABB8}" name="Column2537" dataDxfId="13817"/>
    <tableColumn id="2586" xr3:uid="{56E42E07-0AE0-4C4C-AAB2-F6C2F5BEEFCC}" name="Column2538" dataDxfId="13816"/>
    <tableColumn id="2587" xr3:uid="{072093FD-BE90-49C9-B5A1-E14BBA223D21}" name="Column2539" dataDxfId="13815"/>
    <tableColumn id="2588" xr3:uid="{C16E1DB8-3E0F-469F-96BA-21A726E67E92}" name="Column2540" dataDxfId="13814"/>
    <tableColumn id="2589" xr3:uid="{988F2286-8EB4-4152-895B-046BB0A51F9C}" name="Column2541" dataDxfId="13813"/>
    <tableColumn id="2590" xr3:uid="{027C2097-BE9A-427F-BE02-98C121352BCF}" name="Column2542" dataDxfId="13812"/>
    <tableColumn id="2591" xr3:uid="{E9F04039-551C-4794-9567-4447440BF3F4}" name="Column2543" dataDxfId="13811"/>
    <tableColumn id="2592" xr3:uid="{C477036D-A6FE-49E2-A107-0291A1AD3544}" name="Column2544" dataDxfId="13810"/>
    <tableColumn id="2593" xr3:uid="{FA157CFA-393F-4C1C-8637-081D96D97683}" name="Column2545" dataDxfId="13809"/>
    <tableColumn id="2594" xr3:uid="{AC2A3855-152E-430B-B2D4-281D9718DD56}" name="Column2546" dataDxfId="13808"/>
    <tableColumn id="2595" xr3:uid="{5844F493-6C1C-433E-8305-B809B5310AB8}" name="Column2547" dataDxfId="13807"/>
    <tableColumn id="2596" xr3:uid="{CB1C30D3-FAD4-4698-99BA-25C534D82A72}" name="Column2548" dataDxfId="13806"/>
    <tableColumn id="2597" xr3:uid="{6825481F-A246-47A0-AE2C-A8ACD9EB6B43}" name="Column2549" dataDxfId="13805"/>
    <tableColumn id="2598" xr3:uid="{31CBE908-437D-4CE9-AE7E-9E251BDD2A44}" name="Column2550" dataDxfId="13804"/>
    <tableColumn id="2599" xr3:uid="{6A80AE6F-71BD-4125-99E3-31364F3CAC44}" name="Column2551" dataDxfId="13803"/>
    <tableColumn id="2600" xr3:uid="{22C66950-7369-466E-8847-42884CA9124B}" name="Column2552" dataDxfId="13802"/>
    <tableColumn id="2601" xr3:uid="{5FA052E1-67B4-42E0-9279-37D872BFD2C1}" name="Column2553" dataDxfId="13801"/>
    <tableColumn id="2602" xr3:uid="{8C7EF242-135E-4B62-BEA6-433EF711015B}" name="Column2554" dataDxfId="13800"/>
    <tableColumn id="2603" xr3:uid="{6084DA48-EC33-4413-AEB9-00AEC213BE64}" name="Column2555" dataDxfId="13799"/>
    <tableColumn id="2604" xr3:uid="{15695720-ECAE-42E6-A5D5-42A16BE48A94}" name="Column2556" dataDxfId="13798"/>
    <tableColumn id="2605" xr3:uid="{A887B404-769C-477A-A9E4-A4E9EBE66C2B}" name="Column2557" dataDxfId="13797"/>
    <tableColumn id="2606" xr3:uid="{A22F2ED1-AA24-4ABE-9F45-C3444A1016F7}" name="Column2558" dataDxfId="13796"/>
    <tableColumn id="2607" xr3:uid="{CF16E369-1AFF-403F-A2CA-C46CD87A8B92}" name="Column2559" dataDxfId="13795"/>
    <tableColumn id="2608" xr3:uid="{FB9E2104-BF96-471D-91EE-05C20A13545A}" name="Column2560" dataDxfId="13794"/>
    <tableColumn id="2609" xr3:uid="{C1E2CD1D-7900-4474-BD21-DF0AA7BB6288}" name="Column2561" dataDxfId="13793"/>
    <tableColumn id="2610" xr3:uid="{D06BC306-EC31-4A6B-A0D6-DD6E3C683876}" name="Column2562" dataDxfId="13792"/>
    <tableColumn id="2611" xr3:uid="{1A524BC2-C913-452B-86D5-796974F6D122}" name="Column2563" dataDxfId="13791"/>
    <tableColumn id="2612" xr3:uid="{DEF06D92-8796-433E-9C5E-A7EB36CAF076}" name="Column2564" dataDxfId="13790"/>
    <tableColumn id="2613" xr3:uid="{4B06F339-F9C9-46AE-980B-445C1DB0C05D}" name="Column2565" dataDxfId="13789"/>
    <tableColumn id="2614" xr3:uid="{5EB50C53-09D6-4BE8-8B2E-049FE20D1788}" name="Column2566" dataDxfId="13788"/>
    <tableColumn id="2615" xr3:uid="{4295A0E2-8B71-44D3-86DF-97BC26BD2938}" name="Column2567" dataDxfId="13787"/>
    <tableColumn id="2616" xr3:uid="{3696BB6E-6F25-430D-BC4D-D30EE8541085}" name="Column2568" dataDxfId="13786"/>
    <tableColumn id="2617" xr3:uid="{DCED36F4-F2D7-4F13-B0E6-6000CDB2756D}" name="Column2569" dataDxfId="13785"/>
    <tableColumn id="2618" xr3:uid="{0689E266-72FE-45F0-BE9A-570097FAF6A2}" name="Column2570" dataDxfId="13784"/>
    <tableColumn id="2619" xr3:uid="{B27D029D-6470-4CEB-AB30-3A5203A0194D}" name="Column2571" dataDxfId="13783"/>
    <tableColumn id="2620" xr3:uid="{E7CA08AB-FFE4-43A2-A946-686CA3424BB2}" name="Column2572" dataDxfId="13782"/>
    <tableColumn id="2621" xr3:uid="{DACBA509-FC4C-4958-A75F-581B4095657A}" name="Column2573" dataDxfId="13781"/>
    <tableColumn id="2622" xr3:uid="{40F8C90D-2669-4873-8439-1F8FE1FE4C39}" name="Column2574" dataDxfId="13780"/>
    <tableColumn id="2623" xr3:uid="{C8500F04-CE3B-4968-A0B9-7126BB98A0EA}" name="Column2575" dataDxfId="13779"/>
    <tableColumn id="2624" xr3:uid="{AE6B523C-FB4F-4313-9DF5-E6AA9047502B}" name="Column2576" dataDxfId="13778"/>
    <tableColumn id="2625" xr3:uid="{91ECAD80-99F1-4FB1-8C40-C297453AC078}" name="Column2577" dataDxfId="13777"/>
    <tableColumn id="2626" xr3:uid="{863345BE-BDA7-481F-94EF-B93E3B25B55E}" name="Column2578" dataDxfId="13776"/>
    <tableColumn id="2627" xr3:uid="{5D386BA0-3B2F-4BAC-8C53-B894E519497A}" name="Column2579" dataDxfId="13775"/>
    <tableColumn id="2628" xr3:uid="{9A2A378E-CEBA-4D67-AC28-8CA842D37023}" name="Column2580" dataDxfId="13774"/>
    <tableColumn id="2629" xr3:uid="{9B1336F1-9EFE-495F-8A01-1480C9D2D015}" name="Column2581" dataDxfId="13773"/>
    <tableColumn id="2630" xr3:uid="{16005279-F941-48A6-B02A-A32CF5931565}" name="Column2582" dataDxfId="13772"/>
    <tableColumn id="2631" xr3:uid="{2EEF3875-FE4C-4C1D-B70B-9FD01AC212C5}" name="Column2583" dataDxfId="13771"/>
    <tableColumn id="2632" xr3:uid="{D429C5B3-609E-418D-AEFD-240ADFDB79CD}" name="Column2584" dataDxfId="13770"/>
    <tableColumn id="2633" xr3:uid="{30FFA9D5-C19C-44B3-B5F8-2C5EFCB844F3}" name="Column2585" dataDxfId="13769"/>
    <tableColumn id="2634" xr3:uid="{E3C3F5EC-9240-45EC-ACD2-5BF3485095DD}" name="Column2586" dataDxfId="13768"/>
    <tableColumn id="2635" xr3:uid="{513EEB89-9350-4209-B412-59D0FB3CC2C3}" name="Column2587" dataDxfId="13767"/>
    <tableColumn id="2636" xr3:uid="{41F3ED15-6D0E-43B5-B025-D95519D092F5}" name="Column2588" dataDxfId="13766"/>
    <tableColumn id="2637" xr3:uid="{5F19BECE-D0FF-451B-B52D-4DBB9BEFD30A}" name="Column2589" dataDxfId="13765"/>
    <tableColumn id="2638" xr3:uid="{9D7EA6A4-9BB1-4F2D-A944-84811A1AD26C}" name="Column2590" dataDxfId="13764"/>
    <tableColumn id="2639" xr3:uid="{08E06F3C-E755-43B6-8170-E8E22727D469}" name="Column2591" dataDxfId="13763"/>
    <tableColumn id="2640" xr3:uid="{5860CB67-EFFB-4B3C-9FBA-172B16E8A33D}" name="Column2592" dataDxfId="13762"/>
    <tableColumn id="2641" xr3:uid="{AAD5414D-6AD4-46D9-9873-1BE723B94F5C}" name="Column2593" dataDxfId="13761"/>
    <tableColumn id="2642" xr3:uid="{76A7AA89-471A-428A-8719-423930802FF7}" name="Column2594" dataDxfId="13760"/>
    <tableColumn id="2643" xr3:uid="{FEC5CA70-CE43-4F9F-854B-4022CC55C6CD}" name="Column2595" dataDxfId="13759"/>
    <tableColumn id="2644" xr3:uid="{1183EB74-CA61-4CE5-A6A1-9ABB6B60711A}" name="Column2596" dataDxfId="13758"/>
    <tableColumn id="2645" xr3:uid="{1306739A-28FF-4D30-98D8-3EEDF4AE03CE}" name="Column2597" dataDxfId="13757"/>
    <tableColumn id="2646" xr3:uid="{1A243AB8-B901-4C58-B7B4-E538298CFF25}" name="Column2598" dataDxfId="13756"/>
    <tableColumn id="2647" xr3:uid="{274F2B23-1182-4331-9CD4-F831493ACC77}" name="Column2599" dataDxfId="13755"/>
    <tableColumn id="2648" xr3:uid="{0BE8DBC5-12D9-4287-B6A4-19A331850152}" name="Column2600" dataDxfId="13754"/>
    <tableColumn id="2649" xr3:uid="{76B15EEE-562A-435E-9220-C891A84B566C}" name="Column2601" dataDxfId="13753"/>
    <tableColumn id="2650" xr3:uid="{EF4EA973-56F0-41BF-AB14-83A1826C3EB2}" name="Column2602" dataDxfId="13752"/>
    <tableColumn id="2651" xr3:uid="{8B476EA7-3E1A-405B-AE0C-A0353C8AAE79}" name="Column2603" dataDxfId="13751"/>
    <tableColumn id="2652" xr3:uid="{EF5BAE10-DBD9-498E-8EDA-FB1D3F7A0C87}" name="Column2604" dataDxfId="13750"/>
    <tableColumn id="2653" xr3:uid="{A88C0B26-CA49-4FAC-860F-C9D8666CA179}" name="Column2605" dataDxfId="13749"/>
    <tableColumn id="2654" xr3:uid="{E185347D-F58E-4B8B-9880-C8E1838E34EF}" name="Column2606" dataDxfId="13748"/>
    <tableColumn id="2655" xr3:uid="{010455AD-507E-4F00-95CE-F8404F1E25E8}" name="Column2607" dataDxfId="13747"/>
    <tableColumn id="2656" xr3:uid="{675980FD-3B41-4864-B72A-DFE371759779}" name="Column2608" dataDxfId="13746"/>
    <tableColumn id="2657" xr3:uid="{9B2CB018-3E77-44C7-BA9E-41CEE8F7A6EB}" name="Column2609" dataDxfId="13745"/>
    <tableColumn id="2658" xr3:uid="{7BAD7D54-53DD-44BE-A773-0A28C4E73CC2}" name="Column2610" dataDxfId="13744"/>
    <tableColumn id="2659" xr3:uid="{F60BD267-EEEE-4E0B-9B4C-F7546BF3FF32}" name="Column2611" dataDxfId="13743"/>
    <tableColumn id="2660" xr3:uid="{70D6FB16-08E2-47E6-BE03-08CFF06AAC16}" name="Column2612" dataDxfId="13742"/>
    <tableColumn id="2661" xr3:uid="{C09F9D27-4F1C-409F-A30C-9B76DDD12A59}" name="Column2613" dataDxfId="13741"/>
    <tableColumn id="2662" xr3:uid="{14DE22FC-4A07-4B24-9F08-83A6C836CFC0}" name="Column2614" dataDxfId="13740"/>
    <tableColumn id="2663" xr3:uid="{03F064CC-53DC-4B5F-882C-2223514BD5E3}" name="Column2615" dataDxfId="13739"/>
    <tableColumn id="2664" xr3:uid="{A8D70D1C-EC62-4286-8720-3AEC4BB2D395}" name="Column2616" dataDxfId="13738"/>
    <tableColumn id="2665" xr3:uid="{FB1D5D15-62C1-4E08-A73B-2D637EA0EFF4}" name="Column2617" dataDxfId="13737"/>
    <tableColumn id="2666" xr3:uid="{21ADAD78-8760-4B0E-A26E-3DBE7F032A85}" name="Column2618" dataDxfId="13736"/>
    <tableColumn id="2667" xr3:uid="{1898765B-1296-4766-96E6-1AF6FEE03A1F}" name="Column2619" dataDxfId="13735"/>
    <tableColumn id="2668" xr3:uid="{E73F6026-834F-4C2B-8F5C-87E50236B9A0}" name="Column2620" dataDxfId="13734"/>
    <tableColumn id="2669" xr3:uid="{4D2142A2-D115-4F20-B864-F56F8E3B1D81}" name="Column2621" dataDxfId="13733"/>
    <tableColumn id="2670" xr3:uid="{3265A2A0-48C0-40C7-9DA0-222B38BED0F2}" name="Column2622" dataDxfId="13732"/>
    <tableColumn id="2671" xr3:uid="{EDEAD435-FEF6-4BC2-B434-2007F09201DC}" name="Column2623" dataDxfId="13731"/>
    <tableColumn id="2672" xr3:uid="{EA5CEC13-D601-4E3B-81E0-594B9AB097A7}" name="Column2624" dataDxfId="13730"/>
    <tableColumn id="2673" xr3:uid="{27DE2638-00AC-47C3-BB99-7D3956FE526D}" name="Column2625" dataDxfId="13729"/>
    <tableColumn id="2674" xr3:uid="{F57456BE-C7DE-4D91-AFAC-5592FA9CE887}" name="Column2626" dataDxfId="13728"/>
    <tableColumn id="2675" xr3:uid="{BC70809E-DBB4-4E54-A0C6-05EC0CF9B18E}" name="Column2627" dataDxfId="13727"/>
    <tableColumn id="2676" xr3:uid="{EA771857-71E5-4108-8203-1E70BD02C50E}" name="Column2628" dataDxfId="13726"/>
    <tableColumn id="2677" xr3:uid="{B1414800-0088-4FEA-9151-E633554607A4}" name="Column2629" dataDxfId="13725"/>
    <tableColumn id="2678" xr3:uid="{AFB03FC3-0153-4E49-BBD8-F3B3D1EA4E9F}" name="Column2630" dataDxfId="13724"/>
    <tableColumn id="2679" xr3:uid="{16931846-BC4C-4B75-A4A0-401A4D3223DF}" name="Column2631" dataDxfId="13723"/>
    <tableColumn id="2680" xr3:uid="{732E8A4E-08CE-4561-9C1B-9AA5F1AEB353}" name="Column2632" dataDxfId="13722"/>
    <tableColumn id="2681" xr3:uid="{CA2D7FCA-B44D-4CCA-BA9D-89DDA9666DA7}" name="Column2633" dataDxfId="13721"/>
    <tableColumn id="2682" xr3:uid="{3D20FC23-9A41-46D1-A296-4E94B57EAB2A}" name="Column2634" dataDxfId="13720"/>
    <tableColumn id="2683" xr3:uid="{DBFE83E8-89DB-44AE-A93B-A2E1D44111FA}" name="Column2635" dataDxfId="13719"/>
    <tableColumn id="2684" xr3:uid="{17B00679-BEB0-43BF-9F39-405425A04AEA}" name="Column2636" dataDxfId="13718"/>
    <tableColumn id="2685" xr3:uid="{51D8FEDD-8A2B-4FB7-AE25-E4DDB1DC36BA}" name="Column2637" dataDxfId="13717"/>
    <tableColumn id="2686" xr3:uid="{3F856F22-6F1B-4371-8CB3-01F5201E89F4}" name="Column2638" dataDxfId="13716"/>
    <tableColumn id="2687" xr3:uid="{5A2E80B2-3374-4896-B2D4-76578445E0B1}" name="Column2639" dataDxfId="13715"/>
    <tableColumn id="2688" xr3:uid="{CCEF20F8-9D46-4BA2-8892-B39000BF7177}" name="Column2640" dataDxfId="13714"/>
    <tableColumn id="2689" xr3:uid="{0B38A1B6-2731-436E-A7CB-8CFFCF5FCD85}" name="Column2641" dataDxfId="13713"/>
    <tableColumn id="2690" xr3:uid="{DD87B5CD-4758-4EE3-BB07-86BAB1B679F7}" name="Column2642" dataDxfId="13712"/>
    <tableColumn id="2691" xr3:uid="{A3368178-A14A-40DA-A0FE-D34FECCFF489}" name="Column2643" dataDxfId="13711"/>
    <tableColumn id="2692" xr3:uid="{10EB69DE-55B3-4668-B241-DB154F40E60F}" name="Column2644" dataDxfId="13710"/>
    <tableColumn id="2693" xr3:uid="{115B2F15-194E-4210-BB6E-433674C9DCC2}" name="Column2645" dataDxfId="13709"/>
    <tableColumn id="2694" xr3:uid="{5FAA21D7-874C-46D6-BCC9-20ED08BBE6E4}" name="Column2646" dataDxfId="13708"/>
    <tableColumn id="2695" xr3:uid="{40FCEB4D-1BD7-42EF-94CE-FBC244C84185}" name="Column2647" dataDxfId="13707"/>
    <tableColumn id="2696" xr3:uid="{442E49E8-88F4-429A-99E1-AE84FE76E10F}" name="Column2648" dataDxfId="13706"/>
    <tableColumn id="2697" xr3:uid="{824362D5-B525-4156-A66C-EB5BF1F53D3B}" name="Column2649" dataDxfId="13705"/>
    <tableColumn id="2698" xr3:uid="{D42331C3-01BB-4076-AF38-8EA617098301}" name="Column2650" dataDxfId="13704"/>
    <tableColumn id="2699" xr3:uid="{7BE0B6E9-4159-4F58-935B-037FDC50CA4C}" name="Column2651" dataDxfId="13703"/>
    <tableColumn id="2700" xr3:uid="{78B2B0B0-30D0-4055-86D3-16330A09CBBA}" name="Column2652" dataDxfId="13702"/>
    <tableColumn id="2701" xr3:uid="{C91D3C92-9F8F-47BA-9D22-55B03549D3DE}" name="Column2653" dataDxfId="13701"/>
    <tableColumn id="2702" xr3:uid="{C467DD14-825B-4255-A9CD-53D1089D9D15}" name="Column2654" dataDxfId="13700"/>
    <tableColumn id="2703" xr3:uid="{314B41E4-EA7B-486E-96EB-CADA8CF9C51A}" name="Column2655" dataDxfId="13699"/>
    <tableColumn id="2704" xr3:uid="{3E8EA8B1-60D5-4AD5-9E79-9FA0ED213C6F}" name="Column2656" dataDxfId="13698"/>
    <tableColumn id="2705" xr3:uid="{CBB39C6B-5AB0-4DF4-8DC3-BFD583B858A1}" name="Column2657" dataDxfId="13697"/>
    <tableColumn id="2706" xr3:uid="{48B2E37C-4FEA-40C0-BEDE-91112ADA56A6}" name="Column2658" dataDxfId="13696"/>
    <tableColumn id="2707" xr3:uid="{38CD8F53-70E7-4624-9D8D-5172301630A0}" name="Column2659" dataDxfId="13695"/>
    <tableColumn id="2708" xr3:uid="{CEFB2252-4A01-4785-98A0-60DBF96260D6}" name="Column2660" dataDxfId="13694"/>
    <tableColumn id="2709" xr3:uid="{EA3745DD-F5BC-46A2-9F20-04063ABF4570}" name="Column2661" dataDxfId="13693"/>
    <tableColumn id="2710" xr3:uid="{B251F9DC-40DB-454A-9069-AA39DCBF49B1}" name="Column2662" dataDxfId="13692"/>
    <tableColumn id="2711" xr3:uid="{9714E927-7801-4205-AE75-C47CBF4F3485}" name="Column2663" dataDxfId="13691"/>
    <tableColumn id="2712" xr3:uid="{30158021-AF1B-46D9-935E-0E67A795B4CE}" name="Column2664" dataDxfId="13690"/>
    <tableColumn id="2713" xr3:uid="{CEB355F7-A07B-424C-9252-6886744B2194}" name="Column2665" dataDxfId="13689"/>
    <tableColumn id="2714" xr3:uid="{1D33AC2E-0971-4348-B085-C6BAA75116D0}" name="Column2666" dataDxfId="13688"/>
    <tableColumn id="2715" xr3:uid="{B0D390D1-76B6-44CA-AF99-25C178078BE3}" name="Column2667" dataDxfId="13687"/>
    <tableColumn id="2716" xr3:uid="{676FD3A5-887F-4AA1-82BF-7DCC7AD91413}" name="Column2668" dataDxfId="13686"/>
    <tableColumn id="2717" xr3:uid="{F1EB6A76-B7DA-42DF-8F33-249240170A28}" name="Column2669" dataDxfId="13685"/>
    <tableColumn id="2718" xr3:uid="{E853F2FD-0EE0-485F-A157-57466322F4AA}" name="Column2670" dataDxfId="13684"/>
    <tableColumn id="2719" xr3:uid="{16298EFC-7D17-497D-A13A-26BABEDE61C7}" name="Column2671" dataDxfId="13683"/>
    <tableColumn id="2720" xr3:uid="{BA1F5351-4098-48D6-A5C4-28A529D5106A}" name="Column2672" dataDxfId="13682"/>
    <tableColumn id="2721" xr3:uid="{AA4103FB-CDC9-41BE-8E0E-630DD14969B4}" name="Column2673" dataDxfId="13681"/>
    <tableColumn id="2722" xr3:uid="{D726252B-B9F1-4461-BC19-6D923D3B0E17}" name="Column2674" dataDxfId="13680"/>
    <tableColumn id="2723" xr3:uid="{82867C45-27A2-4F57-BB56-D42BD434AF8D}" name="Column2675" dataDxfId="13679"/>
    <tableColumn id="2724" xr3:uid="{4D47F008-50CF-4470-A988-739B19966DF1}" name="Column2676" dataDxfId="13678"/>
    <tableColumn id="2725" xr3:uid="{867388FA-B44D-4366-9660-88BC4433DF72}" name="Column2677" dataDxfId="13677"/>
    <tableColumn id="2726" xr3:uid="{C01FF330-E911-434B-9114-77748A560432}" name="Column2678" dataDxfId="13676"/>
    <tableColumn id="2727" xr3:uid="{A88493A8-B605-4B5A-8AD3-18A158084378}" name="Column2679" dataDxfId="13675"/>
    <tableColumn id="2728" xr3:uid="{E2AABD32-AB11-4136-9553-05E8DEC26BE8}" name="Column2680" dataDxfId="13674"/>
    <tableColumn id="2729" xr3:uid="{B719888B-0A9B-478A-9E31-A38636654B52}" name="Column2681" dataDxfId="13673"/>
    <tableColumn id="2730" xr3:uid="{CFF1DE4A-D988-4B08-9B24-BAB94DBCC92A}" name="Column2682" dataDxfId="13672"/>
    <tableColumn id="2731" xr3:uid="{B6B90895-C20E-4C4D-B82B-9F8F53348198}" name="Column2683" dataDxfId="13671"/>
    <tableColumn id="2732" xr3:uid="{BBEB2F95-417C-41F7-9525-5E61AAAB6590}" name="Column2684" dataDxfId="13670"/>
    <tableColumn id="2733" xr3:uid="{321A623F-A0BC-4F72-AF16-049E2CEE88F1}" name="Column2685" dataDxfId="13669"/>
    <tableColumn id="2734" xr3:uid="{FF140EF9-A41E-4C00-B158-59ED0D57E4EC}" name="Column2686" dataDxfId="13668"/>
    <tableColumn id="2735" xr3:uid="{A338E7B2-9215-466F-ACAB-5FB984862283}" name="Column2687" dataDxfId="13667"/>
    <tableColumn id="2736" xr3:uid="{D940EF6E-C280-4892-8270-EA801C369D25}" name="Column2688" dataDxfId="13666"/>
    <tableColumn id="2737" xr3:uid="{BA01E4DD-DB62-4660-A2ED-8E77A026A77A}" name="Column2689" dataDxfId="13665"/>
    <tableColumn id="2738" xr3:uid="{31E490B3-8D9F-4265-A0D0-5BB5ABA015CB}" name="Column2690" dataDxfId="13664"/>
    <tableColumn id="2739" xr3:uid="{A94EE789-7EA4-416B-885C-3A232D75C1C4}" name="Column2691" dataDxfId="13663"/>
    <tableColumn id="2740" xr3:uid="{D9D27361-AF3E-4932-AA5D-9FCA91E37459}" name="Column2692" dataDxfId="13662"/>
    <tableColumn id="2741" xr3:uid="{CFD30CE5-599C-4861-84D6-85CFD19758DF}" name="Column2693" dataDxfId="13661"/>
    <tableColumn id="2742" xr3:uid="{90C7CCDF-D0D2-49DA-9102-160366F1081F}" name="Column2694" dataDxfId="13660"/>
    <tableColumn id="2743" xr3:uid="{A026DBEF-E603-44AC-8D1B-5630C6B0F222}" name="Column2695" dataDxfId="13659"/>
    <tableColumn id="2744" xr3:uid="{0F97B878-2CDE-4409-ABF2-92A94838EE72}" name="Column2696" dataDxfId="13658"/>
    <tableColumn id="2745" xr3:uid="{B9900949-83DD-480C-855A-2CEBC7657B25}" name="Column2697" dataDxfId="13657"/>
    <tableColumn id="2746" xr3:uid="{21AB3A40-E4B1-4AC9-A9DE-3AE7F957CA16}" name="Column2698" dataDxfId="13656"/>
    <tableColumn id="2747" xr3:uid="{B8092F97-E5C1-4F26-89A7-768CA6D1B8B0}" name="Column2699" dataDxfId="13655"/>
    <tableColumn id="2748" xr3:uid="{585B2102-2E3F-4FC6-B667-52B599089463}" name="Column2700" dataDxfId="13654"/>
    <tableColumn id="2749" xr3:uid="{42D505C4-DD98-4462-AEB2-595D32F85E9A}" name="Column2701" dataDxfId="13653"/>
    <tableColumn id="2750" xr3:uid="{F68729AE-61A2-49AA-9BC7-93017DC9FE77}" name="Column2702" dataDxfId="13652"/>
    <tableColumn id="2751" xr3:uid="{5DC43ABA-098C-4F74-B8A0-35414E938580}" name="Column2703" dataDxfId="13651"/>
    <tableColumn id="2752" xr3:uid="{99A1F598-7729-479F-BE9A-8D077F472A86}" name="Column2704" dataDxfId="13650"/>
    <tableColumn id="2753" xr3:uid="{F8084C11-0024-4FCC-9203-493F5C620BA3}" name="Column2705" dataDxfId="13649"/>
    <tableColumn id="2754" xr3:uid="{6D8BD068-BDAF-4706-8545-6FEC5EC42FB2}" name="Column2706" dataDxfId="13648"/>
    <tableColumn id="2755" xr3:uid="{0D1B72CD-B91E-46E5-A4D9-7BFBDEE2343A}" name="Column2707" dataDxfId="13647"/>
    <tableColumn id="2756" xr3:uid="{999898B0-5A8F-4DAD-A957-1DDCC4C8042A}" name="Column2708" dataDxfId="13646"/>
    <tableColumn id="2757" xr3:uid="{AD52776E-FEEB-49D0-9B1D-892D7B16F2D3}" name="Column2709" dataDxfId="13645"/>
    <tableColumn id="2758" xr3:uid="{86D4F171-4AF7-41C3-A3B5-856AD373B998}" name="Column2710" dataDxfId="13644"/>
    <tableColumn id="2759" xr3:uid="{C2F314BA-A604-4474-A875-8A376454FE75}" name="Column2711" dataDxfId="13643"/>
    <tableColumn id="2760" xr3:uid="{36C0777A-ADDF-4934-AFB4-C4C4989CE839}" name="Column2712" dataDxfId="13642"/>
    <tableColumn id="2761" xr3:uid="{12ECAFF0-DE65-48BE-87E3-71B3331F976F}" name="Column2713" dataDxfId="13641"/>
    <tableColumn id="2762" xr3:uid="{CAF5CF6C-F67E-41DF-A4B1-4DC6DD81BF7E}" name="Column2714" dataDxfId="13640"/>
    <tableColumn id="2763" xr3:uid="{8CB2DA34-7C33-4352-8DAF-A9660B8CE27E}" name="Column2715" dataDxfId="13639"/>
    <tableColumn id="2764" xr3:uid="{EA53128B-B862-4748-A22F-4D864F3F9130}" name="Column2716" dataDxfId="13638"/>
    <tableColumn id="2765" xr3:uid="{D809E712-FD4D-49D7-8D33-D5ED9397D44C}" name="Column2717" dataDxfId="13637"/>
    <tableColumn id="2766" xr3:uid="{15EDF13C-7D4C-41A1-9D4C-932C15C73632}" name="Column2718" dataDxfId="13636"/>
    <tableColumn id="2767" xr3:uid="{5B65D3E6-3E18-4888-B678-9CD0917B64D0}" name="Column2719" dataDxfId="13635"/>
    <tableColumn id="2768" xr3:uid="{8094659C-EA72-4CE4-9B91-5D6B101C4BC0}" name="Column2720" dataDxfId="13634"/>
    <tableColumn id="2769" xr3:uid="{DB52CF5F-657E-4837-B137-AF2CB1B4B6CA}" name="Column2721" dataDxfId="13633"/>
    <tableColumn id="2770" xr3:uid="{98E24B33-F19F-4CDD-96A2-4142A47774A9}" name="Column2722" dataDxfId="13632"/>
    <tableColumn id="2771" xr3:uid="{6E690DA3-AAE6-46ED-93F1-2059D841CF8E}" name="Column2723" dataDxfId="13631"/>
    <tableColumn id="2772" xr3:uid="{9F619301-75BA-4FEF-AC56-2BE989CE588F}" name="Column2724" dataDxfId="13630"/>
    <tableColumn id="2773" xr3:uid="{4A78DFC8-1944-463B-A7C7-7BF8635A971C}" name="Column2725" dataDxfId="13629"/>
    <tableColumn id="2774" xr3:uid="{7C1355CA-F10C-4AD7-A1C9-45EF14AF816B}" name="Column2726" dataDxfId="13628"/>
    <tableColumn id="2775" xr3:uid="{80C2F9EC-562F-42B4-85FE-EB62C604CE05}" name="Column2727" dataDxfId="13627"/>
    <tableColumn id="2776" xr3:uid="{D28948B7-3825-49C1-9501-DD4040573EC1}" name="Column2728" dataDxfId="13626"/>
    <tableColumn id="2777" xr3:uid="{8B695442-C590-4906-B671-2BDE547246E0}" name="Column2729" dataDxfId="13625"/>
    <tableColumn id="2778" xr3:uid="{33054708-653E-4393-838E-D3BF70731639}" name="Column2730" dataDxfId="13624"/>
    <tableColumn id="2779" xr3:uid="{4F7C9ECE-7721-440E-8F6F-9481CC735946}" name="Column2731" dataDxfId="13623"/>
    <tableColumn id="2780" xr3:uid="{06C532A9-AF97-4274-A156-C22F0576A338}" name="Column2732" dataDxfId="13622"/>
    <tableColumn id="2781" xr3:uid="{6958ADAF-A1AC-4654-9D2D-7990384CB33B}" name="Column2733" dataDxfId="13621"/>
    <tableColumn id="2782" xr3:uid="{A868E5A4-664A-4C8C-B87B-F46E9F4EF1CD}" name="Column2734" dataDxfId="13620"/>
    <tableColumn id="2783" xr3:uid="{864E034B-A470-4BC8-9A3E-B2A69FFA4809}" name="Column2735" dataDxfId="13619"/>
    <tableColumn id="2784" xr3:uid="{F84E04D6-3838-4A9D-A4A1-8CF6A46A7C26}" name="Column2736" dataDxfId="13618"/>
    <tableColumn id="2785" xr3:uid="{9FB85FE3-BE09-4582-9D20-E19A1D2EBCA8}" name="Column2737" dataDxfId="13617"/>
    <tableColumn id="2786" xr3:uid="{2A230C28-91DC-4F97-8695-AEC1BCD8AC74}" name="Column2738" dataDxfId="13616"/>
    <tableColumn id="2787" xr3:uid="{70916905-D706-4542-927D-6E443B37AA9A}" name="Column2739" dataDxfId="13615"/>
    <tableColumn id="2788" xr3:uid="{CDF4D185-5AAE-46D4-A4F5-F964F3F78A3E}" name="Column2740" dataDxfId="13614"/>
    <tableColumn id="2789" xr3:uid="{299CC535-89E4-4CDF-AA57-2971D7C27C93}" name="Column2741" dataDxfId="13613"/>
    <tableColumn id="2790" xr3:uid="{EE7CB11F-22F8-42CB-B533-819B59C7CF6A}" name="Column2742" dataDxfId="13612"/>
    <tableColumn id="2791" xr3:uid="{4C2DDEE8-9C4F-45B9-BE5F-9BA1AB912EB3}" name="Column2743" dataDxfId="13611"/>
    <tableColumn id="2792" xr3:uid="{CF772752-EFDE-48CB-B21F-61040F376E02}" name="Column2744" dataDxfId="13610"/>
    <tableColumn id="2793" xr3:uid="{68B650AB-4E4C-4AC2-AF94-B9B0084FDFC6}" name="Column2745" dataDxfId="13609"/>
    <tableColumn id="2794" xr3:uid="{F3CFCFAD-B0E4-45C1-965D-BB2E528285A4}" name="Column2746" dataDxfId="13608"/>
    <tableColumn id="2795" xr3:uid="{5A0865B7-EBF2-46D3-A225-F1F7E1E0A2C4}" name="Column2747" dataDxfId="13607"/>
    <tableColumn id="2796" xr3:uid="{A79CC971-C8D9-4C49-B59B-D0278B8B2E6F}" name="Column2748" dataDxfId="13606"/>
    <tableColumn id="2797" xr3:uid="{8A1AC445-8898-4816-A56C-3AC2FE7E17DA}" name="Column2749" dataDxfId="13605"/>
    <tableColumn id="2798" xr3:uid="{C38C674F-736F-4788-8C9E-355FD8F2B1A5}" name="Column2750" dataDxfId="13604"/>
    <tableColumn id="2799" xr3:uid="{74BD36FC-5E7B-42A9-89A7-08594E15543B}" name="Column2751" dataDxfId="13603"/>
    <tableColumn id="2800" xr3:uid="{D852A5E8-5BAC-40FC-9412-9F2930B6E1D5}" name="Column2752" dataDxfId="13602"/>
    <tableColumn id="2801" xr3:uid="{8FCF6D9C-D092-4C95-9C04-2B6728824272}" name="Column2753" dataDxfId="13601"/>
    <tableColumn id="2802" xr3:uid="{E565B228-5DC3-41AD-872C-6B9340A5FE57}" name="Column2754" dataDxfId="13600"/>
    <tableColumn id="2803" xr3:uid="{D4CFFB86-2854-49B4-A262-A5B0C1CD2F82}" name="Column2755" dataDxfId="13599"/>
    <tableColumn id="2804" xr3:uid="{87CAD37F-D1AA-4BD9-A971-76A07A0F0DD3}" name="Column2756" dataDxfId="13598"/>
    <tableColumn id="2805" xr3:uid="{34360670-DC19-42D9-A57C-94739145086E}" name="Column2757" dataDxfId="13597"/>
    <tableColumn id="2806" xr3:uid="{A1047DC8-FC4F-455D-8EFF-204538C970BD}" name="Column2758" dataDxfId="13596"/>
    <tableColumn id="2807" xr3:uid="{CA44108A-420D-4B65-A6DE-4644355677AC}" name="Column2759" dataDxfId="13595"/>
    <tableColumn id="2808" xr3:uid="{70C8138E-240C-42EB-8757-6ED0B585347A}" name="Column2760" dataDxfId="13594"/>
    <tableColumn id="2809" xr3:uid="{561819C6-521A-4822-A776-AC3D6AED8C0C}" name="Column2761" dataDxfId="13593"/>
    <tableColumn id="2810" xr3:uid="{FC3F3EE2-8480-40E3-BF5E-B4D2053E9BA8}" name="Column2762" dataDxfId="13592"/>
    <tableColumn id="2811" xr3:uid="{6E6C9DDD-14A7-42A8-BF76-984EA36F1DC2}" name="Column2763" dataDxfId="13591"/>
    <tableColumn id="2812" xr3:uid="{263E434D-0899-4571-AEEF-EF27950535FA}" name="Column2764" dataDxfId="13590"/>
    <tableColumn id="2813" xr3:uid="{F839129F-4737-4F55-AA06-0495E4281662}" name="Column2765" dataDxfId="13589"/>
    <tableColumn id="2814" xr3:uid="{D3A12679-99A8-42E0-9A39-4C4722404A0B}" name="Column2766" dataDxfId="13588"/>
    <tableColumn id="2815" xr3:uid="{CAFCEE44-ECF9-49AF-853A-EF159D7FBD5A}" name="Column2767" dataDxfId="13587"/>
    <tableColumn id="2816" xr3:uid="{DF06D891-16D8-4F61-8C7A-23F005F2483E}" name="Column2768" dataDxfId="13586"/>
    <tableColumn id="2817" xr3:uid="{7C75504E-A5DB-4A76-8DF8-CDFF1871753C}" name="Column2769" dataDxfId="13585"/>
    <tableColumn id="2818" xr3:uid="{A9A5E777-2ED4-4301-8579-39C117731B4A}" name="Column2770" dataDxfId="13584"/>
    <tableColumn id="2819" xr3:uid="{3642C5B4-26B3-4A9A-AD03-03408119AB75}" name="Column2771" dataDxfId="13583"/>
    <tableColumn id="2820" xr3:uid="{FD53E38E-ACE4-42DA-B810-315E4B22B3A3}" name="Column2772" dataDxfId="13582"/>
    <tableColumn id="2821" xr3:uid="{1EE0758F-2CFC-4F97-9018-1D4AC683A994}" name="Column2773" dataDxfId="13581"/>
    <tableColumn id="2822" xr3:uid="{97D9ACA0-E580-48C9-BD03-F016BDFB3789}" name="Column2774" dataDxfId="13580"/>
    <tableColumn id="2823" xr3:uid="{3FE7FFC8-34AD-4C74-BBA4-BB977BD48CAE}" name="Column2775" dataDxfId="13579"/>
    <tableColumn id="2824" xr3:uid="{98CC1FE7-678C-4CF9-BC40-8E8EBF3338E6}" name="Column2776" dataDxfId="13578"/>
    <tableColumn id="2825" xr3:uid="{4A8F111A-9747-4163-BC4E-9867150E6302}" name="Column2777" dataDxfId="13577"/>
    <tableColumn id="2826" xr3:uid="{DA78457B-61B1-4376-86AA-19E89F48A387}" name="Column2778" dataDxfId="13576"/>
    <tableColumn id="2827" xr3:uid="{ADF2B654-EECF-459E-B8D0-D839F5440B08}" name="Column2779" dataDxfId="13575"/>
    <tableColumn id="2828" xr3:uid="{6001B060-4C76-4748-B91D-F000AE5682E3}" name="Column2780" dataDxfId="13574"/>
    <tableColumn id="2829" xr3:uid="{E3648A82-F5A4-4C25-93C3-40E302263F4E}" name="Column2781" dataDxfId="13573"/>
    <tableColumn id="2830" xr3:uid="{586577D4-C0AF-4E21-ACB2-C850B010EE29}" name="Column2782" dataDxfId="13572"/>
    <tableColumn id="2831" xr3:uid="{FECFA516-0DA4-4264-8661-11FF7602B109}" name="Column2783" dataDxfId="13571"/>
    <tableColumn id="2832" xr3:uid="{576F18F2-79FC-40FD-ABF2-B535D4C8C280}" name="Column2784" dataDxfId="13570"/>
    <tableColumn id="2833" xr3:uid="{AB6DF338-ED6A-4279-82E5-9F4FF570448C}" name="Column2785" dataDxfId="13569"/>
    <tableColumn id="2834" xr3:uid="{4DEDA8FD-5A70-4A65-99A6-61D302F34399}" name="Column2786" dataDxfId="13568"/>
    <tableColumn id="2835" xr3:uid="{53969989-AEF0-4BB9-BB23-3DB3E986B54E}" name="Column2787" dataDxfId="13567"/>
    <tableColumn id="2836" xr3:uid="{43CB644C-2C26-431B-A497-51CA46B259D1}" name="Column2788" dataDxfId="13566"/>
    <tableColumn id="2837" xr3:uid="{4F4904AE-3BF3-4ABB-B065-051C27C2AB5B}" name="Column2789" dataDxfId="13565"/>
    <tableColumn id="2838" xr3:uid="{BC81693B-249D-4299-B1F4-F6E814B0E025}" name="Column2790" dataDxfId="13564"/>
    <tableColumn id="2839" xr3:uid="{93842A37-D226-4785-A65F-3E40E89A3E63}" name="Column2791" dataDxfId="13563"/>
    <tableColumn id="2840" xr3:uid="{86E0705E-91DF-4A78-8F28-AA32712CDB2E}" name="Column2792" dataDxfId="13562"/>
    <tableColumn id="2841" xr3:uid="{FEBADE29-2F44-4FEE-9C93-8FEA5B8A554D}" name="Column2793" dataDxfId="13561"/>
    <tableColumn id="2842" xr3:uid="{9C0830F0-DDA4-488B-9FAB-890CDE170030}" name="Column2794" dataDxfId="13560"/>
    <tableColumn id="2843" xr3:uid="{5AE54C77-DC14-4712-8A41-7C114C6855A0}" name="Column2795" dataDxfId="13559"/>
    <tableColumn id="2844" xr3:uid="{3B4AAC38-4C8B-4864-82CD-F2C0CC13B26B}" name="Column2796" dataDxfId="13558"/>
    <tableColumn id="2845" xr3:uid="{91EB27B4-3305-4F50-B83D-CC7DA4186060}" name="Column2797" dataDxfId="13557"/>
    <tableColumn id="2846" xr3:uid="{A56701EC-4C2C-42F9-8655-757006889F0F}" name="Column2798" dataDxfId="13556"/>
    <tableColumn id="2847" xr3:uid="{DF870DAC-9187-439A-B112-6AD948EF5A98}" name="Column2799" dataDxfId="13555"/>
    <tableColumn id="2848" xr3:uid="{33863C92-B776-4E1C-8C12-FE7D7F472FDC}" name="Column2800" dataDxfId="13554"/>
    <tableColumn id="2849" xr3:uid="{EDC49E4E-F28C-4508-B8DF-A2490DC0984A}" name="Column2801" dataDxfId="13553"/>
    <tableColumn id="2850" xr3:uid="{1A418568-C22A-4D79-91B5-C18608D59F14}" name="Column2802" dataDxfId="13552"/>
    <tableColumn id="2851" xr3:uid="{7C69FD4E-FC8D-4D29-8155-6C810AAD0131}" name="Column2803" dataDxfId="13551"/>
    <tableColumn id="2852" xr3:uid="{76074596-0CF1-4258-BBEA-81BC49809ED7}" name="Column2804" dataDxfId="13550"/>
    <tableColumn id="2853" xr3:uid="{967C506C-4CE2-49BE-B6A6-C2C947DBAF68}" name="Column2805" dataDxfId="13549"/>
    <tableColumn id="2854" xr3:uid="{E52A2985-D024-433D-A1CB-127C21046200}" name="Column2806" dataDxfId="13548"/>
    <tableColumn id="2855" xr3:uid="{75E14B05-8F07-4323-BDD5-D63AEF4DCFB3}" name="Column2807" dataDxfId="13547"/>
    <tableColumn id="2856" xr3:uid="{9E86C809-7172-4AA5-9175-B73F38F888D3}" name="Column2808" dataDxfId="13546"/>
    <tableColumn id="2857" xr3:uid="{966C4E57-9A4F-4D99-B8F4-322BE00F7AED}" name="Column2809" dataDxfId="13545"/>
    <tableColumn id="2858" xr3:uid="{6DB6A8EC-6701-41FB-A80A-8321154FFA53}" name="Column2810" dataDxfId="13544"/>
    <tableColumn id="2859" xr3:uid="{C97C0C66-CDA0-4A5C-B88B-5EC7E42E8F5E}" name="Column2811" dataDxfId="13543"/>
    <tableColumn id="2860" xr3:uid="{90FB103A-7F26-4604-A8F3-270557AED086}" name="Column2812" dataDxfId="13542"/>
    <tableColumn id="2861" xr3:uid="{31C8537B-496F-4281-AC21-0FDBAAB5E235}" name="Column2813" dataDxfId="13541"/>
    <tableColumn id="2862" xr3:uid="{F69CFA23-CB79-4865-A572-1C7F38ADDC7B}" name="Column2814" dataDxfId="13540"/>
    <tableColumn id="2863" xr3:uid="{71FE5485-1363-4B70-B037-436908140767}" name="Column2815" dataDxfId="13539"/>
    <tableColumn id="2864" xr3:uid="{42BA7D76-6538-49C1-A885-E972E7137702}" name="Column2816" dataDxfId="13538"/>
    <tableColumn id="2865" xr3:uid="{18D4F72C-7FEC-4672-A6EF-E83B8D27F29E}" name="Column2817" dataDxfId="13537"/>
    <tableColumn id="2866" xr3:uid="{4598509D-C960-425C-ADF9-21E3754FE14D}" name="Column2818" dataDxfId="13536"/>
    <tableColumn id="2867" xr3:uid="{17754ABB-56BF-4A8D-A78F-7C3F3E3AEF72}" name="Column2819" dataDxfId="13535"/>
    <tableColumn id="2868" xr3:uid="{ECBFB96F-55B4-40D3-AF42-3CF568901A48}" name="Column2820" dataDxfId="13534"/>
    <tableColumn id="2869" xr3:uid="{EAD39D6A-6104-4C04-9397-5A756660ED48}" name="Column2821" dataDxfId="13533"/>
    <tableColumn id="2870" xr3:uid="{3D8ADA11-6B69-4182-BEB4-D739D5A4F18D}" name="Column2822" dataDxfId="13532"/>
    <tableColumn id="2871" xr3:uid="{E8D157AF-D287-4C4C-B77D-2C3EBBFE5C35}" name="Column2823" dataDxfId="13531"/>
    <tableColumn id="2872" xr3:uid="{8AC453F1-D330-4750-8E9F-EC96DE046133}" name="Column2824" dataDxfId="13530"/>
    <tableColumn id="2873" xr3:uid="{1A228DB7-7115-4EC8-8882-5DBC3C86EB7A}" name="Column2825" dataDxfId="13529"/>
    <tableColumn id="2874" xr3:uid="{7F28CA2E-E0FB-4B0D-853B-ED1185E7BC9E}" name="Column2826" dataDxfId="13528"/>
    <tableColumn id="2875" xr3:uid="{37D4A1DA-B207-4575-8D05-DD8A9A88AEB7}" name="Column2827" dataDxfId="13527"/>
    <tableColumn id="2876" xr3:uid="{B74B11F3-1552-4166-A7BA-635AD4E19189}" name="Column2828" dataDxfId="13526"/>
    <tableColumn id="2877" xr3:uid="{5350BE99-42B6-41C7-8765-6F3970507483}" name="Column2829" dataDxfId="13525"/>
    <tableColumn id="2878" xr3:uid="{542FE8BE-8266-4264-B2F5-8D5545914F55}" name="Column2830" dataDxfId="13524"/>
    <tableColumn id="2879" xr3:uid="{99C850EA-3F80-4B38-AAE5-67E70D0EE1C4}" name="Column2831" dataDxfId="13523"/>
    <tableColumn id="2880" xr3:uid="{7FAA7B43-E70A-49D5-9E26-0E286D7A8070}" name="Column2832" dataDxfId="13522"/>
    <tableColumn id="2881" xr3:uid="{44ADF398-4FF9-49A6-95FA-92EC83F4E1CB}" name="Column2833" dataDxfId="13521"/>
    <tableColumn id="2882" xr3:uid="{FFFCC476-0E76-4854-9C42-6BA9315A20B2}" name="Column2834" dataDxfId="13520"/>
    <tableColumn id="2883" xr3:uid="{3B95F999-9880-46E2-A5DD-0E8A55ED6227}" name="Column2835" dataDxfId="13519"/>
    <tableColumn id="2884" xr3:uid="{BC254DC9-636B-4B3C-8CE0-764075EE52EF}" name="Column2836" dataDxfId="13518"/>
    <tableColumn id="2885" xr3:uid="{AD0F6AC5-C225-4D83-B5EC-8EFA9EA107E9}" name="Column2837" dataDxfId="13517"/>
    <tableColumn id="2886" xr3:uid="{2C1B9BCB-CC9A-4602-9987-9C88D9014B9F}" name="Column2838" dataDxfId="13516"/>
    <tableColumn id="2887" xr3:uid="{5B3CC700-61D2-48D5-BA9F-B004FDA2CE92}" name="Column2839" dataDxfId="13515"/>
    <tableColumn id="2888" xr3:uid="{97553DA8-5121-49CD-8AFC-A872EE35D00D}" name="Column2840" dataDxfId="13514"/>
    <tableColumn id="2889" xr3:uid="{CB69B65D-BE0E-4BC4-8461-505986C4AF06}" name="Column2841" dataDxfId="13513"/>
    <tableColumn id="2890" xr3:uid="{9A71FAC6-6B8B-419F-8956-6631208134BA}" name="Column2842" dataDxfId="13512"/>
    <tableColumn id="2891" xr3:uid="{329763ED-2B37-4556-8544-5D4150E0C04F}" name="Column2843" dataDxfId="13511"/>
    <tableColumn id="2892" xr3:uid="{91C7905B-CCDA-4B37-BE03-94B043DAF6DD}" name="Column2844" dataDxfId="13510"/>
    <tableColumn id="2893" xr3:uid="{B30E0445-D1F2-4FD3-8265-4C8337AACB7F}" name="Column2845" dataDxfId="13509"/>
    <tableColumn id="2894" xr3:uid="{A9EA5213-42B4-4245-B752-46C349A24043}" name="Column2846" dataDxfId="13508"/>
    <tableColumn id="2895" xr3:uid="{75C05921-7984-4F92-9164-7939CCBC4594}" name="Column2847" dataDxfId="13507"/>
    <tableColumn id="2896" xr3:uid="{DDCE3D0B-EDC7-4478-830E-82AC9BE45CD8}" name="Column2848" dataDxfId="13506"/>
    <tableColumn id="2897" xr3:uid="{D87ABC87-4AD2-436A-B28F-D6664C544B47}" name="Column2849" dataDxfId="13505"/>
    <tableColumn id="2898" xr3:uid="{B490415A-AEFE-4EC9-8800-DF96F57EB388}" name="Column2850" dataDxfId="13504"/>
    <tableColumn id="2899" xr3:uid="{53706E8C-1495-41FC-A7F5-5049CBD4358E}" name="Column2851" dataDxfId="13503"/>
    <tableColumn id="2900" xr3:uid="{2CAEB307-3B25-42F4-835D-92D39818065D}" name="Column2852" dataDxfId="13502"/>
    <tableColumn id="2901" xr3:uid="{9CC329AE-7457-4694-BB12-7B57195DD234}" name="Column2853" dataDxfId="13501"/>
    <tableColumn id="2902" xr3:uid="{9F4B823E-3E08-4145-8711-93BDC74B8876}" name="Column2854" dataDxfId="13500"/>
    <tableColumn id="2903" xr3:uid="{EE2106D5-2BC7-4816-A7CB-25876435D30B}" name="Column2855" dataDxfId="13499"/>
    <tableColumn id="2904" xr3:uid="{A494D2EE-0341-4C61-BD48-CAC964A7F57D}" name="Column2856" dataDxfId="13498"/>
    <tableColumn id="2905" xr3:uid="{C99BC4C8-1E6B-4201-A3EC-A4A4F99CFDE7}" name="Column2857" dataDxfId="13497"/>
    <tableColumn id="2906" xr3:uid="{696223EC-7394-4066-8101-1E24DC332B38}" name="Column2858" dataDxfId="13496"/>
    <tableColumn id="2907" xr3:uid="{0FAE1416-0D8B-42C4-B02D-878FAA2B3DE9}" name="Column2859" dataDxfId="13495"/>
    <tableColumn id="2908" xr3:uid="{CCD2FDB2-A49F-46CD-80C4-7AFD98585200}" name="Column2860" dataDxfId="13494"/>
    <tableColumn id="2909" xr3:uid="{DF11DB01-FB42-4391-98A2-8D29DD64EF5D}" name="Column2861" dataDxfId="13493"/>
    <tableColumn id="2910" xr3:uid="{E7D6BB40-2F36-4EE8-AEDB-E9A2B8F8EAE4}" name="Column2862" dataDxfId="13492"/>
    <tableColumn id="2911" xr3:uid="{CE6AE4C3-BAF0-46AC-91F4-84C8B71FF7F5}" name="Column2863" dataDxfId="13491"/>
    <tableColumn id="2912" xr3:uid="{43D612F7-E436-40AB-A268-B63EA9FA5FC9}" name="Column2864" dataDxfId="13490"/>
    <tableColumn id="2913" xr3:uid="{BBA89C35-1EED-4355-A736-B78CBAF9CD3A}" name="Column2865" dataDxfId="13489"/>
    <tableColumn id="2914" xr3:uid="{25F6E4B6-56E8-4F68-9D28-DF8049E2FF76}" name="Column2866" dataDxfId="13488"/>
    <tableColumn id="2915" xr3:uid="{07DE820F-C225-4541-B1AA-EC3F5E5A804F}" name="Column2867" dataDxfId="13487"/>
    <tableColumn id="2916" xr3:uid="{715D0E3C-A1E3-405E-A2BE-91A04004D8FD}" name="Column2868" dataDxfId="13486"/>
    <tableColumn id="2917" xr3:uid="{3344395E-17ED-44F4-A556-8FB59BF3073B}" name="Column2869" dataDxfId="13485"/>
    <tableColumn id="2918" xr3:uid="{67415065-0816-4891-97E9-1E25F49561E2}" name="Column2870" dataDxfId="13484"/>
    <tableColumn id="2919" xr3:uid="{513079A6-55D1-473C-A125-4001614B5181}" name="Column2871" dataDxfId="13483"/>
    <tableColumn id="2920" xr3:uid="{7D64DAEA-2D13-48E1-A36D-B72088429FAA}" name="Column2872" dataDxfId="13482"/>
    <tableColumn id="2921" xr3:uid="{7B7E8D53-87D5-4CA2-9B21-2E6BBAE9AA95}" name="Column2873" dataDxfId="13481"/>
    <tableColumn id="2922" xr3:uid="{73A0804D-C046-4595-9042-4F16613C3DD0}" name="Column2874" dataDxfId="13480"/>
    <tableColumn id="2923" xr3:uid="{02D06D6B-566B-43C8-891B-9BC09241706F}" name="Column2875" dataDxfId="13479"/>
    <tableColumn id="2924" xr3:uid="{4E558E4B-2571-4603-B824-D646C6FF0E8E}" name="Column2876" dataDxfId="13478"/>
    <tableColumn id="2925" xr3:uid="{048A379F-13DB-445A-B61E-FB16E1DE511A}" name="Column2877" dataDxfId="13477"/>
    <tableColumn id="2926" xr3:uid="{09844590-9A58-48C5-BEF1-8933BECC1A54}" name="Column2878" dataDxfId="13476"/>
    <tableColumn id="2927" xr3:uid="{7F9BA3B8-133C-41B6-996A-778DE7BD614B}" name="Column2879" dataDxfId="13475"/>
    <tableColumn id="2928" xr3:uid="{2A97A92A-E648-45FC-A7C1-BBE6E2EE5150}" name="Column2880" dataDxfId="13474"/>
    <tableColumn id="2929" xr3:uid="{C8F6DB72-B00F-423F-8A77-934E72B59FEF}" name="Column2881" dataDxfId="13473"/>
    <tableColumn id="2930" xr3:uid="{A7231312-4807-4AF8-BD36-DCA24FDE47BA}" name="Column2882" dataDxfId="13472"/>
    <tableColumn id="2931" xr3:uid="{9F8B8A5F-0F48-4ADA-9B4A-214A40293732}" name="Column2883" dataDxfId="13471"/>
    <tableColumn id="2932" xr3:uid="{6C7DE977-BF8D-401F-8537-27138197FD3E}" name="Column2884" dataDxfId="13470"/>
    <tableColumn id="2933" xr3:uid="{358A811D-3805-464F-96D3-5FB7792FD436}" name="Column2885" dataDxfId="13469"/>
    <tableColumn id="2934" xr3:uid="{BD10D695-2624-40CB-BFC3-6F433D9510DE}" name="Column2886" dataDxfId="13468"/>
    <tableColumn id="2935" xr3:uid="{CB30E98B-C7AB-4863-8797-E7338DEEF7CA}" name="Column2887" dataDxfId="13467"/>
    <tableColumn id="2936" xr3:uid="{312B59E3-71E5-4E3A-A229-A978ACE0D5D5}" name="Column2888" dataDxfId="13466"/>
    <tableColumn id="2937" xr3:uid="{139A74E7-88AA-42B6-B504-F22B0ABFE972}" name="Column2889" dataDxfId="13465"/>
    <tableColumn id="2938" xr3:uid="{FCB102F5-310D-43BF-B3B7-166F93C246BD}" name="Column2890" dataDxfId="13464"/>
    <tableColumn id="2939" xr3:uid="{52F982F9-A8F8-4900-B5A1-B7955D0E86CF}" name="Column2891" dataDxfId="13463"/>
    <tableColumn id="2940" xr3:uid="{F714F42F-F9F5-4736-8A6E-82FFE4664FE9}" name="Column2892" dataDxfId="13462"/>
    <tableColumn id="2941" xr3:uid="{11ABBE68-E320-4C67-B043-F97B75E13014}" name="Column2893" dataDxfId="13461"/>
    <tableColumn id="2942" xr3:uid="{FE192008-2845-4153-AB79-A3D9C60F4B96}" name="Column2894" dataDxfId="13460"/>
    <tableColumn id="2943" xr3:uid="{A5A0AB27-7A3D-4825-A3B2-9CD1B1B7539D}" name="Column2895" dataDxfId="13459"/>
    <tableColumn id="2944" xr3:uid="{8A230EDA-C11D-4648-A9D3-C4BAB6CEF94B}" name="Column2896" dataDxfId="13458"/>
    <tableColumn id="2945" xr3:uid="{85235CE6-C694-4D39-BE82-623F925EE065}" name="Column2897" dataDxfId="13457"/>
    <tableColumn id="2946" xr3:uid="{77D25805-BCD3-4744-AE4A-58544D2A07C0}" name="Column2898" dataDxfId="13456"/>
    <tableColumn id="2947" xr3:uid="{05D2C6A5-C63C-4F18-984A-F26733275BA5}" name="Column2899" dataDxfId="13455"/>
    <tableColumn id="2948" xr3:uid="{254D0FCE-5CC6-46D9-B4B6-4A051506436F}" name="Column2900" dataDxfId="13454"/>
    <tableColumn id="2949" xr3:uid="{3610B8F4-9D67-4A60-8E56-D3EABF8D5F9D}" name="Column2901" dataDxfId="13453"/>
    <tableColumn id="2950" xr3:uid="{6AB12FF4-0E75-4125-BA89-F05A56BA78BC}" name="Column2902" dataDxfId="13452"/>
    <tableColumn id="2951" xr3:uid="{101B5FA1-352D-4E9B-99CC-DF1E7849EC68}" name="Column2903" dataDxfId="13451"/>
    <tableColumn id="2952" xr3:uid="{362AC7C6-21DB-4DB6-9D11-A015FCEE2869}" name="Column2904" dataDxfId="13450"/>
    <tableColumn id="2953" xr3:uid="{6C756757-D2C9-494B-83BB-62C956E9A769}" name="Column2905" dataDxfId="13449"/>
    <tableColumn id="2954" xr3:uid="{D426AAA4-BD14-4B0D-9AE3-8B2C65318FB0}" name="Column2906" dataDxfId="13448"/>
    <tableColumn id="2955" xr3:uid="{EDEAEE54-D339-40EE-B858-103C58850BC7}" name="Column2907" dataDxfId="13447"/>
    <tableColumn id="2956" xr3:uid="{BF8C982A-D11F-4980-9E4B-7037EEAEB986}" name="Column2908" dataDxfId="13446"/>
    <tableColumn id="2957" xr3:uid="{C3D44C37-0547-4D48-8BF7-EE591435F5D3}" name="Column2909" dataDxfId="13445"/>
    <tableColumn id="2958" xr3:uid="{A8F7BCDC-6B28-4FE7-A24C-C5A15F098887}" name="Column2910" dataDxfId="13444"/>
    <tableColumn id="2959" xr3:uid="{532E5410-86B4-42E0-9193-E430B6DF8D53}" name="Column2911" dataDxfId="13443"/>
    <tableColumn id="2960" xr3:uid="{C48F997A-EF12-4FF4-B8C8-5B64BF11122B}" name="Column2912" dataDxfId="13442"/>
    <tableColumn id="2961" xr3:uid="{8E248921-0BCD-4575-9CFC-085ABB75C9EB}" name="Column2913" dataDxfId="13441"/>
    <tableColumn id="2962" xr3:uid="{66EC64C1-2511-44E8-A2DA-84FE4110D780}" name="Column2914" dataDxfId="13440"/>
    <tableColumn id="2963" xr3:uid="{0AF7FDB4-E35E-45B0-9A8B-57559CF6481E}" name="Column2915" dataDxfId="13439"/>
    <tableColumn id="2964" xr3:uid="{61871CBA-6CED-42A6-8881-348C29DD2F13}" name="Column2916" dataDxfId="13438"/>
    <tableColumn id="2965" xr3:uid="{26D31811-600F-463C-B9FF-C0556399AEE1}" name="Column2917" dataDxfId="13437"/>
    <tableColumn id="2966" xr3:uid="{7A162BB9-F6E6-4766-B0B0-34AF3FCF119B}" name="Column2918" dataDxfId="13436"/>
    <tableColumn id="2967" xr3:uid="{18302DF4-3E99-4511-886D-8B1601855AF6}" name="Column2919" dataDxfId="13435"/>
    <tableColumn id="2968" xr3:uid="{C4CB270F-B9C3-4642-A4FB-42415C94D46A}" name="Column2920" dataDxfId="13434"/>
    <tableColumn id="2969" xr3:uid="{290F3A24-A846-4EB0-9E9E-8F2DAA63EA7B}" name="Column2921" dataDxfId="13433"/>
    <tableColumn id="2970" xr3:uid="{3CC5323E-FD63-4E55-B618-D16722DB283A}" name="Column2922" dataDxfId="13432"/>
    <tableColumn id="2971" xr3:uid="{1197E37C-11B9-4A19-A4E6-278A63A4977F}" name="Column2923" dataDxfId="13431"/>
    <tableColumn id="2972" xr3:uid="{4F66DDE1-7B5A-4571-B920-11B90BC43E77}" name="Column2924" dataDxfId="13430"/>
    <tableColumn id="2973" xr3:uid="{D9A31640-5C80-44E8-90E2-734494CB7C57}" name="Column2925" dataDxfId="13429"/>
    <tableColumn id="2974" xr3:uid="{3596E7BB-1B3D-4E7B-8876-CF7C2F94B73A}" name="Column2926" dataDxfId="13428"/>
    <tableColumn id="2975" xr3:uid="{876959F3-9B5A-40E7-AF88-F7F9963CD855}" name="Column2927" dataDxfId="13427"/>
    <tableColumn id="2976" xr3:uid="{1746E77B-8E5A-48AA-9549-C81699849A0D}" name="Column2928" dataDxfId="13426"/>
    <tableColumn id="2977" xr3:uid="{99B00255-CAB9-4192-BB21-9DE615994FF8}" name="Column2929" dataDxfId="13425"/>
    <tableColumn id="2978" xr3:uid="{8C95A585-9370-4C2F-AE90-5B9F62B4F07A}" name="Column2930" dataDxfId="13424"/>
    <tableColumn id="2979" xr3:uid="{31D9D619-69FC-4D81-9F3E-369DC8E30B90}" name="Column2931" dataDxfId="13423"/>
    <tableColumn id="2980" xr3:uid="{A63029B5-99E6-4917-9B6A-8718195999EA}" name="Column2932" dataDxfId="13422"/>
    <tableColumn id="2981" xr3:uid="{F3C76E25-6C33-4883-BFB9-4083C29720E2}" name="Column2933" dataDxfId="13421"/>
    <tableColumn id="2982" xr3:uid="{5E122D5E-1493-460F-A0FC-142653E84242}" name="Column2934" dataDxfId="13420"/>
    <tableColumn id="2983" xr3:uid="{5FCF1CFE-B581-4F74-A775-89720408AB4E}" name="Column2935" dataDxfId="13419"/>
    <tableColumn id="2984" xr3:uid="{91DCB2B2-1246-4E34-9CFB-A99AFB2E40FD}" name="Column2936" dataDxfId="13418"/>
    <tableColumn id="2985" xr3:uid="{07282454-117E-415E-84D2-2D29D8288955}" name="Column2937" dataDxfId="13417"/>
    <tableColumn id="2986" xr3:uid="{A228C842-EEA6-4D5E-AEAF-916295937234}" name="Column2938" dataDxfId="13416"/>
    <tableColumn id="2987" xr3:uid="{CB285A7E-57C2-45EA-9246-860DFA4CA0CA}" name="Column2939" dataDxfId="13415"/>
    <tableColumn id="2988" xr3:uid="{DCD002C5-B63D-43CA-BD79-0987A9D2C42C}" name="Column2940" dataDxfId="13414"/>
    <tableColumn id="2989" xr3:uid="{DB780622-E978-4270-BE1D-0134AF0B48CA}" name="Column2941" dataDxfId="13413"/>
    <tableColumn id="2990" xr3:uid="{0C488202-2716-4EA7-B8AE-285AC99D2B15}" name="Column2942" dataDxfId="13412"/>
    <tableColumn id="2991" xr3:uid="{EF1F17C9-480C-48B1-B2CE-D39FE7A0630C}" name="Column2943" dataDxfId="13411"/>
    <tableColumn id="2992" xr3:uid="{ACFB1BD1-8479-4CF7-8158-BD9A8A8E9A3A}" name="Column2944" dataDxfId="13410"/>
    <tableColumn id="2993" xr3:uid="{3DC19ABE-B7EB-492B-807F-23AD1C681473}" name="Column2945" dataDxfId="13409"/>
    <tableColumn id="2994" xr3:uid="{BE33288B-792F-49CA-AB15-B017F938B66F}" name="Column2946" dataDxfId="13408"/>
    <tableColumn id="2995" xr3:uid="{BF958C77-D710-4953-9CEE-4473D8B368CD}" name="Column2947" dataDxfId="13407"/>
    <tableColumn id="2996" xr3:uid="{DB95C444-639C-4D38-98E4-DAA5DD909E19}" name="Column2948" dataDxfId="13406"/>
    <tableColumn id="2997" xr3:uid="{9163DC30-3A20-4D0C-8D8E-7DE4BFE03522}" name="Column2949" dataDxfId="13405"/>
    <tableColumn id="2998" xr3:uid="{90A4B597-811B-409C-A7FE-E173AD3B48EC}" name="Column2950" dataDxfId="13404"/>
    <tableColumn id="2999" xr3:uid="{9B75F1B0-B802-4C8E-8024-6A268F3F2082}" name="Column2951" dataDxfId="13403"/>
    <tableColumn id="3000" xr3:uid="{079263A3-FFE9-4F5B-A38D-392065384280}" name="Column2952" dataDxfId="13402"/>
    <tableColumn id="3001" xr3:uid="{45953A22-F5FB-451D-BD35-409389EFD8EB}" name="Column2953" dataDxfId="13401"/>
    <tableColumn id="3002" xr3:uid="{F53EF820-5209-45CC-97F9-3000C3AEEF71}" name="Column2954" dataDxfId="13400"/>
    <tableColumn id="3003" xr3:uid="{99CDAE5F-1D3F-40E7-B9A4-FCC8C9132218}" name="Column2955" dataDxfId="13399"/>
    <tableColumn id="3004" xr3:uid="{1620C87D-35EB-454B-88DB-3C21994F8A8F}" name="Column2956" dataDxfId="13398"/>
    <tableColumn id="3005" xr3:uid="{A17B4B7C-2318-440E-A41E-FE09E4138E64}" name="Column2957" dataDxfId="13397"/>
    <tableColumn id="3006" xr3:uid="{D2071D35-BEB0-4A03-ABB4-BAF3FBB0E93F}" name="Column2958" dataDxfId="13396"/>
    <tableColumn id="3007" xr3:uid="{BBEB654A-DBCF-4E9F-BE38-0A2C0E67427D}" name="Column2959" dataDxfId="13395"/>
    <tableColumn id="3008" xr3:uid="{0575A47A-E9A3-49DA-895F-C35636C2A131}" name="Column2960" dataDxfId="13394"/>
    <tableColumn id="3009" xr3:uid="{C24E9387-67FA-44CE-B3DD-19766BB906AE}" name="Column2961" dataDxfId="13393"/>
    <tableColumn id="3010" xr3:uid="{435D85E4-D7F3-4706-B959-ACF12F8753C1}" name="Column2962" dataDxfId="13392"/>
    <tableColumn id="3011" xr3:uid="{6BA322BA-3ED2-4D6B-B0BD-565B9B345F36}" name="Column2963" dataDxfId="13391"/>
    <tableColumn id="3012" xr3:uid="{9E3B1B50-CE0A-4233-9D5B-1B3A0CA2E0A3}" name="Column2964" dataDxfId="13390"/>
    <tableColumn id="3013" xr3:uid="{F4A60799-EA2D-4D35-A0F1-1FC29FE61472}" name="Column2965" dataDxfId="13389"/>
    <tableColumn id="3014" xr3:uid="{A5A3CC3D-7CFE-4DB4-A25E-70569B513D08}" name="Column2966" dataDxfId="13388"/>
    <tableColumn id="3015" xr3:uid="{9DC980BE-226C-45FE-B140-BDDE3E9EA73B}" name="Column2967" dataDxfId="13387"/>
    <tableColumn id="3016" xr3:uid="{B4CA585C-F9B4-4BE5-A325-4A3D81400CE4}" name="Column2968" dataDxfId="13386"/>
    <tableColumn id="3017" xr3:uid="{C9B40E6A-2B5E-459C-970D-475D3F92EE2D}" name="Column2969" dataDxfId="13385"/>
    <tableColumn id="3018" xr3:uid="{716B069A-B395-46FB-8011-D60CBFCC15DF}" name="Column2970" dataDxfId="13384"/>
    <tableColumn id="3019" xr3:uid="{ABA2C3CB-5FC9-4E07-9D39-85C0AE9D6FC8}" name="Column2971" dataDxfId="13383"/>
    <tableColumn id="3020" xr3:uid="{873D1781-A62E-4301-B4B1-03A2F60944C6}" name="Column2972" dataDxfId="13382"/>
    <tableColumn id="3021" xr3:uid="{362C8CD2-C39E-44C8-9FF3-83A752F29850}" name="Column2973" dataDxfId="13381"/>
    <tableColumn id="3022" xr3:uid="{D671482D-1AF4-4A01-90B8-C6D74F1BE08C}" name="Column2974" dataDxfId="13380"/>
    <tableColumn id="3023" xr3:uid="{B990D352-CE15-4740-BAEA-5834D19FD118}" name="Column2975" dataDxfId="13379"/>
    <tableColumn id="3024" xr3:uid="{2D3C562E-2B90-41F8-9F1B-19BC6DEE91CD}" name="Column2976" dataDxfId="13378"/>
    <tableColumn id="3025" xr3:uid="{9A4C5E55-635C-4FD0-B43E-6429969C9806}" name="Column2977" dataDxfId="13377"/>
    <tableColumn id="3026" xr3:uid="{C9459558-6D41-4998-97C5-9D768CBF42B2}" name="Column2978" dataDxfId="13376"/>
    <tableColumn id="3027" xr3:uid="{F5BD4181-B1EC-497E-B537-5D31B5ECF6AC}" name="Column2979" dataDxfId="13375"/>
    <tableColumn id="3028" xr3:uid="{388DBC60-067A-443F-9B8F-B94EEF22DAB0}" name="Column2980" dataDxfId="13374"/>
    <tableColumn id="3029" xr3:uid="{CFDC616D-722C-4FB9-952B-0347A87A43FF}" name="Column2981" dataDxfId="13373"/>
    <tableColumn id="3030" xr3:uid="{7D36B621-3772-404F-8F9A-E218035B6192}" name="Column2982" dataDxfId="13372"/>
    <tableColumn id="3031" xr3:uid="{F5FC3256-AE1D-4BD0-B17D-C8486056E6CF}" name="Column2983" dataDxfId="13371"/>
    <tableColumn id="3032" xr3:uid="{A04A0CCE-0F42-46F2-AD87-C668FBA9A6F8}" name="Column2984" dataDxfId="13370"/>
    <tableColumn id="3033" xr3:uid="{54493E0F-8B87-44D4-83A1-BC8B2911F213}" name="Column2985" dataDxfId="13369"/>
    <tableColumn id="3034" xr3:uid="{5B2A90F7-1194-4727-8D0A-984A79FBFA25}" name="Column2986" dataDxfId="13368"/>
    <tableColumn id="3035" xr3:uid="{4CCED858-83C8-4E40-843C-9CE1BEEBAD96}" name="Column2987" dataDxfId="13367"/>
    <tableColumn id="3036" xr3:uid="{2F3ABCDC-070C-40EF-8F78-6B995E5759CA}" name="Column2988" dataDxfId="13366"/>
    <tableColumn id="3037" xr3:uid="{0704AA42-EE31-45C0-8686-8C69B11EB512}" name="Column2989" dataDxfId="13365"/>
    <tableColumn id="3038" xr3:uid="{E38ADAD2-3B07-45C9-823F-0003C9688AB7}" name="Column2990" dataDxfId="13364"/>
    <tableColumn id="3039" xr3:uid="{9650C9FA-3FD3-4CA6-A1AC-4F0557B95F74}" name="Column2991" dataDxfId="13363"/>
    <tableColumn id="3040" xr3:uid="{292111C6-2054-4808-84BE-BA86CB147F48}" name="Column2992" dataDxfId="13362"/>
    <tableColumn id="3041" xr3:uid="{04FB5C58-7FEE-4930-BBF7-B09ECFC6DF08}" name="Column2993" dataDxfId="13361"/>
    <tableColumn id="3042" xr3:uid="{50C3F906-CF94-4E30-8E3F-4918860DF3DC}" name="Column2994" dataDxfId="13360"/>
    <tableColumn id="3043" xr3:uid="{1C87A1CA-4D01-4F3A-AB5E-4ED6F0E6B83D}" name="Column2995" dataDxfId="13359"/>
    <tableColumn id="3044" xr3:uid="{389FC590-3CD3-4466-8FD0-707DE2F0B303}" name="Column2996" dataDxfId="13358"/>
    <tableColumn id="3045" xr3:uid="{A81913B8-80EB-4659-B34B-55EA803F617D}" name="Column2997" dataDxfId="13357"/>
    <tableColumn id="3046" xr3:uid="{CD402CF5-9B89-4A4F-98F4-CFDB02142E93}" name="Column2998" dataDxfId="13356"/>
    <tableColumn id="3047" xr3:uid="{D9B85F20-3FB9-4E14-9FC4-FEF22EF4BE29}" name="Column2999" dataDxfId="13355"/>
    <tableColumn id="3048" xr3:uid="{CA3FF62F-64A9-47F3-900B-FA3C4AF3912A}" name="Column3000" dataDxfId="13354"/>
    <tableColumn id="3049" xr3:uid="{EFEAE426-9D55-4903-9452-E34C5902727D}" name="Column3001" dataDxfId="13353"/>
    <tableColumn id="3050" xr3:uid="{28161728-9B1B-439D-B1E6-DB9C21F5C8B3}" name="Column3002" dataDxfId="13352"/>
    <tableColumn id="3051" xr3:uid="{BB72AEA9-2A28-4FEA-BD15-C3DC020C887B}" name="Column3003" dataDxfId="13351"/>
    <tableColumn id="3052" xr3:uid="{EDD1D40E-B00D-467C-8123-B5BA9DD9823C}" name="Column3004" dataDxfId="13350"/>
    <tableColumn id="3053" xr3:uid="{19615C00-3350-44CA-97E1-B2B7C94D3FC0}" name="Column3005" dataDxfId="13349"/>
    <tableColumn id="3054" xr3:uid="{CD7C7F99-C4D7-45B1-AD92-20FC5657A734}" name="Column3006" dataDxfId="13348"/>
    <tableColumn id="3055" xr3:uid="{D9760D5D-479B-49FF-B220-93FBB4CD1599}" name="Column3007" dataDxfId="13347"/>
    <tableColumn id="3056" xr3:uid="{7624F2A0-A09F-4C8A-8506-D1AF6AFB6284}" name="Column3008" dataDxfId="13346"/>
    <tableColumn id="3057" xr3:uid="{CE6A7AB2-21D3-4BE0-8915-67BEC90EB7C2}" name="Column3009" dataDxfId="13345"/>
    <tableColumn id="3058" xr3:uid="{D011B7E0-2224-4040-B469-845F947872EA}" name="Column3010" dataDxfId="13344"/>
    <tableColumn id="3059" xr3:uid="{8C11844E-B56D-4A7D-85FF-3773B3A0AA2E}" name="Column3011" dataDxfId="13343"/>
    <tableColumn id="3060" xr3:uid="{DA2ACBE6-D17D-44B2-96A7-D3DA6E8AD300}" name="Column3012" dataDxfId="13342"/>
    <tableColumn id="3061" xr3:uid="{7FAD3FAB-F848-4DE9-851D-94BBC770604E}" name="Column3013" dataDxfId="13341"/>
    <tableColumn id="3062" xr3:uid="{15BF8F9A-6476-4D7E-8E6A-698F183C8337}" name="Column3014" dataDxfId="13340"/>
    <tableColumn id="3063" xr3:uid="{08C95282-BD74-4F12-976A-4626228A13D8}" name="Column3015" dataDxfId="13339"/>
    <tableColumn id="3064" xr3:uid="{D317EFD3-1DB5-420A-BA6E-76CCB02E3383}" name="Column3016" dataDxfId="13338"/>
    <tableColumn id="3065" xr3:uid="{484CB68B-C26C-466E-ABCC-51C05C7110E5}" name="Column3017" dataDxfId="13337"/>
    <tableColumn id="3066" xr3:uid="{4E2EC95C-22B6-4163-82D2-56DB98871BFE}" name="Column3018" dataDxfId="13336"/>
    <tableColumn id="3067" xr3:uid="{62D056BB-6BC9-4F6D-8F04-DCB07E90C8C7}" name="Column3019" dataDxfId="13335"/>
    <tableColumn id="3068" xr3:uid="{69E3C57E-C538-4429-B939-3310D6DD8366}" name="Column3020" dataDxfId="13334"/>
    <tableColumn id="3069" xr3:uid="{18F9AFFB-CF33-48A9-A177-310BCD45160D}" name="Column3021" dataDxfId="13333"/>
    <tableColumn id="3070" xr3:uid="{AB65BC87-5C94-4A46-B5E1-31ED3CACD32E}" name="Column3022" dataDxfId="13332"/>
    <tableColumn id="3071" xr3:uid="{0F7789C7-0B5E-49DF-AEF8-E3F96986D828}" name="Column3023" dataDxfId="13331"/>
    <tableColumn id="3072" xr3:uid="{3EC8D0BF-CF4C-4805-94F6-E1B5CADA60C8}" name="Column3024" dataDxfId="13330"/>
    <tableColumn id="3073" xr3:uid="{72E0100C-A3D0-45D6-9ADC-52B938D9A6CE}" name="Column3025" dataDxfId="13329"/>
    <tableColumn id="3074" xr3:uid="{9B86EA14-D598-4D7D-9D74-F5D3813905E5}" name="Column3026" dataDxfId="13328"/>
    <tableColumn id="3075" xr3:uid="{F66A1DDB-3FF6-4998-98A9-04512A18476D}" name="Column3027" dataDxfId="13327"/>
    <tableColumn id="3076" xr3:uid="{CAAA62AD-C634-45E7-8D72-574BF298181E}" name="Column3028" dataDxfId="13326"/>
    <tableColumn id="3077" xr3:uid="{653999C2-8997-4ED3-B899-048ABFD731A1}" name="Column3029" dataDxfId="13325"/>
    <tableColumn id="3078" xr3:uid="{A92BC902-F7E6-4305-B736-DB3B63978E33}" name="Column3030" dataDxfId="13324"/>
    <tableColumn id="3079" xr3:uid="{06E7F3CA-D194-4AC3-B474-C1506E4B907B}" name="Column3031" dataDxfId="13323"/>
    <tableColumn id="3080" xr3:uid="{3B5A872A-7E7C-483D-864B-C3291E63F26D}" name="Column3032" dataDxfId="13322"/>
    <tableColumn id="3081" xr3:uid="{AD81BE48-9A29-42F0-958D-FE9641B5D1B1}" name="Column3033" dataDxfId="13321"/>
    <tableColumn id="3082" xr3:uid="{E19B5EA3-8EFE-4155-A9A3-B8FC63B7EA62}" name="Column3034" dataDxfId="13320"/>
    <tableColumn id="3083" xr3:uid="{81386EC0-6387-43A9-AA76-D161481B012A}" name="Column3035" dataDxfId="13319"/>
    <tableColumn id="3084" xr3:uid="{F0BA93C9-BDC7-4330-88FD-EE1D1287CB71}" name="Column3036" dataDxfId="13318"/>
    <tableColumn id="3085" xr3:uid="{EC32CA3A-E05F-4F2A-8FBA-CBB509F0A466}" name="Column3037" dataDxfId="13317"/>
    <tableColumn id="3086" xr3:uid="{4C27AEAD-6470-4141-8A04-644A208C5F1E}" name="Column3038" dataDxfId="13316"/>
    <tableColumn id="3087" xr3:uid="{66317ECB-B958-44AF-B1CA-4C649EE9BFA8}" name="Column3039" dataDxfId="13315"/>
    <tableColumn id="3088" xr3:uid="{DDECE66A-D6EF-461F-9E78-4EDCF54A6720}" name="Column3040" dataDxfId="13314"/>
    <tableColumn id="3089" xr3:uid="{C439CE01-E953-4A9A-957A-282961776641}" name="Column3041" dataDxfId="13313"/>
    <tableColumn id="3090" xr3:uid="{8BA03395-6681-4C7A-96C6-D45119428FE3}" name="Column3042" dataDxfId="13312"/>
    <tableColumn id="3091" xr3:uid="{A303FD43-4E0E-4235-81F3-6670368B93BF}" name="Column3043" dataDxfId="13311"/>
    <tableColumn id="3092" xr3:uid="{8514EF7E-7F1D-440A-8FFC-EFBB2339681F}" name="Column3044" dataDxfId="13310"/>
    <tableColumn id="3093" xr3:uid="{2569DFDC-0AD7-4705-9B32-31510B9DEC8A}" name="Column3045" dataDxfId="13309"/>
    <tableColumn id="3094" xr3:uid="{6C592CEE-6A70-4B12-81B7-65DB86575C7B}" name="Column3046" dataDxfId="13308"/>
    <tableColumn id="3095" xr3:uid="{FDCD0254-28AE-46AE-B554-267522E63BBA}" name="Column3047" dataDxfId="13307"/>
    <tableColumn id="3096" xr3:uid="{F0B63780-8C62-4AA2-B378-3816D3F402C8}" name="Column3048" dataDxfId="13306"/>
    <tableColumn id="3097" xr3:uid="{7B6A4DBA-7C9C-4655-A618-741C3F25CD5E}" name="Column3049" dataDxfId="13305"/>
    <tableColumn id="3098" xr3:uid="{745EE76B-6D38-47E4-B4C8-16A5021AA29A}" name="Column3050" dataDxfId="13304"/>
    <tableColumn id="3099" xr3:uid="{19E8A4C6-2CBA-4A5A-ADD0-30C3CEA6DF1F}" name="Column3051" dataDxfId="13303"/>
    <tableColumn id="3100" xr3:uid="{8F0A743F-142B-4573-AB9C-6CF8FD8A1B0E}" name="Column3052" dataDxfId="13302"/>
    <tableColumn id="3101" xr3:uid="{9F4DA115-D57B-4834-9B35-AFFB5DEBF30A}" name="Column3053" dataDxfId="13301"/>
    <tableColumn id="3102" xr3:uid="{5D9520F9-567D-4B9A-B46D-C3417805D679}" name="Column3054" dataDxfId="13300"/>
    <tableColumn id="3103" xr3:uid="{8CA46A88-2EDB-4FE7-9E84-121C7FA6673D}" name="Column3055" dataDxfId="13299"/>
    <tableColumn id="3104" xr3:uid="{DEA3FC0B-DC9D-4987-BE52-B4D49416FD7C}" name="Column3056" dataDxfId="13298"/>
    <tableColumn id="3105" xr3:uid="{BB68C3AB-4DFA-4EB2-9E18-156F5779529B}" name="Column3057" dataDxfId="13297"/>
    <tableColumn id="3106" xr3:uid="{27B6A2A8-067D-4A73-BB70-C7DB8343EEF3}" name="Column3058" dataDxfId="13296"/>
    <tableColumn id="3107" xr3:uid="{C98F3103-05AF-4640-B0D9-075619525F97}" name="Column3059" dataDxfId="13295"/>
    <tableColumn id="3108" xr3:uid="{E45EE18E-9B8B-4059-A5E0-C045C45C9146}" name="Column3060" dataDxfId="13294"/>
    <tableColumn id="3109" xr3:uid="{69EE4E14-7623-48AC-A9B4-CF2F8130C400}" name="Column3061" dataDxfId="13293"/>
    <tableColumn id="3110" xr3:uid="{33A46480-85D4-487D-837E-4300CFA9A466}" name="Column3062" dataDxfId="13292"/>
    <tableColumn id="3111" xr3:uid="{6BF0B7A8-2899-4495-887C-51E252E000D8}" name="Column3063" dataDxfId="13291"/>
    <tableColumn id="3112" xr3:uid="{F75F25E6-0E3F-4715-8543-2B4042FA61D8}" name="Column3064" dataDxfId="13290"/>
    <tableColumn id="3113" xr3:uid="{F8053BA8-80F0-42CA-AA45-D2ABA7B93D3B}" name="Column3065" dataDxfId="13289"/>
    <tableColumn id="3114" xr3:uid="{790E86EA-5937-42DE-A190-DB751E9F82D2}" name="Column3066" dataDxfId="13288"/>
    <tableColumn id="3115" xr3:uid="{91A1A519-7320-437B-B586-02BC8C0876C5}" name="Column3067" dataDxfId="13287"/>
    <tableColumn id="3116" xr3:uid="{122A4DC6-D2EF-4842-9C40-1B969352D655}" name="Column3068" dataDxfId="13286"/>
    <tableColumn id="3117" xr3:uid="{D1DA8DF1-2345-4701-9173-7D14E7EECE52}" name="Column3069" dataDxfId="13285"/>
    <tableColumn id="3118" xr3:uid="{49C22928-CF08-43E3-913F-8DF379363F22}" name="Column3070" dataDxfId="13284"/>
    <tableColumn id="3119" xr3:uid="{CB078593-3CAA-4FB4-AC6A-0A02AE0BBD6C}" name="Column3071" dataDxfId="13283"/>
    <tableColumn id="3120" xr3:uid="{922F30A8-3DCC-4D7C-8365-ECF757B46322}" name="Column3072" dataDxfId="13282"/>
    <tableColumn id="3121" xr3:uid="{F905E767-BC91-4CE1-A4DD-CE3D9CB96F1D}" name="Column3073" dataDxfId="13281"/>
    <tableColumn id="3122" xr3:uid="{DF82E103-5ED2-415A-9291-D66E2B737A8F}" name="Column3074" dataDxfId="13280"/>
    <tableColumn id="3123" xr3:uid="{7DDDBA45-0FEF-486A-A730-9C266E363144}" name="Column3075" dataDxfId="13279"/>
    <tableColumn id="3124" xr3:uid="{7F00CA74-972E-461B-8261-F22BD72FF0F1}" name="Column3076" dataDxfId="13278"/>
    <tableColumn id="3125" xr3:uid="{5E8BE0FC-89AC-4EA7-A4BA-C3C71E793807}" name="Column3077" dataDxfId="13277"/>
    <tableColumn id="3126" xr3:uid="{BC550A7D-5852-45C6-8324-2506F43EB95C}" name="Column3078" dataDxfId="13276"/>
    <tableColumn id="3127" xr3:uid="{CCDA338E-EBB1-47B1-A6E3-A08E9CC089CE}" name="Column3079" dataDxfId="13275"/>
    <tableColumn id="3128" xr3:uid="{5EBBC574-F789-4908-B30C-1EEEEADC6ECF}" name="Column3080" dataDxfId="13274"/>
    <tableColumn id="3129" xr3:uid="{617FD869-A8D6-46CA-9D3A-EE63EDB20061}" name="Column3081" dataDxfId="13273"/>
    <tableColumn id="3130" xr3:uid="{BFCACFBF-CC0A-4973-BE79-B41E7D704508}" name="Column3082" dataDxfId="13272"/>
    <tableColumn id="3131" xr3:uid="{0640350F-0135-4021-A23A-792A8AA2D34E}" name="Column3083" dataDxfId="13271"/>
    <tableColumn id="3132" xr3:uid="{E8E528C0-6607-4B49-ACDF-01310B0297A9}" name="Column3084" dataDxfId="13270"/>
    <tableColumn id="3133" xr3:uid="{406F5CA7-2DE4-4AA6-A688-BD2C9EF872D4}" name="Column3085" dataDxfId="13269"/>
    <tableColumn id="3134" xr3:uid="{1583E811-C60F-43FD-9074-EA3829FF09F7}" name="Column3086" dataDxfId="13268"/>
    <tableColumn id="3135" xr3:uid="{5ACB77ED-259A-4414-9F0F-6BCB542D9594}" name="Column3087" dataDxfId="13267"/>
    <tableColumn id="3136" xr3:uid="{0A737FAF-5245-4B98-AB49-B2E36137F97B}" name="Column3088" dataDxfId="13266"/>
    <tableColumn id="3137" xr3:uid="{E667F61A-E9DB-4529-902C-C1C80CDB31B1}" name="Column3089" dataDxfId="13265"/>
    <tableColumn id="3138" xr3:uid="{440E699D-2967-4035-85E6-7FF0C1C390EA}" name="Column3090" dataDxfId="13264"/>
    <tableColumn id="3139" xr3:uid="{895BF0D1-132F-4C7C-8342-E145CB60F938}" name="Column3091" dataDxfId="13263"/>
    <tableColumn id="3140" xr3:uid="{8B94A6A5-E713-460C-8D06-FA4277C2CB2F}" name="Column3092" dataDxfId="13262"/>
    <tableColumn id="3141" xr3:uid="{3FECD65B-CA8E-4920-A466-8F8A6C5FEFDA}" name="Column3093" dataDxfId="13261"/>
    <tableColumn id="3142" xr3:uid="{95AEBB42-8BFB-4F10-A978-AC8F0A25F029}" name="Column3094" dataDxfId="13260"/>
    <tableColumn id="3143" xr3:uid="{4CEEB1B7-7074-4264-8CD1-1251F4B09A30}" name="Column3095" dataDxfId="13259"/>
    <tableColumn id="3144" xr3:uid="{49B9A7B5-5415-4EF5-A956-BABB5EF861AD}" name="Column3096" dataDxfId="13258"/>
    <tableColumn id="3145" xr3:uid="{610DC386-777B-4DC7-A266-23DAA4DCCC25}" name="Column3097" dataDxfId="13257"/>
    <tableColumn id="3146" xr3:uid="{EFDAEAB5-ED56-49B0-9B46-25D6795763BB}" name="Column3098" dataDxfId="13256"/>
    <tableColumn id="3147" xr3:uid="{B6613FC2-EC43-4FBB-9130-6E8DE986BDC3}" name="Column3099" dataDxfId="13255"/>
    <tableColumn id="3148" xr3:uid="{0750D05D-4DA6-4281-B785-24EF79B096BA}" name="Column3100" dataDxfId="13254"/>
    <tableColumn id="3149" xr3:uid="{D64A6244-947B-4D0C-91E4-15DBA75E2381}" name="Column3101" dataDxfId="13253"/>
    <tableColumn id="3150" xr3:uid="{D4B46E82-09F3-4D85-B35F-4FF39C406F48}" name="Column3102" dataDxfId="13252"/>
    <tableColumn id="3151" xr3:uid="{EEDDCFA7-A6C3-44C4-9779-6FB5294F6391}" name="Column3103" dataDxfId="13251"/>
    <tableColumn id="3152" xr3:uid="{C7032E11-B2D9-4E38-9395-6F06984C1980}" name="Column3104" dataDxfId="13250"/>
    <tableColumn id="3153" xr3:uid="{81625F7C-29B0-40CF-8B8A-A743BF264A23}" name="Column3105" dataDxfId="13249"/>
    <tableColumn id="3154" xr3:uid="{1ECD9712-959C-4C26-BE21-A693A3015341}" name="Column3106" dataDxfId="13248"/>
    <tableColumn id="3155" xr3:uid="{84FF7116-DEA7-4321-8ADD-4AC0EDF901CA}" name="Column3107" dataDxfId="13247"/>
    <tableColumn id="3156" xr3:uid="{2F95E90B-F135-4ABC-B04B-8B1F2C82FB6C}" name="Column3108" dataDxfId="13246"/>
    <tableColumn id="3157" xr3:uid="{E11020A3-D5B3-44A0-A151-0386DCCD55AA}" name="Column3109" dataDxfId="13245"/>
    <tableColumn id="3158" xr3:uid="{AD324978-EBCA-4366-8396-00941686A6CA}" name="Column3110" dataDxfId="13244"/>
    <tableColumn id="3159" xr3:uid="{66754C13-21BE-42F2-B53E-3AC2D403135E}" name="Column3111" dataDxfId="13243"/>
    <tableColumn id="3160" xr3:uid="{76DAC2A9-DB6C-4726-8B6B-57C3276161CF}" name="Column3112" dataDxfId="13242"/>
    <tableColumn id="3161" xr3:uid="{841D1E3F-7987-4474-8425-315CF9C867B4}" name="Column3113" dataDxfId="13241"/>
    <tableColumn id="3162" xr3:uid="{7B5D8291-448D-4BEA-9D82-D43E7C5D3F5F}" name="Column3114" dataDxfId="13240"/>
    <tableColumn id="3163" xr3:uid="{73C25CAE-7F13-495A-B896-8A8A988B6024}" name="Column3115" dataDxfId="13239"/>
    <tableColumn id="3164" xr3:uid="{0C46D8B6-763B-45FB-8D5E-E411C8ACA6F3}" name="Column3116" dataDxfId="13238"/>
    <tableColumn id="3165" xr3:uid="{39D31BF0-CC3C-42AF-9122-663A4EB3C8F4}" name="Column3117" dataDxfId="13237"/>
    <tableColumn id="3166" xr3:uid="{05EDED18-B676-4E93-9E3C-744B4F279B4D}" name="Column3118" dataDxfId="13236"/>
    <tableColumn id="3167" xr3:uid="{7F1E0B47-FDA3-4D0F-99E1-F72AFD65DD12}" name="Column3119" dataDxfId="13235"/>
    <tableColumn id="3168" xr3:uid="{FD82D120-A2DE-436C-9B3D-081A6795F61A}" name="Column3120" dataDxfId="13234"/>
    <tableColumn id="3169" xr3:uid="{23944CB6-F4CA-4B81-8C90-FA3651D1F2C5}" name="Column3121" dataDxfId="13233"/>
    <tableColumn id="3170" xr3:uid="{03D073E2-5DCE-49C9-B03A-7713818D04B9}" name="Column3122" dataDxfId="13232"/>
    <tableColumn id="3171" xr3:uid="{11574E31-8B1B-4095-8EA2-EEB3491726D5}" name="Column3123" dataDxfId="13231"/>
    <tableColumn id="3172" xr3:uid="{C639F480-7053-44AE-871F-751B4C98856D}" name="Column3124" dataDxfId="13230"/>
    <tableColumn id="3173" xr3:uid="{F86FBDBD-4EBD-4788-B6F2-66C1A5F5AE3E}" name="Column3125" dataDxfId="13229"/>
    <tableColumn id="3174" xr3:uid="{6B464C04-3F79-499E-8841-305BC70BD2F6}" name="Column3126" dataDxfId="13228"/>
    <tableColumn id="3175" xr3:uid="{9716E916-7CC3-49E0-8952-3A90584FA13F}" name="Column3127" dataDxfId="13227"/>
    <tableColumn id="3176" xr3:uid="{62FA4CFC-DD3E-4286-9FB7-0966FAB71180}" name="Column3128" dataDxfId="13226"/>
    <tableColumn id="3177" xr3:uid="{59B8F630-18AD-48D0-86C1-4F5D043DEB8E}" name="Column3129" dataDxfId="13225"/>
    <tableColumn id="3178" xr3:uid="{C7DAD02E-86EE-4D9D-9F34-F20754652913}" name="Column3130" dataDxfId="13224"/>
    <tableColumn id="3179" xr3:uid="{8F2B4527-7334-42D4-AC82-F0FC3B883927}" name="Column3131" dataDxfId="13223"/>
    <tableColumn id="3180" xr3:uid="{454AA36B-8E5B-492C-A744-36BA2B4C4BEB}" name="Column3132" dataDxfId="13222"/>
    <tableColumn id="3181" xr3:uid="{3527628B-49A7-4672-B014-8AF25C559EDF}" name="Column3133" dataDxfId="13221"/>
    <tableColumn id="3182" xr3:uid="{4E6DFE6B-DD68-4265-B43C-8502D8E3D279}" name="Column3134" dataDxfId="13220"/>
    <tableColumn id="3183" xr3:uid="{59ED314B-2E60-4B0C-BF4B-BE9226E49C99}" name="Column3135" dataDxfId="13219"/>
    <tableColumn id="3184" xr3:uid="{D2FCEBDA-6D4F-4967-930B-9351E06B6586}" name="Column3136" dataDxfId="13218"/>
    <tableColumn id="3185" xr3:uid="{CEB12874-196F-4A59-A632-58E82F825A82}" name="Column3137" dataDxfId="13217"/>
    <tableColumn id="3186" xr3:uid="{D62C73C1-B142-41B8-8622-61F679046294}" name="Column3138" dataDxfId="13216"/>
    <tableColumn id="3187" xr3:uid="{038092A5-CC64-4C63-A33C-43BAF6B63791}" name="Column3139" dataDxfId="13215"/>
    <tableColumn id="3188" xr3:uid="{87052FEC-32A1-4D9F-9FF7-CE3EB7CC84E3}" name="Column3140" dataDxfId="13214"/>
    <tableColumn id="3189" xr3:uid="{F15578F8-2A08-48B6-AF5A-BF6F3BD5026B}" name="Column3141" dataDxfId="13213"/>
    <tableColumn id="3190" xr3:uid="{64BE5DAE-6767-470F-8372-BD0D16ED3431}" name="Column3142" dataDxfId="13212"/>
    <tableColumn id="3191" xr3:uid="{9F553CFA-9BE7-497F-B3DC-183CA21D2881}" name="Column3143" dataDxfId="13211"/>
    <tableColumn id="3192" xr3:uid="{8F6B5D44-C58F-4C88-98C7-053B58D1CD53}" name="Column3144" dataDxfId="13210"/>
    <tableColumn id="3193" xr3:uid="{E16691B6-6033-44CB-8E9C-CBED5E504307}" name="Column3145" dataDxfId="13209"/>
    <tableColumn id="3194" xr3:uid="{825C97D0-1FCA-40CD-8EE7-DAE791205542}" name="Column3146" dataDxfId="13208"/>
    <tableColumn id="3195" xr3:uid="{ED709CBE-E2F2-49A7-9BF6-297286B86FBB}" name="Column3147" dataDxfId="13207"/>
    <tableColumn id="3196" xr3:uid="{177B5A91-2FE3-47C9-82BD-6F1C2BA9B145}" name="Column3148" dataDxfId="13206"/>
    <tableColumn id="3197" xr3:uid="{00ADC52E-32D1-4119-856F-1F33C39544C3}" name="Column3149" dataDxfId="13205"/>
    <tableColumn id="3198" xr3:uid="{3BC3E58C-726C-4AC9-91D0-49A2F9517058}" name="Column3150" dataDxfId="13204"/>
    <tableColumn id="3199" xr3:uid="{7A22EBE4-CE66-4FE0-9CA8-1EFB6365E621}" name="Column3151" dataDxfId="13203"/>
    <tableColumn id="3200" xr3:uid="{46613439-F216-4033-89C3-3DE6F3F21360}" name="Column3152" dataDxfId="13202"/>
    <tableColumn id="3201" xr3:uid="{28CC72DC-EAF2-4C51-995B-2D70ABAF6424}" name="Column3153" dataDxfId="13201"/>
    <tableColumn id="3202" xr3:uid="{00A37066-DEFE-4620-ADC5-2B1E925E8126}" name="Column3154" dataDxfId="13200"/>
    <tableColumn id="3203" xr3:uid="{5D25D81B-AF72-433B-9DB4-2E71A26848F8}" name="Column3155" dataDxfId="13199"/>
    <tableColumn id="3204" xr3:uid="{04D1A907-4052-4E4D-9F2E-0816DCEF2BCB}" name="Column3156" dataDxfId="13198"/>
    <tableColumn id="3205" xr3:uid="{7BE5F164-0F8D-4BAB-B941-FFFCF0DD7E46}" name="Column3157" dataDxfId="13197"/>
    <tableColumn id="3206" xr3:uid="{4282C036-4618-4869-9DB3-E2248FE68EB5}" name="Column3158" dataDxfId="13196"/>
    <tableColumn id="3207" xr3:uid="{EF56E8E7-F34D-4014-94F2-F54E649F8618}" name="Column3159" dataDxfId="13195"/>
    <tableColumn id="3208" xr3:uid="{084EB09C-6900-4D54-A534-95CA21D24BDD}" name="Column3160" dataDxfId="13194"/>
    <tableColumn id="3209" xr3:uid="{8170DD98-F9BC-4EFC-88A4-4F21577B5DCA}" name="Column3161" dataDxfId="13193"/>
    <tableColumn id="3210" xr3:uid="{F2533EC7-B9A0-4CBB-A8B3-33DCF1CC4F2A}" name="Column3162" dataDxfId="13192"/>
    <tableColumn id="3211" xr3:uid="{7A88FDDC-9182-4E87-8E40-0B7485066252}" name="Column3163" dataDxfId="13191"/>
    <tableColumn id="3212" xr3:uid="{73D6CCEA-533F-4163-85BB-19271EFC2D8C}" name="Column3164" dataDxfId="13190"/>
    <tableColumn id="3213" xr3:uid="{C553A4B3-5906-409D-B168-D3EF8A5A2691}" name="Column3165" dataDxfId="13189"/>
    <tableColumn id="3214" xr3:uid="{851F52B7-6DBD-407D-B43A-254E29DA8E62}" name="Column3166" dataDxfId="13188"/>
    <tableColumn id="3215" xr3:uid="{72388AD4-4D8D-42A6-A9EF-A55F467CC74E}" name="Column3167" dataDxfId="13187"/>
    <tableColumn id="3216" xr3:uid="{01429807-9D09-4120-8D02-C5B839F8D080}" name="Column3168" dataDxfId="13186"/>
    <tableColumn id="3217" xr3:uid="{256D9185-A612-4C90-BE4A-D45BE845CEB9}" name="Column3169" dataDxfId="13185"/>
    <tableColumn id="3218" xr3:uid="{9C495E1B-B9A3-4DE7-B8D1-4662F72B185E}" name="Column3170" dataDxfId="13184"/>
    <tableColumn id="3219" xr3:uid="{51B35BED-2D6C-4DC4-8A3D-2CE7F4FBC3E2}" name="Column3171" dataDxfId="13183"/>
    <tableColumn id="3220" xr3:uid="{EDB7A2A1-9235-4E2A-9F05-074C7AB8295A}" name="Column3172" dataDxfId="13182"/>
    <tableColumn id="3221" xr3:uid="{B1E52AD9-877D-43E4-9AA3-2EC1258DCC26}" name="Column3173" dataDxfId="13181"/>
    <tableColumn id="3222" xr3:uid="{2811600E-F12B-4682-A48B-F40293767E01}" name="Column3174" dataDxfId="13180"/>
    <tableColumn id="3223" xr3:uid="{527D769F-A7CD-449E-83B5-9204E500B65F}" name="Column3175" dataDxfId="13179"/>
    <tableColumn id="3224" xr3:uid="{1D9E6F10-2367-4144-BE62-A51E838A1C2E}" name="Column3176" dataDxfId="13178"/>
    <tableColumn id="3225" xr3:uid="{951B1C0D-645C-4D96-9D60-920C382DA67E}" name="Column3177" dataDxfId="13177"/>
    <tableColumn id="3226" xr3:uid="{94F8736E-6CAF-480F-9070-044888E4B92D}" name="Column3178" dataDxfId="13176"/>
    <tableColumn id="3227" xr3:uid="{5C566F16-91F9-44A9-9703-33C26F9C3930}" name="Column3179" dataDxfId="13175"/>
    <tableColumn id="3228" xr3:uid="{D8A939C4-B74C-49D8-9421-E5387B09B9F1}" name="Column3180" dataDxfId="13174"/>
    <tableColumn id="3229" xr3:uid="{A789FFC6-F495-4306-B2FC-F99C6D2D2388}" name="Column3181" dataDxfId="13173"/>
    <tableColumn id="3230" xr3:uid="{2B0458A1-D76C-46D2-9247-EB1BDC0BD164}" name="Column3182" dataDxfId="13172"/>
    <tableColumn id="3231" xr3:uid="{A640CDB7-FE12-49D3-8295-A4D3DBF21E7E}" name="Column3183" dataDxfId="13171"/>
    <tableColumn id="3232" xr3:uid="{98AED550-62C1-483D-A0B9-27FC5DCF2FC7}" name="Column3184" dataDxfId="13170"/>
    <tableColumn id="3233" xr3:uid="{4D9BA537-4564-49C8-B2BC-EBE33EFD0B3D}" name="Column3185" dataDxfId="13169"/>
    <tableColumn id="3234" xr3:uid="{7A7D25EB-74DC-45AB-A77F-B99AE750C59E}" name="Column3186" dataDxfId="13168"/>
    <tableColumn id="3235" xr3:uid="{88A490B9-9EBD-4300-A8BC-CF4AB8DEAC38}" name="Column3187" dataDxfId="13167"/>
    <tableColumn id="3236" xr3:uid="{909EB1DE-0529-4B9E-84B2-DFEF5DA15B5B}" name="Column3188" dataDxfId="13166"/>
    <tableColumn id="3237" xr3:uid="{90C41DCE-0D26-4020-81D8-17251B88A54E}" name="Column3189" dataDxfId="13165"/>
    <tableColumn id="3238" xr3:uid="{F784A02D-99A3-4806-8808-783016C49A67}" name="Column3190" dataDxfId="13164"/>
    <tableColumn id="3239" xr3:uid="{BD0ABFE9-8E93-4737-BBA3-C45F22D96D76}" name="Column3191" dataDxfId="13163"/>
    <tableColumn id="3240" xr3:uid="{7281C22B-A36C-41BB-99AF-58B3B984945A}" name="Column3192" dataDxfId="13162"/>
    <tableColumn id="3241" xr3:uid="{7BD14DDE-F939-493D-9CB6-1CE4D9420337}" name="Column3193" dataDxfId="13161"/>
    <tableColumn id="3242" xr3:uid="{A23FF9CD-5BBF-45D0-90BD-078FFB892FF6}" name="Column3194" dataDxfId="13160"/>
    <tableColumn id="3243" xr3:uid="{87BEF8FA-C60E-47CC-B25C-15974BC9F8E4}" name="Column3195" dataDxfId="13159"/>
    <tableColumn id="3244" xr3:uid="{9A91771B-5597-42F3-8335-F6B462842CA7}" name="Column3196" dataDxfId="13158"/>
    <tableColumn id="3245" xr3:uid="{9619DA66-8EE6-431C-852E-4D2C2BA94229}" name="Column3197" dataDxfId="13157"/>
    <tableColumn id="3246" xr3:uid="{FB728618-2BE4-44A4-9895-4339BE8E36FA}" name="Column3198" dataDxfId="13156"/>
    <tableColumn id="3247" xr3:uid="{BEBA53F0-0383-4636-9295-F83C330221AC}" name="Column3199" dataDxfId="13155"/>
    <tableColumn id="3248" xr3:uid="{D1FDD968-07CF-4303-9CED-B95F06DC52B2}" name="Column3200" dataDxfId="13154"/>
    <tableColumn id="3249" xr3:uid="{24F88CA2-4754-47B7-9A92-D17B7B4F97F5}" name="Column3201" dataDxfId="13153"/>
    <tableColumn id="3250" xr3:uid="{F3B42FBB-D7DE-497F-9EDB-C97C94BEDC10}" name="Column3202" dataDxfId="13152"/>
    <tableColumn id="3251" xr3:uid="{11359D37-E232-4EF5-9FF2-D8A3658B2783}" name="Column3203" dataDxfId="13151"/>
    <tableColumn id="3252" xr3:uid="{F0B7AF44-9EF8-442B-AF16-2ED5210C27AC}" name="Column3204" dataDxfId="13150"/>
    <tableColumn id="3253" xr3:uid="{D185D7AF-ABFF-4071-A046-D7111C8100DD}" name="Column3205" dataDxfId="13149"/>
    <tableColumn id="3254" xr3:uid="{09C9718F-EA84-47EB-9E6C-770419EDE401}" name="Column3206" dataDxfId="13148"/>
    <tableColumn id="3255" xr3:uid="{6FF586A6-F0E3-4F66-993B-607B24F582F5}" name="Column3207" dataDxfId="13147"/>
    <tableColumn id="3256" xr3:uid="{79AE81EF-53A4-4C00-AC75-816B5087A448}" name="Column3208" dataDxfId="13146"/>
    <tableColumn id="3257" xr3:uid="{CF9F40EC-082E-4C0B-83CF-0631490752DC}" name="Column3209" dataDxfId="13145"/>
    <tableColumn id="3258" xr3:uid="{2C53C049-812F-4C1C-9848-C4B4B1F20C5C}" name="Column3210" dataDxfId="13144"/>
    <tableColumn id="3259" xr3:uid="{31854D3F-FB7B-4C0E-8E7E-FD83B7C6C01E}" name="Column3211" dataDxfId="13143"/>
    <tableColumn id="3260" xr3:uid="{B634C60A-2411-418D-9444-22F80F785B90}" name="Column3212" dataDxfId="13142"/>
    <tableColumn id="3261" xr3:uid="{26F0C69C-6D79-4D49-9813-784288A7B6DC}" name="Column3213" dataDxfId="13141"/>
    <tableColumn id="3262" xr3:uid="{326A3DC6-AB68-410C-B905-6612E1501024}" name="Column3214" dataDxfId="13140"/>
    <tableColumn id="3263" xr3:uid="{79279EF1-8F4E-4A2D-BC0D-8DBBED69123C}" name="Column3215" dataDxfId="13139"/>
    <tableColumn id="3264" xr3:uid="{ED81CCF3-0D41-4C58-A6F3-8D2EC2CB632B}" name="Column3216" dataDxfId="13138"/>
    <tableColumn id="3265" xr3:uid="{AFD5F171-0977-4FF7-834D-0AD3AC7A901A}" name="Column3217" dataDxfId="13137"/>
    <tableColumn id="3266" xr3:uid="{EDE0681B-A22B-482E-BF5B-7BBB9ABDB692}" name="Column3218" dataDxfId="13136"/>
    <tableColumn id="3267" xr3:uid="{DAA3ACC5-42D0-4D92-A9FF-B6C5C3D89438}" name="Column3219" dataDxfId="13135"/>
    <tableColumn id="3268" xr3:uid="{38C3F6EE-1366-41B0-B63D-C2B21B792C56}" name="Column3220" dataDxfId="13134"/>
    <tableColumn id="3269" xr3:uid="{FBF81D13-C9E4-4266-A85F-9E13DD2D97D2}" name="Column3221" dataDxfId="13133"/>
    <tableColumn id="3270" xr3:uid="{C1A85270-F556-4EB8-8180-54D8B520D1D2}" name="Column3222" dataDxfId="13132"/>
    <tableColumn id="3271" xr3:uid="{F57820F5-2941-42A2-8BE2-C63A44379FB2}" name="Column3223" dataDxfId="13131"/>
    <tableColumn id="3272" xr3:uid="{B9D52310-9205-4C74-8A76-B18848B3AB07}" name="Column3224" dataDxfId="13130"/>
    <tableColumn id="3273" xr3:uid="{A5C3C5BD-1635-4D35-A922-F206D7B5CD2D}" name="Column3225" dataDxfId="13129"/>
    <tableColumn id="3274" xr3:uid="{93ABFC0A-300E-4DE9-8B7A-B59405EB6FEE}" name="Column3226" dataDxfId="13128"/>
    <tableColumn id="3275" xr3:uid="{A594F50B-96EB-42C5-97CC-C3804E20EFD9}" name="Column3227" dataDxfId="13127"/>
    <tableColumn id="3276" xr3:uid="{2B212ADE-4B3E-40C9-976E-47F4408674C7}" name="Column3228" dataDxfId="13126"/>
    <tableColumn id="3277" xr3:uid="{A02E6342-5638-4D21-AE6F-DB07FC6BAAC6}" name="Column3229" dataDxfId="13125"/>
    <tableColumn id="3278" xr3:uid="{89D7180A-074B-41FA-B5B6-E8812464A786}" name="Column3230" dataDxfId="13124"/>
    <tableColumn id="3279" xr3:uid="{0E9D4847-89A4-40E5-8E00-769D751037A2}" name="Column3231" dataDxfId="13123"/>
    <tableColumn id="3280" xr3:uid="{C0C89B41-B067-47CB-B075-4F8A6F0CE41B}" name="Column3232" dataDxfId="13122"/>
    <tableColumn id="3281" xr3:uid="{6E94B7DC-7220-443D-9BEC-583B51D2519A}" name="Column3233" dataDxfId="13121"/>
    <tableColumn id="3282" xr3:uid="{46A42474-D97C-4AE3-B49F-1C76A4133A11}" name="Column3234" dataDxfId="13120"/>
    <tableColumn id="3283" xr3:uid="{8FD3EC07-9360-4372-8FCF-8637A3E8A92D}" name="Column3235" dataDxfId="13119"/>
    <tableColumn id="3284" xr3:uid="{9860D066-EF8F-42E1-898C-87D71DB4026D}" name="Column3236" dataDxfId="13118"/>
    <tableColumn id="3285" xr3:uid="{50DA7D74-B6AE-45C0-BE1A-07F6C09AF6A9}" name="Column3237" dataDxfId="13117"/>
    <tableColumn id="3286" xr3:uid="{77B35210-DB72-4046-9311-2DB60E5EE9C6}" name="Column3238" dataDxfId="13116"/>
    <tableColumn id="3287" xr3:uid="{4504D559-2A14-4FCE-B29E-CEF5D886EB5F}" name="Column3239" dataDxfId="13115"/>
    <tableColumn id="3288" xr3:uid="{49D39B5C-56A1-4DEC-8078-D5EE50126091}" name="Column3240" dataDxfId="13114"/>
    <tableColumn id="3289" xr3:uid="{E4E93A93-0D0F-431F-B9E2-57BF3A3A7553}" name="Column3241" dataDxfId="13113"/>
    <tableColumn id="3290" xr3:uid="{FF6305E3-A313-425D-8A87-33D3DA80BB76}" name="Column3242" dataDxfId="13112"/>
    <tableColumn id="3291" xr3:uid="{92FCF87D-EB32-4745-91A9-FBD362067150}" name="Column3243" dataDxfId="13111"/>
    <tableColumn id="3292" xr3:uid="{8C1AAE1D-9533-4D13-AA52-87013970A5E4}" name="Column3244" dataDxfId="13110"/>
    <tableColumn id="3293" xr3:uid="{CE464850-2645-4DF0-BE93-3A7233E319EF}" name="Column3245" dataDxfId="13109"/>
    <tableColumn id="3294" xr3:uid="{E2ADD75D-E3A9-4F51-82C8-C6001AF60A31}" name="Column3246" dataDxfId="13108"/>
    <tableColumn id="3295" xr3:uid="{DD71B364-BCBA-4786-B146-5DDDA80AFC62}" name="Column3247" dataDxfId="13107"/>
    <tableColumn id="3296" xr3:uid="{763E3BF3-E4E6-4D89-B6DE-3635EE3C625B}" name="Column3248" dataDxfId="13106"/>
    <tableColumn id="3297" xr3:uid="{B521731E-7FBF-405F-B715-6AFD2703A351}" name="Column3249" dataDxfId="13105"/>
    <tableColumn id="3298" xr3:uid="{54721995-AC43-4B77-B8E8-22B0CCB98FAF}" name="Column3250" dataDxfId="13104"/>
    <tableColumn id="3299" xr3:uid="{3DDD2C19-9D82-4D9C-8FC7-0D7D2D903C9F}" name="Column3251" dataDxfId="13103"/>
    <tableColumn id="3300" xr3:uid="{107922D2-FF1B-4C9E-8D94-55C5B62AB51E}" name="Column3252" dataDxfId="13102"/>
    <tableColumn id="3301" xr3:uid="{C8C14797-EC42-4710-AD04-8124679AAFB2}" name="Column3253" dataDxfId="13101"/>
    <tableColumn id="3302" xr3:uid="{02F993A4-6EC5-4EF1-848E-E760E7EF36DF}" name="Column3254" dataDxfId="13100"/>
    <tableColumn id="3303" xr3:uid="{7090247C-1638-435F-BE54-B2C254DDC2A8}" name="Column3255" dataDxfId="13099"/>
    <tableColumn id="3304" xr3:uid="{ED1C2A2F-824F-4B61-B4E1-1B3C194FAE1B}" name="Column3256" dataDxfId="13098"/>
    <tableColumn id="3305" xr3:uid="{86B47D9E-82D3-4372-B790-181AF1E57128}" name="Column3257" dataDxfId="13097"/>
    <tableColumn id="3306" xr3:uid="{1546DFA0-8EFC-4F13-9415-9E018DB91DFF}" name="Column3258" dataDxfId="13096"/>
    <tableColumn id="3307" xr3:uid="{FB337AC8-9607-498E-BC8A-4D7D17AA8733}" name="Column3259" dataDxfId="13095"/>
    <tableColumn id="3308" xr3:uid="{F36DB15E-57BF-4C99-9E05-C5EB5BF7076A}" name="Column3260" dataDxfId="13094"/>
    <tableColumn id="3309" xr3:uid="{8D39DC80-5D69-4FC1-AB56-96CFD46DB425}" name="Column3261" dataDxfId="13093"/>
    <tableColumn id="3310" xr3:uid="{B2CDA589-E8C8-4CB3-8904-C8C06B061663}" name="Column3262" dataDxfId="13092"/>
    <tableColumn id="3311" xr3:uid="{39CC36A5-19AA-4156-A2CF-35FB7C159D4A}" name="Column3263" dataDxfId="13091"/>
    <tableColumn id="3312" xr3:uid="{77960E09-8B17-4B9F-ADA7-E201A23DE387}" name="Column3264" dataDxfId="13090"/>
    <tableColumn id="3313" xr3:uid="{DFA1F9C4-4A51-4D74-9985-EAFF1694319E}" name="Column3265" dataDxfId="13089"/>
    <tableColumn id="3314" xr3:uid="{1DFF1C53-2328-4AC8-B3DD-6186B599246E}" name="Column3266" dataDxfId="13088"/>
    <tableColumn id="3315" xr3:uid="{466D9A2F-7D1F-448A-A0D0-2D9397BC4A16}" name="Column3267" dataDxfId="13087"/>
    <tableColumn id="3316" xr3:uid="{91DFE41F-5129-44B6-811C-6EA2B16C01F9}" name="Column3268" dataDxfId="13086"/>
    <tableColumn id="3317" xr3:uid="{E28F5593-66DC-4631-97F0-ACD7E6CFEF7C}" name="Column3269" dataDxfId="13085"/>
    <tableColumn id="3318" xr3:uid="{A0AE82EB-9D5F-4481-A5DB-2AE3EE6F7FDA}" name="Column3270" dataDxfId="13084"/>
    <tableColumn id="3319" xr3:uid="{7AF945D8-7A6E-44F5-AAC7-42440EF4E6DD}" name="Column3271" dataDxfId="13083"/>
    <tableColumn id="3320" xr3:uid="{A6586293-914A-441F-AA95-C1E4B59CEB68}" name="Column3272" dataDxfId="13082"/>
    <tableColumn id="3321" xr3:uid="{331F1FD8-3824-43F8-9D22-C40EE4AEA8FF}" name="Column3273" dataDxfId="13081"/>
    <tableColumn id="3322" xr3:uid="{30D288DF-6139-4715-B8A1-A1DF9175EE2E}" name="Column3274" dataDxfId="13080"/>
    <tableColumn id="3323" xr3:uid="{9E4BD03E-A396-4C12-8373-79C886FE0328}" name="Column3275" dataDxfId="13079"/>
    <tableColumn id="3324" xr3:uid="{1E5DF9C1-BE5C-4F54-B6EC-DD92386244B2}" name="Column3276" dataDxfId="13078"/>
    <tableColumn id="3325" xr3:uid="{D193F057-C966-48E9-87FA-D43B8A5890C9}" name="Column3277" dataDxfId="13077"/>
    <tableColumn id="3326" xr3:uid="{5A14BF14-73FA-44DF-8AD1-5F4E422E83DC}" name="Column3278" dataDxfId="13076"/>
    <tableColumn id="3327" xr3:uid="{B561C8AE-64C0-4D5B-9B16-F6BE16698A1F}" name="Column3279" dataDxfId="13075"/>
    <tableColumn id="3328" xr3:uid="{9552FCF3-EE12-46E4-80F4-733C8905DA43}" name="Column3280" dataDxfId="13074"/>
    <tableColumn id="3329" xr3:uid="{83DC2BAD-E787-45E5-96D2-7404AB588D79}" name="Column3281" dataDxfId="13073"/>
    <tableColumn id="3330" xr3:uid="{32B1F2C2-D224-4C88-87AD-7B211866F718}" name="Column3282" dataDxfId="13072"/>
    <tableColumn id="3331" xr3:uid="{32BEC484-578C-4870-8A18-2ADD14513EC6}" name="Column3283" dataDxfId="13071"/>
    <tableColumn id="3332" xr3:uid="{474480A1-EBED-450A-9AF2-075715517931}" name="Column3284" dataDxfId="13070"/>
    <tableColumn id="3333" xr3:uid="{34AD876E-6A6B-4B49-8897-0C6DF5C27AAE}" name="Column3285" dataDxfId="13069"/>
    <tableColumn id="3334" xr3:uid="{E2D293CC-7EBA-4001-BE9F-EA65C26A197E}" name="Column3286" dataDxfId="13068"/>
    <tableColumn id="3335" xr3:uid="{B51E1840-9AA7-43A5-AE38-6DAED2DAD132}" name="Column3287" dataDxfId="13067"/>
    <tableColumn id="3336" xr3:uid="{EE558BC3-C0FC-4D57-A77A-CDA40D407B39}" name="Column3288" dataDxfId="13066"/>
    <tableColumn id="3337" xr3:uid="{65C41720-06F1-4FBA-9955-0DB32ACD341D}" name="Column3289" dataDxfId="13065"/>
    <tableColumn id="3338" xr3:uid="{42ABBB9D-4443-49DE-965C-2D2232115F5C}" name="Column3290" dataDxfId="13064"/>
    <tableColumn id="3339" xr3:uid="{B9C75F71-7CE4-4DD1-834F-5B5A030FDC82}" name="Column3291" dataDxfId="13063"/>
    <tableColumn id="3340" xr3:uid="{95EF7DB2-BE05-4C1F-97C8-BEB130AAB8A4}" name="Column3292" dataDxfId="13062"/>
    <tableColumn id="3341" xr3:uid="{4407D753-7484-4FB3-8AA5-E8EE9546F71A}" name="Column3293" dataDxfId="13061"/>
    <tableColumn id="3342" xr3:uid="{541CCF53-974F-4CCA-BC43-1A03A4AB0650}" name="Column3294" dataDxfId="13060"/>
    <tableColumn id="3343" xr3:uid="{F9D300D4-6CB6-47C6-8341-2ECDE3B0E8F7}" name="Column3295" dataDxfId="13059"/>
    <tableColumn id="3344" xr3:uid="{D3C8A971-536E-4FDD-A104-FA41A6A5C458}" name="Column3296" dataDxfId="13058"/>
    <tableColumn id="3345" xr3:uid="{7A4C92A0-C6F2-4012-B665-E6140E2CA6F8}" name="Column3297" dataDxfId="13057"/>
    <tableColumn id="3346" xr3:uid="{D129C62B-C2DC-46EE-928F-FBA8F73E12FD}" name="Column3298" dataDxfId="13056"/>
    <tableColumn id="3347" xr3:uid="{6BA9173E-49A3-4BCF-BEE0-CEC90ED07421}" name="Column3299" dataDxfId="13055"/>
    <tableColumn id="3348" xr3:uid="{C8740BB8-8AC0-4E80-9B8C-06F3138DA204}" name="Column3300" dataDxfId="13054"/>
    <tableColumn id="3349" xr3:uid="{7A0775E2-5666-44CE-82BA-79209EF16BAD}" name="Column3301" dataDxfId="13053"/>
    <tableColumn id="3350" xr3:uid="{C28A7157-E8E4-4281-8F5E-5CCA8003A984}" name="Column3302" dataDxfId="13052"/>
    <tableColumn id="3351" xr3:uid="{4428F128-9E90-43F4-8DB7-53770B6F4A3D}" name="Column3303" dataDxfId="13051"/>
    <tableColumn id="3352" xr3:uid="{B28A412F-BAA1-425B-B0B5-6F772A2AA3AA}" name="Column3304" dataDxfId="13050"/>
    <tableColumn id="3353" xr3:uid="{339C7F8E-0FDB-4202-8879-76EE1B1BC1E2}" name="Column3305" dataDxfId="13049"/>
    <tableColumn id="3354" xr3:uid="{5774059E-7590-42EA-AC8C-9E5A1B2F142C}" name="Column3306" dataDxfId="13048"/>
    <tableColumn id="3355" xr3:uid="{AB7537DB-5F86-46FC-A9AF-7DFE04C89FBE}" name="Column3307" dataDxfId="13047"/>
    <tableColumn id="3356" xr3:uid="{62B870EB-FD04-4BB1-95A4-8B5FC27D1C04}" name="Column3308" dataDxfId="13046"/>
    <tableColumn id="3357" xr3:uid="{C28E6212-7E4C-47AE-BB7A-4A462C856079}" name="Column3309" dataDxfId="13045"/>
    <tableColumn id="3358" xr3:uid="{697FB3D0-EFF9-4CFF-A8E7-AA630A561ACC}" name="Column3310" dataDxfId="13044"/>
    <tableColumn id="3359" xr3:uid="{3FA2EB34-AA2E-4898-8FEB-0E75C4572690}" name="Column3311" dataDxfId="13043"/>
    <tableColumn id="3360" xr3:uid="{8321B340-A878-4DAE-879D-62B92A1EEF40}" name="Column3312" dataDxfId="13042"/>
    <tableColumn id="3361" xr3:uid="{241EBC56-325D-4F58-A75C-8251AD53B326}" name="Column3313" dataDxfId="13041"/>
    <tableColumn id="3362" xr3:uid="{E1803025-0F0B-4785-A9A4-94E62705F110}" name="Column3314" dataDxfId="13040"/>
    <tableColumn id="3363" xr3:uid="{4ED1FFF6-50A2-4F73-A5AA-F493633F0B2D}" name="Column3315" dataDxfId="13039"/>
    <tableColumn id="3364" xr3:uid="{AE6A3A57-6E5A-4E4B-AC46-E6EE9A302717}" name="Column3316" dataDxfId="13038"/>
    <tableColumn id="3365" xr3:uid="{9E7639B5-2454-4A7E-940A-BC10B47E40F9}" name="Column3317" dataDxfId="13037"/>
    <tableColumn id="3366" xr3:uid="{8092A4A2-D8F6-4787-BA21-0424F7DDC655}" name="Column3318" dataDxfId="13036"/>
    <tableColumn id="3367" xr3:uid="{DC0EDB83-E359-4E2F-B479-3703409E19F2}" name="Column3319" dataDxfId="13035"/>
    <tableColumn id="3368" xr3:uid="{4C5E4B18-DDBF-4278-AA92-41278C398CDC}" name="Column3320" dataDxfId="13034"/>
    <tableColumn id="3369" xr3:uid="{AB508E14-31E7-4FC7-8B8C-5043F2AD14F1}" name="Column3321" dataDxfId="13033"/>
    <tableColumn id="3370" xr3:uid="{4B755586-B10D-40D2-B380-122BFD77DC6F}" name="Column3322" dataDxfId="13032"/>
    <tableColumn id="3371" xr3:uid="{794BFB0D-352F-406A-B728-63420E5BBE54}" name="Column3323" dataDxfId="13031"/>
    <tableColumn id="3372" xr3:uid="{5A0F9953-1E04-42D8-94EC-CC90420FFD2D}" name="Column3324" dataDxfId="13030"/>
    <tableColumn id="3373" xr3:uid="{266A9D99-24C5-4A09-90EF-956B80EBF2EB}" name="Column3325" dataDxfId="13029"/>
    <tableColumn id="3374" xr3:uid="{7C50CFBA-0290-4EA4-8D59-81094850A079}" name="Column3326" dataDxfId="13028"/>
    <tableColumn id="3375" xr3:uid="{CFD59A38-EEDB-4837-81B2-555197690642}" name="Column3327" dataDxfId="13027"/>
    <tableColumn id="3376" xr3:uid="{CE9220F8-3DF6-4120-8895-111C9EDCB885}" name="Column3328" dataDxfId="13026"/>
    <tableColumn id="3377" xr3:uid="{4C4216D1-3EF2-40EF-8C78-8AFC775DE3E7}" name="Column3329" dataDxfId="13025"/>
    <tableColumn id="3378" xr3:uid="{8E355DCB-8348-4658-9B37-2368F55A8C77}" name="Column3330" dataDxfId="13024"/>
    <tableColumn id="3379" xr3:uid="{1280F11D-BD5D-47BE-90B3-82EC6C6E8909}" name="Column3331" dataDxfId="13023"/>
    <tableColumn id="3380" xr3:uid="{FACD21CF-AE9C-47D6-80EC-2F3F570ADA47}" name="Column3332" dataDxfId="13022"/>
    <tableColumn id="3381" xr3:uid="{B9505F0A-5079-4633-9E84-E82AED18FB80}" name="Column3333" dataDxfId="13021"/>
    <tableColumn id="3382" xr3:uid="{E6176054-1DA7-46DB-A5AA-585FE482E988}" name="Column3334" dataDxfId="13020"/>
    <tableColumn id="3383" xr3:uid="{950AEDBC-5560-4C1F-A40C-399608F71D81}" name="Column3335" dataDxfId="13019"/>
    <tableColumn id="3384" xr3:uid="{95429968-09D8-47D8-BE3A-8D91FA3CF04E}" name="Column3336" dataDxfId="13018"/>
    <tableColumn id="3385" xr3:uid="{A1827459-36F0-4290-B14F-3D814A019981}" name="Column3337" dataDxfId="13017"/>
    <tableColumn id="3386" xr3:uid="{C8962FD9-28AD-4DA0-B462-BE8FCAEBE11C}" name="Column3338" dataDxfId="13016"/>
    <tableColumn id="3387" xr3:uid="{B8FF0BCA-69B5-4D35-A0BB-9865F5395A8E}" name="Column3339" dataDxfId="13015"/>
    <tableColumn id="3388" xr3:uid="{20B14A01-DAA5-4F4D-A410-06DB9D671FA8}" name="Column3340" dataDxfId="13014"/>
    <tableColumn id="3389" xr3:uid="{65294E32-4E89-4E04-8B9A-7316EC89337E}" name="Column3341" dataDxfId="13013"/>
    <tableColumn id="3390" xr3:uid="{67EEA1C6-761E-4622-9E9D-7BAD1C27F5C4}" name="Column3342" dataDxfId="13012"/>
    <tableColumn id="3391" xr3:uid="{19F72B20-C595-46EE-9A5E-3066755BBB01}" name="Column3343" dataDxfId="13011"/>
    <tableColumn id="3392" xr3:uid="{81B03D4E-2431-4F5C-9943-E8398CA819DE}" name="Column3344" dataDxfId="13010"/>
    <tableColumn id="3393" xr3:uid="{2E2E7049-2616-4E28-9949-5C6D7827F4BC}" name="Column3345" dataDxfId="13009"/>
    <tableColumn id="3394" xr3:uid="{69F0526A-7B60-4768-AA1F-9CECC88F4786}" name="Column3346" dataDxfId="13008"/>
    <tableColumn id="3395" xr3:uid="{7F727973-1032-4A4E-9E00-7C5D90467D6F}" name="Column3347" dataDxfId="13007"/>
    <tableColumn id="3396" xr3:uid="{4B15CF5A-C796-41B9-B583-9FE1CCD08EC1}" name="Column3348" dataDxfId="13006"/>
    <tableColumn id="3397" xr3:uid="{F8F9DF7A-6E9E-48CD-83C1-18B2114F0367}" name="Column3349" dataDxfId="13005"/>
    <tableColumn id="3398" xr3:uid="{1C97C4F7-44AB-445E-8648-6FF0E0BDCF89}" name="Column3350" dataDxfId="13004"/>
    <tableColumn id="3399" xr3:uid="{B94DCE5E-7FF0-4C9C-BEEB-5C86F253F6E5}" name="Column3351" dataDxfId="13003"/>
    <tableColumn id="3400" xr3:uid="{2219B4DB-4048-4F5F-88DD-F04582FFAFB5}" name="Column3352" dataDxfId="13002"/>
    <tableColumn id="3401" xr3:uid="{BABD99EF-657F-448C-8BEB-7CA870F57DC8}" name="Column3353" dataDxfId="13001"/>
    <tableColumn id="3402" xr3:uid="{FBC8EE32-8B73-4C8A-ADE2-9128EBE14726}" name="Column3354" dataDxfId="13000"/>
    <tableColumn id="3403" xr3:uid="{CE868934-1285-4A07-8596-77A468E681BA}" name="Column3355" dataDxfId="12999"/>
    <tableColumn id="3404" xr3:uid="{6AC12E7D-841E-498E-8E60-32EA5CDC0D01}" name="Column3356" dataDxfId="12998"/>
    <tableColumn id="3405" xr3:uid="{E61A48DB-A969-4347-8AD4-2A8F3FEB9DD6}" name="Column3357" dataDxfId="12997"/>
    <tableColumn id="3406" xr3:uid="{83146A89-700D-4EF3-8A86-40CC6299B326}" name="Column3358" dataDxfId="12996"/>
    <tableColumn id="3407" xr3:uid="{F507606A-44AB-4539-A40F-5E4C28E79EEA}" name="Column3359" dataDxfId="12995"/>
    <tableColumn id="3408" xr3:uid="{7CF89576-5E22-47AC-9848-1769AE671289}" name="Column3360" dataDxfId="12994"/>
    <tableColumn id="3409" xr3:uid="{50EEF41F-EF4A-4632-836E-5B4B0046E913}" name="Column3361" dataDxfId="12993"/>
    <tableColumn id="3410" xr3:uid="{17744D06-37E5-4A93-AF7F-ECC5CC6A56B8}" name="Column3362" dataDxfId="12992"/>
    <tableColumn id="3411" xr3:uid="{AFC646F9-7FB2-4D32-94FF-2E5CB68A9E10}" name="Column3363" dataDxfId="12991"/>
    <tableColumn id="3412" xr3:uid="{10E59656-DA46-4251-A203-74312376FEF8}" name="Column3364" dataDxfId="12990"/>
    <tableColumn id="3413" xr3:uid="{2D22EEAC-41E9-4FD8-BBD6-05E4E75B37BA}" name="Column3365" dataDxfId="12989"/>
    <tableColumn id="3414" xr3:uid="{9BB6CFA5-AABD-48FF-BE89-EE67F0418506}" name="Column3366" dataDxfId="12988"/>
    <tableColumn id="3415" xr3:uid="{41A027C2-8F6D-478A-9C62-28547163D8EE}" name="Column3367" dataDxfId="12987"/>
    <tableColumn id="3416" xr3:uid="{DD27762A-F4CD-45A9-8ACB-21A452F7EC3F}" name="Column3368" dataDxfId="12986"/>
    <tableColumn id="3417" xr3:uid="{22AD7456-EAC9-4CCE-8F96-77261FB82D67}" name="Column3369" dataDxfId="12985"/>
    <tableColumn id="3418" xr3:uid="{6134116D-0812-4436-A053-19B0ED612545}" name="Column3370" dataDxfId="12984"/>
    <tableColumn id="3419" xr3:uid="{2191D78D-4135-4A5F-B099-56DEF4FD3C94}" name="Column3371" dataDxfId="12983"/>
    <tableColumn id="3420" xr3:uid="{8B47B01D-A687-46E6-A8F7-C3FC25B1836B}" name="Column3372" dataDxfId="12982"/>
    <tableColumn id="3421" xr3:uid="{5AFEDF20-C2EA-46D6-90DE-CB3F738DC98C}" name="Column3373" dataDxfId="12981"/>
    <tableColumn id="3422" xr3:uid="{F6D34B76-DF5F-4FB8-B655-D2DF3B4EEF26}" name="Column3374" dataDxfId="12980"/>
    <tableColumn id="3423" xr3:uid="{E7F57C18-9255-46AA-86CF-C2AA4AD1C93F}" name="Column3375" dataDxfId="12979"/>
    <tableColumn id="3424" xr3:uid="{39EDD568-058E-4554-B307-C2B70D42F58D}" name="Column3376" dataDxfId="12978"/>
    <tableColumn id="3425" xr3:uid="{3FE0CA37-373F-411B-A5F2-170A81295ED1}" name="Column3377" dataDxfId="12977"/>
    <tableColumn id="3426" xr3:uid="{36240DA3-FE7C-405D-95C6-CD6F775C49CB}" name="Column3378" dataDxfId="12976"/>
    <tableColumn id="3427" xr3:uid="{CD4A4276-2AD8-46B9-AA8F-8CFE331B194B}" name="Column3379" dataDxfId="12975"/>
    <tableColumn id="3428" xr3:uid="{FEA0308C-0446-4502-B7DF-1226F3292783}" name="Column3380" dataDxfId="12974"/>
    <tableColumn id="3429" xr3:uid="{81D66E11-C747-4529-A2E7-BADC7B351F35}" name="Column3381" dataDxfId="12973"/>
    <tableColumn id="3430" xr3:uid="{0D18ECC5-743C-48F9-82A2-FEB3E146602E}" name="Column3382" dataDxfId="12972"/>
    <tableColumn id="3431" xr3:uid="{55F8E540-1B33-45D6-AE86-FA7D7254586C}" name="Column3383" dataDxfId="12971"/>
    <tableColumn id="3432" xr3:uid="{0597354A-9786-4D74-9E61-4D1D3B36F388}" name="Column3384" dataDxfId="12970"/>
    <tableColumn id="3433" xr3:uid="{E9F7B25B-E715-4319-BD7C-9B8722DB358C}" name="Column3385" dataDxfId="12969"/>
    <tableColumn id="3434" xr3:uid="{175692B2-5886-469C-9CC1-C6AE318515BB}" name="Column3386" dataDxfId="12968"/>
    <tableColumn id="3435" xr3:uid="{BAA9E781-90B1-4E40-9266-E393E80D5AB0}" name="Column3387" dataDxfId="12967"/>
    <tableColumn id="3436" xr3:uid="{3D4A93C7-4A4E-42C0-A136-3290DF109969}" name="Column3388" dataDxfId="12966"/>
    <tableColumn id="3437" xr3:uid="{4D178939-8507-475A-BD4F-9C325A99107A}" name="Column3389" dataDxfId="12965"/>
    <tableColumn id="3438" xr3:uid="{8256C4C6-0561-43EA-A1CD-5C63E12A2F52}" name="Column3390" dataDxfId="12964"/>
    <tableColumn id="3439" xr3:uid="{95DB7D26-A90E-42C3-AE9E-2E3AD62687CB}" name="Column3391" dataDxfId="12963"/>
    <tableColumn id="3440" xr3:uid="{50EC9FE2-EEA8-4C61-926C-C7CD90E6F0C6}" name="Column3392" dataDxfId="12962"/>
    <tableColumn id="3441" xr3:uid="{7018DD5D-F1F5-40AE-89E9-C17F9825F4B7}" name="Column3393" dataDxfId="12961"/>
    <tableColumn id="3442" xr3:uid="{FEEEDD81-FA89-4316-B5C3-CB58B4B9344D}" name="Column3394" dataDxfId="12960"/>
    <tableColumn id="3443" xr3:uid="{21A412B4-2381-4E0F-82BB-0ED8F5C89964}" name="Column3395" dataDxfId="12959"/>
    <tableColumn id="3444" xr3:uid="{C746AA16-C262-46A1-A6E8-8145B00DF852}" name="Column3396" dataDxfId="12958"/>
    <tableColumn id="3445" xr3:uid="{2B5C9366-B699-4FA3-BD98-ED1F8143B1E0}" name="Column3397" dataDxfId="12957"/>
    <tableColumn id="3446" xr3:uid="{9356EF51-8727-42EF-B819-9C109E0DE9B1}" name="Column3398" dataDxfId="12956"/>
    <tableColumn id="3447" xr3:uid="{4752C2B5-4F69-49B8-8C15-74D5659DA462}" name="Column3399" dataDxfId="12955"/>
    <tableColumn id="3448" xr3:uid="{A5F12A6F-3817-44AA-A495-3766B131A612}" name="Column3400" dataDxfId="12954"/>
    <tableColumn id="3449" xr3:uid="{8080EA85-AA5E-4894-BEED-2347BCF48360}" name="Column3401" dataDxfId="12953"/>
    <tableColumn id="3450" xr3:uid="{2C86BE32-C8B2-43BA-AA4B-A65613DF271D}" name="Column3402" dataDxfId="12952"/>
    <tableColumn id="3451" xr3:uid="{806296AA-9FCA-484C-A409-B743FA204249}" name="Column3403" dataDxfId="12951"/>
    <tableColumn id="3452" xr3:uid="{6C44E872-51EB-4649-AFAF-17DFA99670CB}" name="Column3404" dataDxfId="12950"/>
    <tableColumn id="3453" xr3:uid="{2A4A9DD0-367F-4A0F-B1A1-AB590B6EE221}" name="Column3405" dataDxfId="12949"/>
    <tableColumn id="3454" xr3:uid="{E3180693-B45D-42CE-8439-CC6D5FF133BD}" name="Column3406" dataDxfId="12948"/>
    <tableColumn id="3455" xr3:uid="{2EC9BA88-73C3-4955-9765-74FA8D5D4E96}" name="Column3407" dataDxfId="12947"/>
    <tableColumn id="3456" xr3:uid="{BB9956E1-B12D-4F0E-82B7-7798C18EC650}" name="Column3408" dataDxfId="12946"/>
    <tableColumn id="3457" xr3:uid="{5290AB69-C88D-4215-9D8E-94F411FA0C52}" name="Column3409" dataDxfId="12945"/>
    <tableColumn id="3458" xr3:uid="{DCAA2D2A-D0F0-4043-AC36-C3682E210E27}" name="Column3410" dataDxfId="12944"/>
    <tableColumn id="3459" xr3:uid="{A90D40B4-2CF1-4642-A472-6B66FF6BD1A4}" name="Column3411" dataDxfId="12943"/>
    <tableColumn id="3460" xr3:uid="{39BF7628-86EF-4BE8-903A-DFBE7E52B55F}" name="Column3412" dataDxfId="12942"/>
    <tableColumn id="3461" xr3:uid="{FD1D0762-E990-4C5D-8823-420AE5CF075C}" name="Column3413" dataDxfId="12941"/>
    <tableColumn id="3462" xr3:uid="{7016F9DA-C54B-482C-9132-BFB03323D238}" name="Column3414" dataDxfId="12940"/>
    <tableColumn id="3463" xr3:uid="{3A2904B9-A323-4883-A2BF-8A845CB91C68}" name="Column3415" dataDxfId="12939"/>
    <tableColumn id="3464" xr3:uid="{0CFD6FB8-45C0-44D2-8C43-5CFCE4DA798C}" name="Column3416" dataDxfId="12938"/>
    <tableColumn id="3465" xr3:uid="{44E1B386-FE26-421F-83EC-9F6F367C5980}" name="Column3417" dataDxfId="12937"/>
    <tableColumn id="3466" xr3:uid="{75716581-6A36-4C52-8E29-0EF04DCA6968}" name="Column3418" dataDxfId="12936"/>
    <tableColumn id="3467" xr3:uid="{B7BD8B30-7393-4E14-BA3C-A506BB040483}" name="Column3419" dataDxfId="12935"/>
    <tableColumn id="3468" xr3:uid="{1392E79C-4307-4583-837B-F2123382C54A}" name="Column3420" dataDxfId="12934"/>
    <tableColumn id="3469" xr3:uid="{EC64E409-6861-4C7F-B1B6-51368642D43C}" name="Column3421" dataDxfId="12933"/>
    <tableColumn id="3470" xr3:uid="{FD261FFE-2CC8-40CB-A243-5007C29A6911}" name="Column3422" dataDxfId="12932"/>
    <tableColumn id="3471" xr3:uid="{2ABBE448-9249-457F-971B-7ED41487E5A1}" name="Column3423" dataDxfId="12931"/>
    <tableColumn id="3472" xr3:uid="{EB8B3A9A-DAB2-48D5-8CA6-6952C65BB07F}" name="Column3424" dataDxfId="12930"/>
    <tableColumn id="3473" xr3:uid="{8D704EF0-0249-4D56-9D36-C8C63FCD1BEC}" name="Column3425" dataDxfId="12929"/>
    <tableColumn id="3474" xr3:uid="{70332477-A452-417B-81C6-0B0CB72AB2AA}" name="Column3426" dataDxfId="12928"/>
    <tableColumn id="3475" xr3:uid="{0B4FCE8B-CD47-4FE0-8487-D5C52C4142C2}" name="Column3427" dataDxfId="12927"/>
    <tableColumn id="3476" xr3:uid="{CDCA2C50-5BD9-4B0B-BD59-940C29548381}" name="Column3428" dataDxfId="12926"/>
    <tableColumn id="3477" xr3:uid="{4C20847C-DD8E-4DDE-8710-3513F7F8A554}" name="Column3429" dataDxfId="12925"/>
    <tableColumn id="3478" xr3:uid="{9DAB7912-02F3-4F51-8117-7DA6C3165E2D}" name="Column3430" dataDxfId="12924"/>
    <tableColumn id="3479" xr3:uid="{C31A708C-99BB-44C3-8EAF-E840FFAEEF00}" name="Column3431" dataDxfId="12923"/>
    <tableColumn id="3480" xr3:uid="{D45496B8-4D27-4E11-B2D1-2F81EF50A913}" name="Column3432" dataDxfId="12922"/>
    <tableColumn id="3481" xr3:uid="{363E3351-9A04-43C1-B85B-F3D9E9F77FC5}" name="Column3433" dataDxfId="12921"/>
    <tableColumn id="3482" xr3:uid="{9367A793-BE49-48EA-812D-45D889044396}" name="Column3434" dataDxfId="12920"/>
    <tableColumn id="3483" xr3:uid="{7F1C883E-6B8B-48B1-8B3C-DB34FEB806B5}" name="Column3435" dataDxfId="12919"/>
    <tableColumn id="3484" xr3:uid="{64D43982-4CD2-4667-98BE-AC5725EC03F3}" name="Column3436" dataDxfId="12918"/>
    <tableColumn id="3485" xr3:uid="{0855CC69-6B2C-4228-9905-9C940792CA7C}" name="Column3437" dataDxfId="12917"/>
    <tableColumn id="3486" xr3:uid="{D657E68C-3D9F-41A1-9F29-930DE650A5E0}" name="Column3438" dataDxfId="12916"/>
    <tableColumn id="3487" xr3:uid="{EA7254A4-5088-4B1C-9249-1FD2FB42AED0}" name="Column3439" dataDxfId="12915"/>
    <tableColumn id="3488" xr3:uid="{FC5B78F0-05D1-48D4-8B91-A0F35C2C41A8}" name="Column3440" dataDxfId="12914"/>
    <tableColumn id="3489" xr3:uid="{B4527FD7-E458-4AC5-A80D-E2A55B27EB11}" name="Column3441" dataDxfId="12913"/>
    <tableColumn id="3490" xr3:uid="{AA1E7700-D64C-440F-8716-7E0344FA8BFF}" name="Column3442" dataDxfId="12912"/>
    <tableColumn id="3491" xr3:uid="{1908DCC0-17A5-48C1-B9DC-74CB71870294}" name="Column3443" dataDxfId="12911"/>
    <tableColumn id="3492" xr3:uid="{5736728E-4B25-440D-95F1-46520BEE0C98}" name="Column3444" dataDxfId="12910"/>
    <tableColumn id="3493" xr3:uid="{03750316-8015-4482-A529-A4BB0A02729E}" name="Column3445" dataDxfId="12909"/>
    <tableColumn id="3494" xr3:uid="{8E6FBEB9-9B1D-457E-93D0-D36E0FE814E8}" name="Column3446" dataDxfId="12908"/>
    <tableColumn id="3495" xr3:uid="{D7EFB787-E2B2-41BB-BCA3-B8BFF6B7616D}" name="Column3447" dataDxfId="12907"/>
    <tableColumn id="3496" xr3:uid="{7916DDD2-59E1-4761-9598-5CEDAD97FADB}" name="Column3448" dataDxfId="12906"/>
    <tableColumn id="3497" xr3:uid="{2853AD6A-03EA-4527-B448-CF371A7A7EFE}" name="Column3449" dataDxfId="12905"/>
    <tableColumn id="3498" xr3:uid="{562F5787-1554-4B8C-AD88-A7B80BBA550B}" name="Column3450" dataDxfId="12904"/>
    <tableColumn id="3499" xr3:uid="{A72DD4E0-48A0-49A9-9883-520FC1486B73}" name="Column3451" dataDxfId="12903"/>
    <tableColumn id="3500" xr3:uid="{CA20DB1D-7196-4284-98CD-0FFEF09FE966}" name="Column3452" dataDxfId="12902"/>
    <tableColumn id="3501" xr3:uid="{8AEF062E-F47C-40A3-A512-834E68291E74}" name="Column3453" dataDxfId="12901"/>
    <tableColumn id="3502" xr3:uid="{1421B580-057F-44E2-ADCA-749F06C2A286}" name="Column3454" dataDxfId="12900"/>
    <tableColumn id="3503" xr3:uid="{1D8176F1-850A-4527-BF44-EC46202614D3}" name="Column3455" dataDxfId="12899"/>
    <tableColumn id="3504" xr3:uid="{0BFB9725-BE80-4C77-9F14-82EB4DC784C0}" name="Column3456" dataDxfId="12898"/>
    <tableColumn id="3505" xr3:uid="{E8112204-18BE-439D-A68A-96BA220EB298}" name="Column3457" dataDxfId="12897"/>
    <tableColumn id="3506" xr3:uid="{094FA8A2-523D-4C7F-9B23-8FCF1BFF994A}" name="Column3458" dataDxfId="12896"/>
    <tableColumn id="3507" xr3:uid="{7CFDDD12-E983-4A34-BAA0-63992E788313}" name="Column3459" dataDxfId="12895"/>
    <tableColumn id="3508" xr3:uid="{21527E4B-9F02-4BAF-919E-EB319483CDA9}" name="Column3460" dataDxfId="12894"/>
    <tableColumn id="3509" xr3:uid="{43B12331-94AA-4DC0-9B8F-83130BF269D5}" name="Column3461" dataDxfId="12893"/>
    <tableColumn id="3510" xr3:uid="{F703ED73-2F01-4F9F-A384-BFB42C1D4F5A}" name="Column3462" dataDxfId="12892"/>
    <tableColumn id="3511" xr3:uid="{4F4B4FBE-4EFA-4B44-8091-31067C829DA0}" name="Column3463" dataDxfId="12891"/>
    <tableColumn id="3512" xr3:uid="{2E41CCF3-B32C-4F85-AEF4-AF6956FAA04C}" name="Column3464" dataDxfId="12890"/>
    <tableColumn id="3513" xr3:uid="{284A2311-0B8F-443C-A5F6-7C52A95A44FF}" name="Column3465" dataDxfId="12889"/>
    <tableColumn id="3514" xr3:uid="{999C346D-56AA-4257-8579-A31BAFB78ED7}" name="Column3466" dataDxfId="12888"/>
    <tableColumn id="3515" xr3:uid="{BAE2997F-1938-48CB-BEBB-2CF43F451AAE}" name="Column3467" dataDxfId="12887"/>
    <tableColumn id="3516" xr3:uid="{FC88D1A1-FED6-4B2F-B721-2F6549383A9A}" name="Column3468" dataDxfId="12886"/>
    <tableColumn id="3517" xr3:uid="{2827B67E-F9C8-4DCC-8210-2EBFF89E5C31}" name="Column3469" dataDxfId="12885"/>
    <tableColumn id="3518" xr3:uid="{2F472C4B-3890-46B2-A4AA-7CC72F41AB84}" name="Column3470" dataDxfId="12884"/>
    <tableColumn id="3519" xr3:uid="{D9EDE57E-196B-42BB-AB45-7C300413E2EB}" name="Column3471" dataDxfId="12883"/>
    <tableColumn id="3520" xr3:uid="{AB85E630-D44E-4ACA-9FE0-2B8166DA3573}" name="Column3472" dataDxfId="12882"/>
    <tableColumn id="3521" xr3:uid="{62C9BC3A-7A73-49B4-BF3A-1EA4F8F8C759}" name="Column3473" dataDxfId="12881"/>
    <tableColumn id="3522" xr3:uid="{18211284-9A17-4D3E-8479-4A391AA14510}" name="Column3474" dataDxfId="12880"/>
    <tableColumn id="3523" xr3:uid="{F4C28CCF-E8B5-43C0-8429-2366C8E3701E}" name="Column3475" dataDxfId="12879"/>
    <tableColumn id="3524" xr3:uid="{90B44C5A-299E-4715-895B-B1263228754D}" name="Column3476" dataDxfId="12878"/>
    <tableColumn id="3525" xr3:uid="{81194184-2F87-4F6F-9C2D-8CED868647FA}" name="Column3477" dataDxfId="12877"/>
    <tableColumn id="3526" xr3:uid="{6F8CEFB3-9B9C-43CE-AB38-1ACBCCBCE8F5}" name="Column3478" dataDxfId="12876"/>
    <tableColumn id="3527" xr3:uid="{2B757316-E72D-49E8-9728-5003F69D08A6}" name="Column3479" dataDxfId="12875"/>
    <tableColumn id="3528" xr3:uid="{E328B694-701B-4A19-9DAA-36D9E8A4EFD8}" name="Column3480" dataDxfId="12874"/>
    <tableColumn id="3529" xr3:uid="{39D60BB3-ECE0-4706-9098-21A6B9A27F11}" name="Column3481" dataDxfId="12873"/>
    <tableColumn id="3530" xr3:uid="{7B47B15D-AA09-4194-AF45-227B3780DE43}" name="Column3482" dataDxfId="12872"/>
    <tableColumn id="3531" xr3:uid="{EDBF4955-5033-41D7-AE23-681F6A5A0CE7}" name="Column3483" dataDxfId="12871"/>
    <tableColumn id="3532" xr3:uid="{C9E7EB42-8002-47ED-8D5F-9EE510EBE653}" name="Column3484" dataDxfId="12870"/>
    <tableColumn id="3533" xr3:uid="{D1ABE3CC-519C-446C-9189-099FC756E684}" name="Column3485" dataDxfId="12869"/>
    <tableColumn id="3534" xr3:uid="{7842F097-5793-41EA-B83F-5603EF439D6C}" name="Column3486" dataDxfId="12868"/>
    <tableColumn id="3535" xr3:uid="{394E5F3F-1425-4F08-8476-25D8B4A5EBC7}" name="Column3487" dataDxfId="12867"/>
    <tableColumn id="3536" xr3:uid="{6D0AD8EF-93C7-4151-8969-5008A2C2102D}" name="Column3488" dataDxfId="12866"/>
    <tableColumn id="3537" xr3:uid="{96A011CB-5BAA-49BE-B3D7-675B8B46C1AA}" name="Column3489" dataDxfId="12865"/>
    <tableColumn id="3538" xr3:uid="{A64E0B65-A0D5-4CB1-A26A-BF9B0517FF03}" name="Column3490" dataDxfId="12864"/>
    <tableColumn id="3539" xr3:uid="{81249264-3429-4A0A-BDCA-29C9C3A9CF38}" name="Column3491" dataDxfId="12863"/>
    <tableColumn id="3540" xr3:uid="{E356B4D1-B175-4565-BD7E-01DF61AB9F91}" name="Column3492" dataDxfId="12862"/>
    <tableColumn id="3541" xr3:uid="{3E5F6856-A769-4E7C-B89F-0A236D5D21D9}" name="Column3493" dataDxfId="12861"/>
    <tableColumn id="3542" xr3:uid="{8AA45A78-C015-41EC-A0F5-3503AAF4FE0B}" name="Column3494" dataDxfId="12860"/>
    <tableColumn id="3543" xr3:uid="{521B4612-B84D-4A70-A741-4B19ACA4F633}" name="Column3495" dataDxfId="12859"/>
    <tableColumn id="3544" xr3:uid="{32103D68-FB7D-4246-BBBA-2BB81DEA9568}" name="Column3496" dataDxfId="12858"/>
    <tableColumn id="3545" xr3:uid="{A84DB958-535F-4152-B20A-54809E4D9D48}" name="Column3497" dataDxfId="12857"/>
    <tableColumn id="3546" xr3:uid="{736B2261-3ED5-4C86-8A09-D38AB52BDC05}" name="Column3498" dataDxfId="12856"/>
    <tableColumn id="3547" xr3:uid="{DAE2E3B1-D291-432F-A586-5D587CD4FF81}" name="Column3499" dataDxfId="12855"/>
    <tableColumn id="3548" xr3:uid="{347DA5C4-AE82-4BC8-AC91-3123991855CA}" name="Column3500" dataDxfId="12854"/>
    <tableColumn id="3549" xr3:uid="{0B2E996F-F2BB-43A9-BF75-1AA8E7EC1642}" name="Column3501" dataDxfId="12853"/>
    <tableColumn id="3550" xr3:uid="{EE036F02-B8A1-44A8-B7A0-617A3BB0B9C4}" name="Column3502" dataDxfId="12852"/>
    <tableColumn id="3551" xr3:uid="{65A9C5E9-1AEE-4C68-9609-B1167DE1A79D}" name="Column3503" dataDxfId="12851"/>
    <tableColumn id="3552" xr3:uid="{2785232F-65B8-4BD6-AD6C-600A8BE253B5}" name="Column3504" dataDxfId="12850"/>
    <tableColumn id="3553" xr3:uid="{CAF1ED60-A483-4AD5-83B9-EF167D160AD6}" name="Column3505" dataDxfId="12849"/>
    <tableColumn id="3554" xr3:uid="{7F6E40EB-039E-41CA-8CD7-E7DB7F1FD11C}" name="Column3506" dataDxfId="12848"/>
    <tableColumn id="3555" xr3:uid="{45349A85-7B44-4440-8BE7-85DFF6719C2F}" name="Column3507" dataDxfId="12847"/>
    <tableColumn id="3556" xr3:uid="{75DADEBD-42BE-41F4-A84D-FEB087DB1344}" name="Column3508" dataDxfId="12846"/>
    <tableColumn id="3557" xr3:uid="{EC645FEE-D9EE-4A2A-9A1E-E97C96BA0426}" name="Column3509" dataDxfId="12845"/>
    <tableColumn id="3558" xr3:uid="{48F1A085-BFA4-419D-8919-4D38EF9D2E98}" name="Column3510" dataDxfId="12844"/>
    <tableColumn id="3559" xr3:uid="{DE66845F-0EA8-4080-82B3-40F61A5E5C59}" name="Column3511" dataDxfId="12843"/>
    <tableColumn id="3560" xr3:uid="{BF665CE1-A4DA-4843-B310-CA3B4C84DA06}" name="Column3512" dataDxfId="12842"/>
    <tableColumn id="3561" xr3:uid="{40611CBB-D02E-43F4-911C-3C0A9ED22B2E}" name="Column3513" dataDxfId="12841"/>
    <tableColumn id="3562" xr3:uid="{C13648BC-DC96-4B1B-AEEA-82559318179F}" name="Column3514" dataDxfId="12840"/>
    <tableColumn id="3563" xr3:uid="{1DB0335F-62A9-4D16-AC33-F5536EFDFFA2}" name="Column3515" dataDxfId="12839"/>
    <tableColumn id="3564" xr3:uid="{14A02294-62AB-4698-9D05-C9CDC100E50E}" name="Column3516" dataDxfId="12838"/>
    <tableColumn id="3565" xr3:uid="{29F5E01E-9EB1-4AB9-BD17-F1648F9A183C}" name="Column3517" dataDxfId="12837"/>
    <tableColumn id="3566" xr3:uid="{6A3A867C-6F0D-4E00-92EE-708EB80556F3}" name="Column3518" dataDxfId="12836"/>
    <tableColumn id="3567" xr3:uid="{CE4D3B5F-4990-4185-82C6-752D59E4330F}" name="Column3519" dataDxfId="12835"/>
    <tableColumn id="3568" xr3:uid="{3AE78850-D086-4D4A-9376-8A30E4E66DDC}" name="Column3520" dataDxfId="12834"/>
    <tableColumn id="3569" xr3:uid="{1027AD77-986F-447F-8ADB-992595B07C45}" name="Column3521" dataDxfId="12833"/>
    <tableColumn id="3570" xr3:uid="{65D54D59-E8BD-4EAC-AE32-2301653275CA}" name="Column3522" dataDxfId="12832"/>
    <tableColumn id="3571" xr3:uid="{E9E78042-44D6-4AD2-AB30-1738AF74A5A0}" name="Column3523" dataDxfId="12831"/>
    <tableColumn id="3572" xr3:uid="{122FD65D-C057-4CB3-A09F-FFE0228CD216}" name="Column3524" dataDxfId="12830"/>
    <tableColumn id="3573" xr3:uid="{F407AD2E-AD0E-4B97-910C-40A08F1F8F03}" name="Column3525" dataDxfId="12829"/>
    <tableColumn id="3574" xr3:uid="{AE91016C-A047-4B98-B8F3-CFCD5F402BA9}" name="Column3526" dataDxfId="12828"/>
    <tableColumn id="3575" xr3:uid="{4498718A-85C7-4A31-9A93-07DE6C189E2C}" name="Column3527" dataDxfId="12827"/>
    <tableColumn id="3576" xr3:uid="{F32AAA21-B6BB-4D56-82ED-0FF3C0A997C4}" name="Column3528" dataDxfId="12826"/>
    <tableColumn id="3577" xr3:uid="{B2FBAA3B-E995-4535-968E-C8181CDE244F}" name="Column3529" dataDxfId="12825"/>
    <tableColumn id="3578" xr3:uid="{F6ADB955-859A-4BD9-B9DC-FB023D85C114}" name="Column3530" dataDxfId="12824"/>
    <tableColumn id="3579" xr3:uid="{6516FB8E-F55B-437F-8994-7B1AE17D3B3F}" name="Column3531" dataDxfId="12823"/>
    <tableColumn id="3580" xr3:uid="{341E0178-D25A-4C33-AB36-276531EA9E1C}" name="Column3532" dataDxfId="12822"/>
    <tableColumn id="3581" xr3:uid="{C84603A1-D15C-4850-9086-4AA4DD45687F}" name="Column3533" dataDxfId="12821"/>
    <tableColumn id="3582" xr3:uid="{F23B9037-1A0A-4CBC-B92D-5F17CC147785}" name="Column3534" dataDxfId="12820"/>
    <tableColumn id="3583" xr3:uid="{054AD717-9932-4575-BA25-E6D10DFE0A46}" name="Column3535" dataDxfId="12819"/>
    <tableColumn id="3584" xr3:uid="{A211B8D9-E6D1-4E1F-BB6F-E92C75E0E421}" name="Column3536" dataDxfId="12818"/>
    <tableColumn id="3585" xr3:uid="{EBCA0856-6B7F-45FC-8E56-983BFE3938D5}" name="Column3537" dataDxfId="12817"/>
    <tableColumn id="3586" xr3:uid="{021CBC1C-60A2-40EB-B8A7-725C4146244D}" name="Column3538" dataDxfId="12816"/>
    <tableColumn id="3587" xr3:uid="{54C4893B-D7F0-4481-A9C7-589C05B5A75D}" name="Column3539" dataDxfId="12815"/>
    <tableColumn id="3588" xr3:uid="{856953AF-EF59-49E2-A3F1-08D02A930A1E}" name="Column3540" dataDxfId="12814"/>
    <tableColumn id="3589" xr3:uid="{00D38D33-3829-4426-A02F-ACB5D8E36E51}" name="Column3541" dataDxfId="12813"/>
    <tableColumn id="3590" xr3:uid="{94428C46-3C3C-4873-B634-A7C60F2EFC27}" name="Column3542" dataDxfId="12812"/>
    <tableColumn id="3591" xr3:uid="{8D8CFBD3-F142-4ECB-84B5-AA01D8E8772F}" name="Column3543" dataDxfId="12811"/>
    <tableColumn id="3592" xr3:uid="{CB711581-2576-4507-AD23-739AB4980AAF}" name="Column3544" dataDxfId="12810"/>
    <tableColumn id="3593" xr3:uid="{50372E47-3E23-4F55-AA40-66A03B8A3806}" name="Column3545" dataDxfId="12809"/>
    <tableColumn id="3594" xr3:uid="{049543C7-C6E2-4482-9D36-5B9E904F3E94}" name="Column3546" dataDxfId="12808"/>
    <tableColumn id="3595" xr3:uid="{0E40EE0F-8ECA-459F-A925-474B2FA97993}" name="Column3547" dataDxfId="12807"/>
    <tableColumn id="3596" xr3:uid="{64DACF62-152D-4BC9-96D2-2C2AEEE9522E}" name="Column3548" dataDxfId="12806"/>
    <tableColumn id="3597" xr3:uid="{2112786D-8BC0-4F1E-B1AC-DA7D85691F93}" name="Column3549" dataDxfId="12805"/>
    <tableColumn id="3598" xr3:uid="{BC3B5A1E-F79B-4644-8F28-931193CF0011}" name="Column3550" dataDxfId="12804"/>
    <tableColumn id="3599" xr3:uid="{57FB7A1D-46C0-469C-ADF3-2D5351B9C5F8}" name="Column3551" dataDxfId="12803"/>
    <tableColumn id="3600" xr3:uid="{55D8FC48-1FC0-4716-A786-3C37043DB71A}" name="Column3552" dataDxfId="12802"/>
    <tableColumn id="3601" xr3:uid="{CC1293D3-E4B8-4F7C-88C4-8A60106DE451}" name="Column3553" dataDxfId="12801"/>
    <tableColumn id="3602" xr3:uid="{3F553B5A-E816-4003-9655-27BD4085FD27}" name="Column3554" dataDxfId="12800"/>
    <tableColumn id="3603" xr3:uid="{049B25CA-6E51-473E-ACE8-E135F08D8AE1}" name="Column3555" dataDxfId="12799"/>
    <tableColumn id="3604" xr3:uid="{BE619DAA-320A-4C0D-9AE7-94FF44A0C186}" name="Column3556" dataDxfId="12798"/>
    <tableColumn id="3605" xr3:uid="{850FA875-4014-4D05-A9B4-824F3242EAA6}" name="Column3557" dataDxfId="12797"/>
    <tableColumn id="3606" xr3:uid="{5FB928C5-9728-45CA-BFEE-0C12F4A772AB}" name="Column3558" dataDxfId="12796"/>
    <tableColumn id="3607" xr3:uid="{DF791CC3-751D-455E-965D-BA29D99DDD5D}" name="Column3559" dataDxfId="12795"/>
    <tableColumn id="3608" xr3:uid="{3E51F5B1-FDB0-4008-BADF-DF885A503DB7}" name="Column3560" dataDxfId="12794"/>
    <tableColumn id="3609" xr3:uid="{E6913222-AD44-4AC8-9DB5-9F30B915AEBC}" name="Column3561" dataDxfId="12793"/>
    <tableColumn id="3610" xr3:uid="{90136BDE-5B9E-4E48-8C5B-8E09454ECC93}" name="Column3562" dataDxfId="12792"/>
    <tableColumn id="3611" xr3:uid="{1A5CDEF1-0582-44F7-ADE0-F1E919D10277}" name="Column3563" dataDxfId="12791"/>
    <tableColumn id="3612" xr3:uid="{4FE01FFB-1E6D-4286-AD7C-72C1E039F3C0}" name="Column3564" dataDxfId="12790"/>
    <tableColumn id="3613" xr3:uid="{5EE213F7-151E-416F-88BD-58CE8414AC50}" name="Column3565" dataDxfId="12789"/>
    <tableColumn id="3614" xr3:uid="{A25117E9-CE99-48AE-83B8-D77502A537EC}" name="Column3566" dataDxfId="12788"/>
    <tableColumn id="3615" xr3:uid="{01C56F2F-7D74-4D61-9BFD-046E5500E733}" name="Column3567" dataDxfId="12787"/>
    <tableColumn id="3616" xr3:uid="{0C137E1A-9E64-467D-91C9-6EE40649F539}" name="Column3568" dataDxfId="12786"/>
    <tableColumn id="3617" xr3:uid="{4BDE76E9-BF12-4220-A95A-D3CC839D049C}" name="Column3569" dataDxfId="12785"/>
    <tableColumn id="3618" xr3:uid="{D2B582BA-771F-466B-A823-3D7CE7FD377E}" name="Column3570" dataDxfId="12784"/>
    <tableColumn id="3619" xr3:uid="{8708F9B8-E3EF-475B-9B00-DA9887A6E524}" name="Column3571" dataDxfId="12783"/>
    <tableColumn id="3620" xr3:uid="{E7BB902D-845B-4031-BBD1-E428F86C5AE8}" name="Column3572" dataDxfId="12782"/>
    <tableColumn id="3621" xr3:uid="{F13859C1-8756-429B-8835-5E361DA829A1}" name="Column3573" dataDxfId="12781"/>
    <tableColumn id="3622" xr3:uid="{B4286CD3-396B-41DA-88DE-91700199C372}" name="Column3574" dataDxfId="12780"/>
    <tableColumn id="3623" xr3:uid="{2CBC1CC4-9D57-4E60-956A-6697E2CA4A57}" name="Column3575" dataDxfId="12779"/>
    <tableColumn id="3624" xr3:uid="{4DB71517-A058-4C35-930F-A9D4563BF258}" name="Column3576" dataDxfId="12778"/>
    <tableColumn id="3625" xr3:uid="{8CC00391-8E55-49D5-8996-28DC136DF7CE}" name="Column3577" dataDxfId="12777"/>
    <tableColumn id="3626" xr3:uid="{285D798E-0B72-41F3-BCAC-4789EC1CA151}" name="Column3578" dataDxfId="12776"/>
    <tableColumn id="3627" xr3:uid="{0204E379-B975-4CD4-8611-525A575A760A}" name="Column3579" dataDxfId="12775"/>
    <tableColumn id="3628" xr3:uid="{0EF8AB57-F531-48F4-8E76-73872D67187D}" name="Column3580" dataDxfId="12774"/>
    <tableColumn id="3629" xr3:uid="{5016987D-E8BD-4849-92B1-2AE733EE0FD4}" name="Column3581" dataDxfId="12773"/>
    <tableColumn id="3630" xr3:uid="{0E9AA347-3F1B-4150-963D-98D73B162762}" name="Column3582" dataDxfId="12772"/>
    <tableColumn id="3631" xr3:uid="{6667FE03-2517-45A0-AE16-367A3C8DE6EA}" name="Column3583" dataDxfId="12771"/>
    <tableColumn id="3632" xr3:uid="{1EF4E8F2-1E58-4711-BD6C-A3F7D8BCF604}" name="Column3584" dataDxfId="12770"/>
    <tableColumn id="3633" xr3:uid="{5395B74F-0559-46C4-A916-82A3DD2C27C4}" name="Column3585" dataDxfId="12769"/>
    <tableColumn id="3634" xr3:uid="{4C47C626-3222-465D-B8A5-EA9A2CA51B2A}" name="Column3586" dataDxfId="12768"/>
    <tableColumn id="3635" xr3:uid="{5C86B671-B181-4D32-9C3D-3B143C6A5753}" name="Column3587" dataDxfId="12767"/>
    <tableColumn id="3636" xr3:uid="{D96AE652-8B24-45BE-AED2-64EEA1F0D864}" name="Column3588" dataDxfId="12766"/>
    <tableColumn id="3637" xr3:uid="{99982056-EA8F-4A82-A66E-C783962AE46E}" name="Column3589" dataDxfId="12765"/>
    <tableColumn id="3638" xr3:uid="{4B95E855-661C-4EE5-B96C-EC00DEA8178C}" name="Column3590" dataDxfId="12764"/>
    <tableColumn id="3639" xr3:uid="{5A125497-0372-4D95-BAE5-9B78025886BF}" name="Column3591" dataDxfId="12763"/>
    <tableColumn id="3640" xr3:uid="{568DF1D8-63B1-4D7D-809A-A4C7116570EC}" name="Column3592" dataDxfId="12762"/>
    <tableColumn id="3641" xr3:uid="{A22107AA-BB0D-4AB9-B595-7446E55E688E}" name="Column3593" dataDxfId="12761"/>
    <tableColumn id="3642" xr3:uid="{37113C18-9FF3-4C89-80C8-B09DA6839C2D}" name="Column3594" dataDxfId="12760"/>
    <tableColumn id="3643" xr3:uid="{356380A5-412E-41C1-94CD-5A2F0A66EE4A}" name="Column3595" dataDxfId="12759"/>
    <tableColumn id="3644" xr3:uid="{04C0E5C7-59C1-49A1-BA62-4E278BF0B077}" name="Column3596" dataDxfId="12758"/>
    <tableColumn id="3645" xr3:uid="{6218B866-B1FA-4E4E-92BD-C607E0AF25C0}" name="Column3597" dataDxfId="12757"/>
    <tableColumn id="3646" xr3:uid="{7BCC444C-8956-4E4D-B73B-E8DC2AD9A610}" name="Column3598" dataDxfId="12756"/>
    <tableColumn id="3647" xr3:uid="{612DF1A1-B4AE-430B-8D42-DABC1BA0AB5A}" name="Column3599" dataDxfId="12755"/>
    <tableColumn id="3648" xr3:uid="{705D008F-AB84-4111-B5EB-243A8BA0E23E}" name="Column3600" dataDxfId="12754"/>
    <tableColumn id="3649" xr3:uid="{A6621DA0-204C-4D1B-AF6A-9A1A5C7C4984}" name="Column3601" dataDxfId="12753"/>
    <tableColumn id="3650" xr3:uid="{7079FFE0-6255-405C-BA31-8B1AC9F61D29}" name="Column3602" dataDxfId="12752"/>
    <tableColumn id="3651" xr3:uid="{40A06207-6BE0-4874-BE0A-73E37873E1EF}" name="Column3603" dataDxfId="12751"/>
    <tableColumn id="3652" xr3:uid="{E3BAD180-A405-496C-B122-EEE2E070A2F3}" name="Column3604" dataDxfId="12750"/>
    <tableColumn id="3653" xr3:uid="{084FFA30-C924-4F42-A7B9-564ABF38A5A7}" name="Column3605" dataDxfId="12749"/>
    <tableColumn id="3654" xr3:uid="{A794053E-8C90-42CA-A1B8-5FBA9EC242AE}" name="Column3606" dataDxfId="12748"/>
    <tableColumn id="3655" xr3:uid="{8D7DA1AB-97F1-4300-BFE0-340F3C948069}" name="Column3607" dataDxfId="12747"/>
    <tableColumn id="3656" xr3:uid="{D4B444BA-DC06-4BDB-8E53-834AAC2D243D}" name="Column3608" dataDxfId="12746"/>
    <tableColumn id="3657" xr3:uid="{473A2153-FC8B-4ABF-BED5-3836C686C2B0}" name="Column3609" dataDxfId="12745"/>
    <tableColumn id="3658" xr3:uid="{8B49C050-FAAF-45D7-BBAD-3DF5751FDE47}" name="Column3610" dataDxfId="12744"/>
    <tableColumn id="3659" xr3:uid="{FC6869D9-7DDC-4015-8184-84D3930DDBD5}" name="Column3611" dataDxfId="12743"/>
    <tableColumn id="3660" xr3:uid="{9E059A6E-8B91-497A-A085-770B1D12B90E}" name="Column3612" dataDxfId="12742"/>
    <tableColumn id="3661" xr3:uid="{00210521-A178-4FE2-BB3C-87ACD6712785}" name="Column3613" dataDxfId="12741"/>
    <tableColumn id="3662" xr3:uid="{3AE6C955-0D5B-4F31-83ED-072BE949678E}" name="Column3614" dataDxfId="12740"/>
    <tableColumn id="3663" xr3:uid="{107229A9-99CF-4C09-B719-1EFB8DF43BE9}" name="Column3615" dataDxfId="12739"/>
    <tableColumn id="3664" xr3:uid="{3AB8AF43-054D-4D44-8BE1-4CDA29F54B50}" name="Column3616" dataDxfId="12738"/>
    <tableColumn id="3665" xr3:uid="{34634486-12B7-43C5-80D9-97EA35AB8B15}" name="Column3617" dataDxfId="12737"/>
    <tableColumn id="3666" xr3:uid="{F5B8A70B-8F4E-4718-A35D-709454183776}" name="Column3618" dataDxfId="12736"/>
    <tableColumn id="3667" xr3:uid="{4C3D5E42-5860-4A11-BD54-24583C11CD05}" name="Column3619" dataDxfId="12735"/>
    <tableColumn id="3668" xr3:uid="{9B6283CE-4E8E-4344-993A-CE384ED06E0F}" name="Column3620" dataDxfId="12734"/>
    <tableColumn id="3669" xr3:uid="{4DDE0246-C0A3-4BD7-A027-00C08A2B5015}" name="Column3621" dataDxfId="12733"/>
    <tableColumn id="3670" xr3:uid="{B5C69F5D-5540-45A7-8A96-C5091BB7AD11}" name="Column3622" dataDxfId="12732"/>
    <tableColumn id="3671" xr3:uid="{F2B8E475-D50F-4DF3-B09D-CE85C8A2D757}" name="Column3623" dataDxfId="12731"/>
    <tableColumn id="3672" xr3:uid="{64E0EB50-B894-4BA5-A832-B659410DD81C}" name="Column3624" dataDxfId="12730"/>
    <tableColumn id="3673" xr3:uid="{FA603D01-4464-4E0B-927B-3636C8A93970}" name="Column3625" dataDxfId="12729"/>
    <tableColumn id="3674" xr3:uid="{25DCC180-1D94-4354-9A39-20F1F4955224}" name="Column3626" dataDxfId="12728"/>
    <tableColumn id="3675" xr3:uid="{59982101-7C59-4A90-8438-182CA8C7AC1D}" name="Column3627" dataDxfId="12727"/>
    <tableColumn id="3676" xr3:uid="{3C0F0EDC-C9C9-4E84-B4FE-3CAD9ACE50E3}" name="Column3628" dataDxfId="12726"/>
    <tableColumn id="3677" xr3:uid="{85161620-0ADB-48F2-82A6-5CC82DD2DD20}" name="Column3629" dataDxfId="12725"/>
    <tableColumn id="3678" xr3:uid="{BA0C6C6E-7CD5-49BB-BE95-D5AEEEB0037F}" name="Column3630" dataDxfId="12724"/>
    <tableColumn id="3679" xr3:uid="{B25724DA-C059-4143-8371-CFC74427B9D1}" name="Column3631" dataDxfId="12723"/>
    <tableColumn id="3680" xr3:uid="{8D72F074-178C-4DA2-801E-39C77BD7E039}" name="Column3632" dataDxfId="12722"/>
    <tableColumn id="3681" xr3:uid="{1FA77972-FBFC-45C1-A211-79F4BF425A28}" name="Column3633" dataDxfId="12721"/>
    <tableColumn id="3682" xr3:uid="{4237EE7E-D19D-41F0-B5F0-94D913C3C103}" name="Column3634" dataDxfId="12720"/>
    <tableColumn id="3683" xr3:uid="{6A0A7566-A62A-406A-8F4D-6AFBA798C68D}" name="Column3635" dataDxfId="12719"/>
    <tableColumn id="3684" xr3:uid="{83E5F504-9642-4746-BE00-B12EAD3191C6}" name="Column3636" dataDxfId="12718"/>
    <tableColumn id="3685" xr3:uid="{4EA4D61E-F426-46D2-8B68-EB3EB70DD8B7}" name="Column3637" dataDxfId="12717"/>
    <tableColumn id="3686" xr3:uid="{440B19E4-EB8A-42B0-B560-E950DE98BA39}" name="Column3638" dataDxfId="12716"/>
    <tableColumn id="3687" xr3:uid="{E95E1724-0A18-4B2A-8C77-5EC6E570CC8B}" name="Column3639" dataDxfId="12715"/>
    <tableColumn id="3688" xr3:uid="{B424ACDE-45FD-4810-95E8-71691DA093C1}" name="Column3640" dataDxfId="12714"/>
    <tableColumn id="3689" xr3:uid="{3101D5DE-2C33-414D-B8B9-9E7136067289}" name="Column3641" dataDxfId="12713"/>
    <tableColumn id="3690" xr3:uid="{E6F07636-4F4C-42CE-B440-C9FCDD515749}" name="Column3642" dataDxfId="12712"/>
    <tableColumn id="3691" xr3:uid="{B2D85CF4-813F-4F9C-83D8-82DC13140D44}" name="Column3643" dataDxfId="12711"/>
    <tableColumn id="3692" xr3:uid="{ED3909CD-A78C-4B16-81F8-C8E76B01D390}" name="Column3644" dataDxfId="12710"/>
    <tableColumn id="3693" xr3:uid="{17BDF418-3A0B-4B67-95E1-0BA9131D1D0A}" name="Column3645" dataDxfId="12709"/>
    <tableColumn id="3694" xr3:uid="{61AE0EBE-B84D-4F4D-A0AE-10DCCDF0B4A2}" name="Column3646" dataDxfId="12708"/>
    <tableColumn id="3695" xr3:uid="{FA07EBD6-DFEA-43B4-95D6-E1151131C6D5}" name="Column3647" dataDxfId="12707"/>
    <tableColumn id="3696" xr3:uid="{BA1A0AD8-FBB1-4085-820A-B112528FD989}" name="Column3648" dataDxfId="12706"/>
    <tableColumn id="3697" xr3:uid="{75A2DCC1-5236-40FE-8419-C58B86711883}" name="Column3649" dataDxfId="12705"/>
    <tableColumn id="3698" xr3:uid="{C9636BFC-BC7E-461B-9536-2D0221EB006C}" name="Column3650" dataDxfId="12704"/>
    <tableColumn id="3699" xr3:uid="{258E01F9-7C9B-4005-BE68-4BF7BFF978F0}" name="Column3651" dataDxfId="12703"/>
    <tableColumn id="3700" xr3:uid="{C3E9D641-58D5-4F31-BDE0-11DAC6F40AB7}" name="Column3652" dataDxfId="12702"/>
    <tableColumn id="3701" xr3:uid="{9BD6F598-3497-4DE8-90B8-C9EF0979585D}" name="Column3653" dataDxfId="12701"/>
    <tableColumn id="3702" xr3:uid="{AA46EC51-01D4-4034-8489-8533A00EB019}" name="Column3654" dataDxfId="12700"/>
    <tableColumn id="3703" xr3:uid="{A849CE67-F23E-4DBF-982E-3440BF791351}" name="Column3655" dataDxfId="12699"/>
    <tableColumn id="3704" xr3:uid="{5E3CD681-E256-4C00-8D9C-562CFBFF8EEA}" name="Column3656" dataDxfId="12698"/>
    <tableColumn id="3705" xr3:uid="{5079CC73-F20D-44DE-9F35-6EAFE18386F9}" name="Column3657" dataDxfId="12697"/>
    <tableColumn id="3706" xr3:uid="{46324372-5EE1-4CD7-A4DD-68C9B8326C75}" name="Column3658" dataDxfId="12696"/>
    <tableColumn id="3707" xr3:uid="{4416EBA8-A965-4842-A4D3-50B3E0EF8B70}" name="Column3659" dataDxfId="12695"/>
    <tableColumn id="3708" xr3:uid="{6E3F6EC4-A36B-46A2-9233-B214AE3D5F9B}" name="Column3660" dataDxfId="12694"/>
    <tableColumn id="3709" xr3:uid="{DB4A6A5E-7790-49D6-9459-E8E2837635C9}" name="Column3661" dataDxfId="12693"/>
    <tableColumn id="3710" xr3:uid="{E77CFB9F-B2B7-4862-AD63-1E6D9FD081AB}" name="Column3662" dataDxfId="12692"/>
    <tableColumn id="3711" xr3:uid="{2D75FFA0-3F1D-46A3-9A90-D55CEE1359B5}" name="Column3663" dataDxfId="12691"/>
    <tableColumn id="3712" xr3:uid="{C37095CB-2D2D-41BE-A52B-C67D68368632}" name="Column3664" dataDxfId="12690"/>
    <tableColumn id="3713" xr3:uid="{C1437D61-7A1C-4739-B525-05A77D083FE2}" name="Column3665" dataDxfId="12689"/>
    <tableColumn id="3714" xr3:uid="{6A9F89E8-6191-4F9B-88DE-79C304343B3C}" name="Column3666" dataDxfId="12688"/>
    <tableColumn id="3715" xr3:uid="{C6AA8D4A-0069-4799-BAE2-C02AEF311C9E}" name="Column3667" dataDxfId="12687"/>
    <tableColumn id="3716" xr3:uid="{B175EC1E-7E48-4D58-BC1C-6F50A7C219EE}" name="Column3668" dataDxfId="12686"/>
    <tableColumn id="3717" xr3:uid="{8F0691BD-4A59-4A62-ABD3-1B0E5CEA9613}" name="Column3669" dataDxfId="12685"/>
    <tableColumn id="3718" xr3:uid="{1821B8B5-CEFA-4637-A23F-4ABCDFA60C00}" name="Column3670" dataDxfId="12684"/>
    <tableColumn id="3719" xr3:uid="{7B88842B-01DB-43A9-9601-3FFE99D7F531}" name="Column3671" dataDxfId="12683"/>
    <tableColumn id="3720" xr3:uid="{649F92DB-CFAC-4B67-8ECF-9F5548B088AB}" name="Column3672" dataDxfId="12682"/>
    <tableColumn id="3721" xr3:uid="{782C0FD0-B5BF-493D-85C9-6F9857DF2258}" name="Column3673" dataDxfId="12681"/>
    <tableColumn id="3722" xr3:uid="{1B2AC230-2398-4231-9FBE-A939CD507634}" name="Column3674" dataDxfId="12680"/>
    <tableColumn id="3723" xr3:uid="{338C8E56-5163-4A7F-9527-9CDA0C947918}" name="Column3675" dataDxfId="12679"/>
    <tableColumn id="3724" xr3:uid="{E31B3B54-C7A0-452A-8B61-5BCD3D24D42D}" name="Column3676" dataDxfId="12678"/>
    <tableColumn id="3725" xr3:uid="{E4E7E942-B4B0-42C3-82DB-C4793B12ED9A}" name="Column3677" dataDxfId="12677"/>
    <tableColumn id="3726" xr3:uid="{659DDDA6-F4B8-46C1-A4D8-CB5AB58AA9DA}" name="Column3678" dataDxfId="12676"/>
    <tableColumn id="3727" xr3:uid="{12F49D94-9648-4437-9FD0-D616E976E0B7}" name="Column3679" dataDxfId="12675"/>
    <tableColumn id="3728" xr3:uid="{1DAE7857-A6AB-40F8-AD8E-3AAF071E69E9}" name="Column3680" dataDxfId="12674"/>
    <tableColumn id="3729" xr3:uid="{AA689AC7-24E2-41F8-A0BA-49EC14F6FF18}" name="Column3681" dataDxfId="12673"/>
    <tableColumn id="3730" xr3:uid="{65C768E2-92A1-4DE3-A42A-AD3B96CCA219}" name="Column3682" dataDxfId="12672"/>
    <tableColumn id="3731" xr3:uid="{54639A0C-74A9-45B3-93C4-C22BC3B8D38B}" name="Column3683" dataDxfId="12671"/>
    <tableColumn id="3732" xr3:uid="{A2F983DD-C68A-48A6-9B31-958B5661A08B}" name="Column3684" dataDxfId="12670"/>
    <tableColumn id="3733" xr3:uid="{BA4BF497-ED99-42A8-B14D-2390D0BCE853}" name="Column3685" dataDxfId="12669"/>
    <tableColumn id="3734" xr3:uid="{4F2D30EF-892F-45E5-BE62-2CBD2CF52B32}" name="Column3686" dataDxfId="12668"/>
    <tableColumn id="3735" xr3:uid="{AD76094B-5B6D-48E6-AFB7-1C55D6BFB571}" name="Column3687" dataDxfId="12667"/>
    <tableColumn id="3736" xr3:uid="{97167575-D2E5-4E7C-9248-93FD96D478C9}" name="Column3688" dataDxfId="12666"/>
    <tableColumn id="3737" xr3:uid="{6C2D017A-AF64-416A-B812-52687241179D}" name="Column3689" dataDxfId="12665"/>
    <tableColumn id="3738" xr3:uid="{71462E0D-76F9-4DA8-A8F4-D9F1360C6AE3}" name="Column3690" dataDxfId="12664"/>
    <tableColumn id="3739" xr3:uid="{24077186-E467-4835-98D7-399B2B1150C6}" name="Column3691" dataDxfId="12663"/>
    <tableColumn id="3740" xr3:uid="{8093A6BB-6E9D-4497-8F25-EDE1253841B7}" name="Column3692" dataDxfId="12662"/>
    <tableColumn id="3741" xr3:uid="{468282C3-1288-4BD6-ADB8-E2D77BA631B2}" name="Column3693" dataDxfId="12661"/>
    <tableColumn id="3742" xr3:uid="{2F148318-E31C-44DA-BDE8-CD7ED9F19ED9}" name="Column3694" dataDxfId="12660"/>
    <tableColumn id="3743" xr3:uid="{16409A42-63DE-452A-B3E6-0072A5C3930D}" name="Column3695" dataDxfId="12659"/>
    <tableColumn id="3744" xr3:uid="{0F40880B-2436-42BA-BAF4-939445CD9C5E}" name="Column3696" dataDxfId="12658"/>
    <tableColumn id="3745" xr3:uid="{7B4B12B6-D730-48C9-BB0E-E2FE9C850A61}" name="Column3697" dataDxfId="12657"/>
    <tableColumn id="3746" xr3:uid="{2122AA92-04BC-4DCB-8DC9-EA20984990FA}" name="Column3698" dataDxfId="12656"/>
    <tableColumn id="3747" xr3:uid="{03DC09BD-AE65-483D-909A-0074B03D6638}" name="Column3699" dataDxfId="12655"/>
    <tableColumn id="3748" xr3:uid="{C0F357D7-8031-45DD-A939-22B639319D19}" name="Column3700" dataDxfId="12654"/>
    <tableColumn id="3749" xr3:uid="{1ABCA79B-65DF-441E-A5F1-D7CB5B7D4AFF}" name="Column3701" dataDxfId="12653"/>
    <tableColumn id="3750" xr3:uid="{04B4B0EC-C894-449B-B98F-6E55B4F1CAC6}" name="Column3702" dataDxfId="12652"/>
    <tableColumn id="3751" xr3:uid="{0A986077-C619-4AA0-8B42-3700D2EA0059}" name="Column3703" dataDxfId="12651"/>
    <tableColumn id="3752" xr3:uid="{6B222513-B793-4C7A-B642-CC41AE34B7BE}" name="Column3704" dataDxfId="12650"/>
    <tableColumn id="3753" xr3:uid="{A37FEEED-A37E-45CF-84B6-60622CAFD637}" name="Column3705" dataDxfId="12649"/>
    <tableColumn id="3754" xr3:uid="{E3BD0513-D862-41F0-87D8-8CA6AE988F1B}" name="Column3706" dataDxfId="12648"/>
    <tableColumn id="3755" xr3:uid="{988ED9F8-7AA0-4D7D-B837-0C0A851D83A9}" name="Column3707" dataDxfId="12647"/>
    <tableColumn id="3756" xr3:uid="{B8C09B41-0DF0-42A1-AF87-47E4B4FA7C2F}" name="Column3708" dataDxfId="12646"/>
    <tableColumn id="3757" xr3:uid="{13A84ECB-A473-44FF-A462-FBEEBA8E0EEF}" name="Column3709" dataDxfId="12645"/>
    <tableColumn id="3758" xr3:uid="{93D00923-4A21-4D61-B359-A323C03C51B1}" name="Column3710" dataDxfId="12644"/>
    <tableColumn id="3759" xr3:uid="{AEF01487-60FA-4BCE-866C-C50170B3BE77}" name="Column3711" dataDxfId="12643"/>
    <tableColumn id="3760" xr3:uid="{AEAB6D98-E36B-475E-B530-A846DE602840}" name="Column3712" dataDxfId="12642"/>
    <tableColumn id="3761" xr3:uid="{0244F922-0F0F-434C-80A5-9DBDBE88340C}" name="Column3713" dataDxfId="12641"/>
    <tableColumn id="3762" xr3:uid="{2EF977FF-8A5E-4722-87DC-EBAA7C66710D}" name="Column3714" dataDxfId="12640"/>
    <tableColumn id="3763" xr3:uid="{176E15A6-C579-4E25-840F-D067CA4D3531}" name="Column3715" dataDxfId="12639"/>
    <tableColumn id="3764" xr3:uid="{D02F8A25-C5F7-487A-AA98-3A01FB3CEFA0}" name="Column3716" dataDxfId="12638"/>
    <tableColumn id="3765" xr3:uid="{7E892C5C-855F-4919-9711-6679E64FE33E}" name="Column3717" dataDxfId="12637"/>
    <tableColumn id="3766" xr3:uid="{7B2076FA-8089-4DAC-A32A-AF9BA0325B0B}" name="Column3718" dataDxfId="12636"/>
    <tableColumn id="3767" xr3:uid="{503A0051-38E4-46C5-AD22-ED36FF0F8710}" name="Column3719" dataDxfId="12635"/>
    <tableColumn id="3768" xr3:uid="{DFB22E95-D4E6-4681-922F-674A150CB180}" name="Column3720" dataDxfId="12634"/>
    <tableColumn id="3769" xr3:uid="{F299C543-4524-41C1-B81D-6D7D3167DFDB}" name="Column3721" dataDxfId="12633"/>
    <tableColumn id="3770" xr3:uid="{3FB9EE78-8A6A-4211-AC43-2DC6665F450B}" name="Column3722" dataDxfId="12632"/>
    <tableColumn id="3771" xr3:uid="{84577E31-0469-42D1-87FB-A84F058FE9D6}" name="Column3723" dataDxfId="12631"/>
    <tableColumn id="3772" xr3:uid="{F1936C03-8013-42E9-8DC1-73BD4635EF24}" name="Column3724" dataDxfId="12630"/>
    <tableColumn id="3773" xr3:uid="{C863DF25-8B02-4373-922E-B7C79D3AE0A3}" name="Column3725" dataDxfId="12629"/>
    <tableColumn id="3774" xr3:uid="{7124F31E-DE69-45FC-8043-24AB6624DA26}" name="Column3726" dataDxfId="12628"/>
    <tableColumn id="3775" xr3:uid="{0CB54881-15FC-412A-B104-D4276B036349}" name="Column3727" dataDxfId="12627"/>
    <tableColumn id="3776" xr3:uid="{C91BBC32-29E6-4863-A2CB-0A17D6B3B59D}" name="Column3728" dataDxfId="12626"/>
    <tableColumn id="3777" xr3:uid="{D59405DB-F224-42EF-9352-40682B06B4ED}" name="Column3729" dataDxfId="12625"/>
    <tableColumn id="3778" xr3:uid="{35468C66-92E7-453A-BB28-5E1CE152BFE0}" name="Column3730" dataDxfId="12624"/>
    <tableColumn id="3779" xr3:uid="{FDC9B35A-C492-4130-BCD2-928F024C8273}" name="Column3731" dataDxfId="12623"/>
    <tableColumn id="3780" xr3:uid="{B53B6F73-BFF3-4818-B9C1-5245CC5F30B0}" name="Column3732" dataDxfId="12622"/>
    <tableColumn id="3781" xr3:uid="{7F76A04C-995A-4A29-A0EA-A4FA58E0C262}" name="Column3733" dataDxfId="12621"/>
    <tableColumn id="3782" xr3:uid="{00D17814-F0EE-41D4-8C10-935E8532FB17}" name="Column3734" dataDxfId="12620"/>
    <tableColumn id="3783" xr3:uid="{BA9900AB-F02E-4A46-AD2E-DD6BAB494F85}" name="Column3735" dataDxfId="12619"/>
    <tableColumn id="3784" xr3:uid="{BF08C222-2892-4D38-BE21-05C172CA2AEF}" name="Column3736" dataDxfId="12618"/>
    <tableColumn id="3785" xr3:uid="{10B6E08A-E95A-48B7-B393-9D2E994B9D88}" name="Column3737" dataDxfId="12617"/>
    <tableColumn id="3786" xr3:uid="{318D9A86-BD75-4202-A7BE-6154752D4572}" name="Column3738" dataDxfId="12616"/>
    <tableColumn id="3787" xr3:uid="{F3C0C6FD-1C66-4A86-92DE-8EC5CA5A593A}" name="Column3739" dataDxfId="12615"/>
    <tableColumn id="3788" xr3:uid="{C2121A48-BDE2-494C-A915-9E21E1F3CB58}" name="Column3740" dataDxfId="12614"/>
    <tableColumn id="3789" xr3:uid="{5FE82F63-7B0E-4300-B2A5-80CF804682DC}" name="Column3741" dataDxfId="12613"/>
    <tableColumn id="3790" xr3:uid="{46E6298B-B7F3-4D49-BBCE-BDE5BA997C28}" name="Column3742" dataDxfId="12612"/>
    <tableColumn id="3791" xr3:uid="{104D18DC-0090-4220-9EF8-784A2C82945E}" name="Column3743" dataDxfId="12611"/>
    <tableColumn id="3792" xr3:uid="{C0702FB0-DA47-4FEA-AD60-BBE942E265CE}" name="Column3744" dataDxfId="12610"/>
    <tableColumn id="3793" xr3:uid="{751FBFEA-36E7-4F39-9A82-B39CECF842CE}" name="Column3745" dataDxfId="12609"/>
    <tableColumn id="3794" xr3:uid="{56EDDEE0-9853-4A61-99C3-466D547CB377}" name="Column3746" dataDxfId="12608"/>
    <tableColumn id="3795" xr3:uid="{A7A531BE-238E-455E-A8E4-9685C7F38E9A}" name="Column3747" dataDxfId="12607"/>
    <tableColumn id="3796" xr3:uid="{20510563-9AFD-4C0F-8D0D-C1850AA3CB41}" name="Column3748" dataDxfId="12606"/>
    <tableColumn id="3797" xr3:uid="{D4FACF79-1747-468C-8B9C-C5B3FD3A45C2}" name="Column3749" dataDxfId="12605"/>
    <tableColumn id="3798" xr3:uid="{7F19803F-BCC7-4876-B9E9-E9EF74E6F891}" name="Column3750" dataDxfId="12604"/>
    <tableColumn id="3799" xr3:uid="{7F0277E8-1256-4D5D-B5B7-E20A5C91342B}" name="Column3751" dataDxfId="12603"/>
    <tableColumn id="3800" xr3:uid="{B22DF75C-A4F3-4CE1-AB38-3E7A3F96DE62}" name="Column3752" dataDxfId="12602"/>
    <tableColumn id="3801" xr3:uid="{253FEE1B-FA5B-489F-B961-121126D9B3D2}" name="Column3753" dataDxfId="12601"/>
    <tableColumn id="3802" xr3:uid="{789C3DF2-50D2-4B1E-A63E-7937DA2EB9C8}" name="Column3754" dataDxfId="12600"/>
    <tableColumn id="3803" xr3:uid="{7DB179E7-39A2-4C79-BE79-751EFA809A1F}" name="Column3755" dataDxfId="12599"/>
    <tableColumn id="3804" xr3:uid="{48EC15A3-DE48-46D1-B3B6-37E4C6513B4F}" name="Column3756" dataDxfId="12598"/>
    <tableColumn id="3805" xr3:uid="{6D5E8BA9-ECA9-4016-847D-FBFB89555C81}" name="Column3757" dataDxfId="12597"/>
    <tableColumn id="3806" xr3:uid="{E865DC36-22B0-4218-821D-6FCE1F30F30E}" name="Column3758" dataDxfId="12596"/>
    <tableColumn id="3807" xr3:uid="{2FA8D2D6-F2A2-4DF7-8306-0BE07FC693FB}" name="Column3759" dataDxfId="12595"/>
    <tableColumn id="3808" xr3:uid="{74CCBAB7-DC12-43C1-AB1D-3729DA494408}" name="Column3760" dataDxfId="12594"/>
    <tableColumn id="3809" xr3:uid="{B5DA48DA-EFEB-45A6-AE80-255DE74FCDBC}" name="Column3761" dataDxfId="12593"/>
    <tableColumn id="3810" xr3:uid="{E55EE6E4-B320-4259-BF4D-38EAADD61E53}" name="Column3762" dataDxfId="12592"/>
    <tableColumn id="3811" xr3:uid="{22321403-550F-4981-B40B-2FAA07813007}" name="Column3763" dataDxfId="12591"/>
    <tableColumn id="3812" xr3:uid="{7EB1769C-F989-4B6D-B694-17DCA57A6D22}" name="Column3764" dataDxfId="12590"/>
    <tableColumn id="3813" xr3:uid="{8EE907A2-ACAC-4714-B6FF-7DC2E24C22B3}" name="Column3765" dataDxfId="12589"/>
    <tableColumn id="3814" xr3:uid="{1F6BD7F4-9416-4C9C-B02F-70B0CD9BBE65}" name="Column3766" dataDxfId="12588"/>
    <tableColumn id="3815" xr3:uid="{67C87DEF-EA4D-4222-B25A-2B7373A18722}" name="Column3767" dataDxfId="12587"/>
    <tableColumn id="3816" xr3:uid="{E21C9C29-6CE3-44F9-86D0-7BF2CDB635D8}" name="Column3768" dataDxfId="12586"/>
    <tableColumn id="3817" xr3:uid="{FE012598-90A5-4F03-A35E-898FF74B9507}" name="Column3769" dataDxfId="12585"/>
    <tableColumn id="3818" xr3:uid="{869A81A0-05F7-4AE8-A460-2CC62819E720}" name="Column3770" dataDxfId="12584"/>
    <tableColumn id="3819" xr3:uid="{8334654A-F81F-40E2-A3E9-27CCF26761D3}" name="Column3771" dataDxfId="12583"/>
    <tableColumn id="3820" xr3:uid="{6CB4251D-D498-4410-A10F-7F432AF947A2}" name="Column3772" dataDxfId="12582"/>
    <tableColumn id="3821" xr3:uid="{B6A57693-98AD-4BC4-BE8C-55E20747D0A2}" name="Column3773" dataDxfId="12581"/>
    <tableColumn id="3822" xr3:uid="{09C8CAD0-D70B-4AD7-8D14-5D66D9E8E4AD}" name="Column3774" dataDxfId="12580"/>
    <tableColumn id="3823" xr3:uid="{37CAE0DC-69C0-41C7-A5CD-E0C9B4B25E86}" name="Column3775" dataDxfId="12579"/>
    <tableColumn id="3824" xr3:uid="{938D3976-3137-42DC-98B7-BAE8BCEEB87F}" name="Column3776" dataDxfId="12578"/>
    <tableColumn id="3825" xr3:uid="{A9CA281E-165C-4381-96FF-D3DA9AD20DEF}" name="Column3777" dataDxfId="12577"/>
    <tableColumn id="3826" xr3:uid="{EE83317F-18EB-4C99-81E8-6D74F1412E91}" name="Column3778" dataDxfId="12576"/>
    <tableColumn id="3827" xr3:uid="{E8AE48AA-2DD8-4C5C-A998-C860C2403E53}" name="Column3779" dataDxfId="12575"/>
    <tableColumn id="3828" xr3:uid="{448B4206-7E47-406D-B97A-244B00267858}" name="Column3780" dataDxfId="12574"/>
    <tableColumn id="3829" xr3:uid="{46DD471D-C76B-4E98-A8A4-62D65BA9EBAB}" name="Column3781" dataDxfId="12573"/>
    <tableColumn id="3830" xr3:uid="{71DC6EDB-36E2-48FE-B5B4-933547C60A02}" name="Column3782" dataDxfId="12572"/>
    <tableColumn id="3831" xr3:uid="{C5F81974-993C-4C0C-AEEA-FC4DCB67C5A0}" name="Column3783" dataDxfId="12571"/>
    <tableColumn id="3832" xr3:uid="{6E402DDC-3D8E-466E-9EFF-E7368F6CE95C}" name="Column3784" dataDxfId="12570"/>
    <tableColumn id="3833" xr3:uid="{5F2FB873-F106-44D5-94DD-662F5DF6A394}" name="Column3785" dataDxfId="12569"/>
    <tableColumn id="3834" xr3:uid="{1A71F075-C1C1-4C25-8F4A-70516CFA23D1}" name="Column3786" dataDxfId="12568"/>
    <tableColumn id="3835" xr3:uid="{948D752C-3CE3-41AB-87B0-39C5FDEEDE68}" name="Column3787" dataDxfId="12567"/>
    <tableColumn id="3836" xr3:uid="{2FEB5025-3453-4A3C-A5D8-CA8EBEA64BBF}" name="Column3788" dataDxfId="12566"/>
    <tableColumn id="3837" xr3:uid="{8C43F4D1-5C76-483D-B9F6-D299BE1E66D4}" name="Column3789" dataDxfId="12565"/>
    <tableColumn id="3838" xr3:uid="{616ABAD4-6071-478F-A0FD-E83137B25FE9}" name="Column3790" dataDxfId="12564"/>
    <tableColumn id="3839" xr3:uid="{78140F3C-2938-4AA7-B920-ED41270847CF}" name="Column3791" dataDxfId="12563"/>
    <tableColumn id="3840" xr3:uid="{C3A48F50-0584-4903-886B-4E90663497C2}" name="Column3792" dataDxfId="12562"/>
    <tableColumn id="3841" xr3:uid="{9702AC64-B8FB-489E-B11A-FE40B7A6DEF6}" name="Column3793" dataDxfId="12561"/>
    <tableColumn id="3842" xr3:uid="{C9EAB758-2370-45F7-BFAC-CD02160AABC7}" name="Column3794" dataDxfId="12560"/>
    <tableColumn id="3843" xr3:uid="{43578FD4-20D3-4E70-8ECB-5EEDAC7A96E3}" name="Column3795" dataDxfId="12559"/>
    <tableColumn id="3844" xr3:uid="{F0CC0C72-7A0C-49D0-BE10-658E1643483F}" name="Column3796" dataDxfId="12558"/>
    <tableColumn id="3845" xr3:uid="{36ADDE4F-BB21-4889-8B7A-27F70BD5B60A}" name="Column3797" dataDxfId="12557"/>
    <tableColumn id="3846" xr3:uid="{6C4F5023-92F6-4802-9D5A-EAED079CFD2F}" name="Column3798" dataDxfId="12556"/>
    <tableColumn id="3847" xr3:uid="{4F32ED66-EA45-41FC-9D75-5693091CB62D}" name="Column3799" dataDxfId="12555"/>
    <tableColumn id="3848" xr3:uid="{1F560DA3-8981-4452-AA9B-6EFB4BF03652}" name="Column3800" dataDxfId="12554"/>
    <tableColumn id="3849" xr3:uid="{0AE152A7-725E-4E1E-8325-2E949BB43C13}" name="Column3801" dataDxfId="12553"/>
    <tableColumn id="3850" xr3:uid="{24AF32B5-C763-4AF9-B6F3-8A973D2ECE52}" name="Column3802" dataDxfId="12552"/>
    <tableColumn id="3851" xr3:uid="{BEC3AB3E-F4F3-4293-9C96-24A0F0CEA02B}" name="Column3803" dataDxfId="12551"/>
    <tableColumn id="3852" xr3:uid="{C329899F-6FFC-45BE-8EE3-E2DB3F1A29BF}" name="Column3804" dataDxfId="12550"/>
    <tableColumn id="3853" xr3:uid="{7BAAC695-41E6-45F0-9886-25A38AC1C926}" name="Column3805" dataDxfId="12549"/>
    <tableColumn id="3854" xr3:uid="{C5C438C6-92EF-4725-858B-F0D0A455FE00}" name="Column3806" dataDxfId="12548"/>
    <tableColumn id="3855" xr3:uid="{3FAC41B4-ACE2-4915-B943-F0F076CEF9E4}" name="Column3807" dataDxfId="12547"/>
    <tableColumn id="3856" xr3:uid="{580745FF-6EBC-4759-8C37-4BF3F6A9D26B}" name="Column3808" dataDxfId="12546"/>
    <tableColumn id="3857" xr3:uid="{472D121F-CFF9-4258-AA76-64B51978FF08}" name="Column3809" dataDxfId="12545"/>
    <tableColumn id="3858" xr3:uid="{147654DD-1458-4124-9FE4-7522E9893006}" name="Column3810" dataDxfId="12544"/>
    <tableColumn id="3859" xr3:uid="{961CD4F2-BA93-419A-B9B3-E1A56656102C}" name="Column3811" dataDxfId="12543"/>
    <tableColumn id="3860" xr3:uid="{B5929FAB-4E01-4546-8D70-41D79171EF55}" name="Column3812" dataDxfId="12542"/>
    <tableColumn id="3861" xr3:uid="{F046423B-3CD1-4007-906E-73DF889AB828}" name="Column3813" dataDxfId="12541"/>
    <tableColumn id="3862" xr3:uid="{F71B4AA8-076D-47A8-A386-510AF11B21CD}" name="Column3814" dataDxfId="12540"/>
    <tableColumn id="3863" xr3:uid="{F249B498-3DC4-4233-9A2F-6F1E759058B0}" name="Column3815" dataDxfId="12539"/>
    <tableColumn id="3864" xr3:uid="{5EF3C0BF-FA4D-4D63-AAC0-A1CB94B15BEE}" name="Column3816" dataDxfId="12538"/>
    <tableColumn id="3865" xr3:uid="{7EBD97EA-3321-4830-BD45-C25B2ADC8FA1}" name="Column3817" dataDxfId="12537"/>
    <tableColumn id="3866" xr3:uid="{A219E3E1-1849-4918-ABE3-1C63BABC1DF5}" name="Column3818" dataDxfId="12536"/>
    <tableColumn id="3867" xr3:uid="{0DE7C0F0-880B-4F2A-8C7E-6C9604788EBE}" name="Column3819" dataDxfId="12535"/>
    <tableColumn id="3868" xr3:uid="{6744BA28-805C-4290-B34D-5E5B10112137}" name="Column3820" dataDxfId="12534"/>
    <tableColumn id="3869" xr3:uid="{69AD4E2B-6C2B-40C9-9117-0C5126483909}" name="Column3821" dataDxfId="12533"/>
    <tableColumn id="3870" xr3:uid="{B9345379-B4AF-4F1D-B232-E62DDC68E731}" name="Column3822" dataDxfId="12532"/>
    <tableColumn id="3871" xr3:uid="{24DB2D01-B143-4547-954C-72E5A18B3902}" name="Column3823" dataDxfId="12531"/>
    <tableColumn id="3872" xr3:uid="{50D44836-6247-4ECE-B6F6-7EC0AB337C5F}" name="Column3824" dataDxfId="12530"/>
    <tableColumn id="3873" xr3:uid="{BC3CD705-62F5-4761-8B65-3F2812B30409}" name="Column3825" dataDxfId="12529"/>
    <tableColumn id="3874" xr3:uid="{596339D9-BC74-4896-B029-9FE2A7C6ED6D}" name="Column3826" dataDxfId="12528"/>
    <tableColumn id="3875" xr3:uid="{5E26D2CB-65E7-4D42-89CE-4FC224F680CF}" name="Column3827" dataDxfId="12527"/>
    <tableColumn id="3876" xr3:uid="{3584A21F-0636-4028-9120-1588DDB05E72}" name="Column3828" dataDxfId="12526"/>
    <tableColumn id="3877" xr3:uid="{DB6CB497-8025-4DEE-83D0-281A83497D02}" name="Column3829" dataDxfId="12525"/>
    <tableColumn id="3878" xr3:uid="{36D891C5-498B-4451-BB8D-E138B5B06BA9}" name="Column3830" dataDxfId="12524"/>
    <tableColumn id="3879" xr3:uid="{5E115CD3-6773-4695-A2C8-5CC893181A53}" name="Column3831" dataDxfId="12523"/>
    <tableColumn id="3880" xr3:uid="{7FC8C7A3-BFFD-4EE3-9DC6-245A79F10931}" name="Column3832" dataDxfId="12522"/>
    <tableColumn id="3881" xr3:uid="{972A76A1-7F85-4B16-B57E-D7A9E88E976B}" name="Column3833" dataDxfId="12521"/>
    <tableColumn id="3882" xr3:uid="{65603C06-6A1C-44CE-8423-64AE6451F582}" name="Column3834" dataDxfId="12520"/>
    <tableColumn id="3883" xr3:uid="{21BC4D82-7F82-47AB-B0A7-E2BD06DACE43}" name="Column3835" dataDxfId="12519"/>
    <tableColumn id="3884" xr3:uid="{E210D820-1F17-47A7-912D-68C56381B5F0}" name="Column3836" dataDxfId="12518"/>
    <tableColumn id="3885" xr3:uid="{B1C08E9E-5875-409F-A742-20C37DED937E}" name="Column3837" dataDxfId="12517"/>
    <tableColumn id="3886" xr3:uid="{4164F1AD-A20D-4685-99D6-D32937A16CEC}" name="Column3838" dataDxfId="12516"/>
    <tableColumn id="3887" xr3:uid="{15D9C041-0F55-4039-BDE5-7E68DF400029}" name="Column3839" dataDxfId="12515"/>
    <tableColumn id="3888" xr3:uid="{A6F0FC10-6E94-4296-89C2-CBC3D4FE73A8}" name="Column3840" dataDxfId="12514"/>
    <tableColumn id="3889" xr3:uid="{8A019F6F-CA10-4C73-9BCB-2CE7CA1F3859}" name="Column3841" dataDxfId="12513"/>
    <tableColumn id="3890" xr3:uid="{D404A575-E826-4BE4-BF47-052FFC7A7555}" name="Column3842" dataDxfId="12512"/>
    <tableColumn id="3891" xr3:uid="{DE960171-6A20-4277-B2DE-95C0E32687DD}" name="Column3843" dataDxfId="12511"/>
    <tableColumn id="3892" xr3:uid="{066BB850-ABAC-4424-A7F4-01C465A56980}" name="Column3844" dataDxfId="12510"/>
    <tableColumn id="3893" xr3:uid="{A8479092-C49B-4A76-9206-E9E860CE2335}" name="Column3845" dataDxfId="12509"/>
    <tableColumn id="3894" xr3:uid="{19805C0C-558B-4A29-8310-1CF08E8CE224}" name="Column3846" dataDxfId="12508"/>
    <tableColumn id="3895" xr3:uid="{123D640B-4F9D-42A5-9099-7E981A09DA05}" name="Column3847" dataDxfId="12507"/>
    <tableColumn id="3896" xr3:uid="{4DF81E71-F8C9-49C7-8D1E-825852693418}" name="Column3848" dataDxfId="12506"/>
    <tableColumn id="3897" xr3:uid="{AE8518C6-4EB4-4247-B648-899F29CE3B0E}" name="Column3849" dataDxfId="12505"/>
    <tableColumn id="3898" xr3:uid="{0687E276-9A4D-4590-9455-299326C368D8}" name="Column3850" dataDxfId="12504"/>
    <tableColumn id="3899" xr3:uid="{F92FBF19-442F-40EB-B7CC-CD4621BC4182}" name="Column3851" dataDxfId="12503"/>
    <tableColumn id="3900" xr3:uid="{841A0BB5-116E-4B11-9699-602C4A208B7C}" name="Column3852" dataDxfId="12502"/>
    <tableColumn id="3901" xr3:uid="{855B3967-205B-43C1-A305-40C5178264E1}" name="Column3853" dataDxfId="12501"/>
    <tableColumn id="3902" xr3:uid="{4AF2D666-3249-4B34-AD97-A66163F69B9E}" name="Column3854" dataDxfId="12500"/>
    <tableColumn id="3903" xr3:uid="{0AAAB0FB-BBB9-4B77-A95A-F3CA2D9840DF}" name="Column3855" dataDxfId="12499"/>
    <tableColumn id="3904" xr3:uid="{8F6A1C91-265D-4825-AC8F-FD91A966FE57}" name="Column3856" dataDxfId="12498"/>
    <tableColumn id="3905" xr3:uid="{D3D59DCE-085A-433D-8EC9-986A6FB3FEEB}" name="Column3857" dataDxfId="12497"/>
    <tableColumn id="3906" xr3:uid="{CF271CC5-25F1-4A57-894B-8581EE89BB1A}" name="Column3858" dataDxfId="12496"/>
    <tableColumn id="3907" xr3:uid="{53465963-A900-427D-A660-8213CE0CBADA}" name="Column3859" dataDxfId="12495"/>
    <tableColumn id="3908" xr3:uid="{C599A0EF-E4D8-4F34-8C65-BAA700BB3F15}" name="Column3860" dataDxfId="12494"/>
    <tableColumn id="3909" xr3:uid="{59C31C76-75BE-4084-B480-14A5A0E5BD3F}" name="Column3861" dataDxfId="12493"/>
    <tableColumn id="3910" xr3:uid="{76245D55-6C0C-4F70-91C6-250DB1F3C298}" name="Column3862" dataDxfId="12492"/>
    <tableColumn id="3911" xr3:uid="{308B08A6-057C-46D8-967D-2C9B7B5CEDA8}" name="Column3863" dataDxfId="12491"/>
    <tableColumn id="3912" xr3:uid="{4D761EE0-2A47-441F-92A4-6C47F9CFACE2}" name="Column3864" dataDxfId="12490"/>
    <tableColumn id="3913" xr3:uid="{99730419-9FA2-41B3-9536-559A1216BD3A}" name="Column3865" dataDxfId="12489"/>
    <tableColumn id="3914" xr3:uid="{FBB7FD5D-4CFA-4988-AAD6-46656405FEB3}" name="Column3866" dataDxfId="12488"/>
    <tableColumn id="3915" xr3:uid="{C338C9DD-1065-49B9-A389-676CEFF176F8}" name="Column3867" dataDxfId="12487"/>
    <tableColumn id="3916" xr3:uid="{343BC441-866B-4487-9EB1-47DBA92CEE8F}" name="Column3868" dataDxfId="12486"/>
    <tableColumn id="3917" xr3:uid="{B2C47A02-22D4-4368-84AD-18DF4CF93094}" name="Column3869" dataDxfId="12485"/>
    <tableColumn id="3918" xr3:uid="{250AFDCE-DAEE-4553-B53F-80C3D1E5246F}" name="Column3870" dataDxfId="12484"/>
    <tableColumn id="3919" xr3:uid="{559D44A7-9A38-4060-A1EA-EA3B45871C96}" name="Column3871" dataDxfId="12483"/>
    <tableColumn id="3920" xr3:uid="{02EDAC17-07ED-4A5F-9337-C4D04C8B2AF6}" name="Column3872" dataDxfId="12482"/>
    <tableColumn id="3921" xr3:uid="{8C30E9B8-7942-4B1F-A82C-A1DD913B3CCC}" name="Column3873" dataDxfId="12481"/>
    <tableColumn id="3922" xr3:uid="{168A25A6-1352-4461-8BF0-671D49CC3F31}" name="Column3874" dataDxfId="12480"/>
    <tableColumn id="3923" xr3:uid="{E7F12B96-E546-4826-96DE-444158D79BD0}" name="Column3875" dataDxfId="12479"/>
    <tableColumn id="3924" xr3:uid="{D3F7AD4D-3C69-40EA-BD65-CF694F6265D5}" name="Column3876" dataDxfId="12478"/>
    <tableColumn id="3925" xr3:uid="{0FBDC3CF-5A40-4621-A3A9-8E5980B03BAC}" name="Column3877" dataDxfId="12477"/>
    <tableColumn id="3926" xr3:uid="{3EC26B54-1B61-46B6-AF83-15B15DA4391E}" name="Column3878" dataDxfId="12476"/>
    <tableColumn id="3927" xr3:uid="{0760E52E-4E09-46C9-A7F3-BE7F43854EAD}" name="Column3879" dataDxfId="12475"/>
    <tableColumn id="3928" xr3:uid="{79A5281A-FE23-45F7-AFA7-BD536CD257AB}" name="Column3880" dataDxfId="12474"/>
    <tableColumn id="3929" xr3:uid="{654F6550-D750-4237-8140-17672D1A7AAF}" name="Column3881" dataDxfId="12473"/>
    <tableColumn id="3930" xr3:uid="{4CF90A9D-EEB2-4F3B-8D44-5755F4A10809}" name="Column3882" dataDxfId="12472"/>
    <tableColumn id="3931" xr3:uid="{D9CAE4B8-40B6-4FAA-98DC-CA70383613A6}" name="Column3883" dataDxfId="12471"/>
    <tableColumn id="3932" xr3:uid="{CF2709CC-9EA9-47E8-A0F3-EFAB3A2B1DE9}" name="Column3884" dataDxfId="12470"/>
    <tableColumn id="3933" xr3:uid="{62A875A5-1A46-4602-A096-1C195FECB144}" name="Column3885" dataDxfId="12469"/>
    <tableColumn id="3934" xr3:uid="{BD11A70C-7B12-42C2-8AE6-4B402DE400F3}" name="Column3886" dataDxfId="12468"/>
    <tableColumn id="3935" xr3:uid="{2B1C7041-ED6F-45E6-9475-B55BF4E7E383}" name="Column3887" dataDxfId="12467"/>
    <tableColumn id="3936" xr3:uid="{16822E3A-2BD5-4AD4-8842-67A636A54580}" name="Column3888" dataDxfId="12466"/>
    <tableColumn id="3937" xr3:uid="{25D359B2-FF4D-4F0E-9BE9-683F49A95C5B}" name="Column3889" dataDxfId="12465"/>
    <tableColumn id="3938" xr3:uid="{4582771D-8A4D-418F-8279-274C9FA09A84}" name="Column3890" dataDxfId="12464"/>
    <tableColumn id="3939" xr3:uid="{23BC0857-EF1C-49A2-8757-4C62839FCB98}" name="Column3891" dataDxfId="12463"/>
    <tableColumn id="3940" xr3:uid="{1524D6C3-D813-4C3B-B91E-AD781BCAF6A0}" name="Column3892" dataDxfId="12462"/>
    <tableColumn id="3941" xr3:uid="{ECDC197E-6BF4-4160-8521-F981DF90675A}" name="Column3893" dataDxfId="12461"/>
    <tableColumn id="3942" xr3:uid="{4042FC25-3DF3-4F75-8BF3-FD45779AF56C}" name="Column3894" dataDxfId="12460"/>
    <tableColumn id="3943" xr3:uid="{3D578119-253C-47AA-8887-20C7434EE206}" name="Column3895" dataDxfId="12459"/>
    <tableColumn id="3944" xr3:uid="{B5FCD9F2-A4E6-4404-922C-EF17E4AB7B8A}" name="Column3896" dataDxfId="12458"/>
    <tableColumn id="3945" xr3:uid="{2BB79F39-7C65-4121-8906-9C8304D27F78}" name="Column3897" dataDxfId="12457"/>
    <tableColumn id="3946" xr3:uid="{09748184-75FB-458A-9971-26E5C9801FA6}" name="Column3898" dataDxfId="12456"/>
    <tableColumn id="3947" xr3:uid="{E9B6CB87-E695-4D8F-A9D9-29CC0554C886}" name="Column3899" dataDxfId="12455"/>
    <tableColumn id="3948" xr3:uid="{7CD4C902-60D0-4E20-AD27-3B2950D7BAEF}" name="Column3900" dataDxfId="12454"/>
    <tableColumn id="3949" xr3:uid="{6C7F7C87-0DE7-4ABA-84C2-6E392BFF8D0C}" name="Column3901" dataDxfId="12453"/>
    <tableColumn id="3950" xr3:uid="{A24506BC-6770-4A67-99D7-000956399722}" name="Column3902" dataDxfId="12452"/>
    <tableColumn id="3951" xr3:uid="{A6C62EB1-CBB4-4C55-BD40-7DD6301B1458}" name="Column3903" dataDxfId="12451"/>
    <tableColumn id="3952" xr3:uid="{2088E82B-8D96-447B-8D33-CD7836ECA2C8}" name="Column3904" dataDxfId="12450"/>
    <tableColumn id="3953" xr3:uid="{625BCB5D-D4F0-416F-83C0-85B9361A18D4}" name="Column3905" dataDxfId="12449"/>
    <tableColumn id="3954" xr3:uid="{065AD793-7FFF-4A76-ADCB-DEEFB8FB06BB}" name="Column3906" dataDxfId="12448"/>
    <tableColumn id="3955" xr3:uid="{487E4409-4406-4E55-B262-2247BC1D2CC6}" name="Column3907" dataDxfId="12447"/>
    <tableColumn id="3956" xr3:uid="{D1213275-14A1-4707-B110-DB19E5D6E660}" name="Column3908" dataDxfId="12446"/>
    <tableColumn id="3957" xr3:uid="{0315A498-CFEB-4E9A-9DF5-7FAA1D4B1168}" name="Column3909" dataDxfId="12445"/>
    <tableColumn id="3958" xr3:uid="{198945FE-F034-4C88-9E7F-B981329B1E76}" name="Column3910" dataDxfId="12444"/>
    <tableColumn id="3959" xr3:uid="{2D5F5B3A-EEB8-4719-AD5F-0FC3F95F74D5}" name="Column3911" dataDxfId="12443"/>
    <tableColumn id="3960" xr3:uid="{A44B6AD4-E223-41BF-B5F3-64A748355369}" name="Column3912" dataDxfId="12442"/>
    <tableColumn id="3961" xr3:uid="{DECE36C1-EBFF-4DFC-92DA-A7DEDD85C9A6}" name="Column3913" dataDxfId="12441"/>
    <tableColumn id="3962" xr3:uid="{AD594397-3CB1-4244-8A4D-6E0879F95869}" name="Column3914" dataDxfId="12440"/>
    <tableColumn id="3963" xr3:uid="{661F8138-A58F-4252-8A98-6BC72CA93DA8}" name="Column3915" dataDxfId="12439"/>
    <tableColumn id="3964" xr3:uid="{C0B762D6-9EFA-4104-8BD1-F45D4444641C}" name="Column3916" dataDxfId="12438"/>
    <tableColumn id="3965" xr3:uid="{78006B4E-08CC-449A-B9F7-583F8612857B}" name="Column3917" dataDxfId="12437"/>
    <tableColumn id="3966" xr3:uid="{D0DABA23-B1C9-4C0A-98BD-D606472664AE}" name="Column3918" dataDxfId="12436"/>
    <tableColumn id="3967" xr3:uid="{B44A87D7-AA5E-4B35-80F6-05C14C1FABA3}" name="Column3919" dataDxfId="12435"/>
    <tableColumn id="3968" xr3:uid="{D4D0862D-987E-457E-A99E-177C007181EA}" name="Column3920" dataDxfId="12434"/>
    <tableColumn id="3969" xr3:uid="{19EEDA6E-226B-41C0-B929-D62AEAB2F8B8}" name="Column3921" dataDxfId="12433"/>
    <tableColumn id="3970" xr3:uid="{33151ED4-2D60-4047-A2CB-A38FF8435EA5}" name="Column3922" dataDxfId="12432"/>
    <tableColumn id="3971" xr3:uid="{3A5C496C-0E58-4C7B-BF4A-7EE925BF5436}" name="Column3923" dataDxfId="12431"/>
    <tableColumn id="3972" xr3:uid="{EEA60010-AAFA-4C46-AA12-A9C903063606}" name="Column3924" dataDxfId="12430"/>
    <tableColumn id="3973" xr3:uid="{D66C7DD4-61C5-4908-9EF5-0D6F35114B28}" name="Column3925" dataDxfId="12429"/>
    <tableColumn id="3974" xr3:uid="{B5F8DAE1-648E-41DC-A81A-CD9BAB800A8D}" name="Column3926" dataDxfId="12428"/>
    <tableColumn id="3975" xr3:uid="{A03321FB-2CF4-49BF-82D4-DA4A096EB58B}" name="Column3927" dataDxfId="12427"/>
    <tableColumn id="3976" xr3:uid="{52EA58B8-F8C5-46E6-B8E9-DDD320FF32E8}" name="Column3928" dataDxfId="12426"/>
    <tableColumn id="3977" xr3:uid="{0057E7BB-EAC8-4B72-BB0E-9CE74381456D}" name="Column3929" dataDxfId="12425"/>
    <tableColumn id="3978" xr3:uid="{6C84C828-D550-4AC5-806D-D63186BDDF85}" name="Column3930" dataDxfId="12424"/>
    <tableColumn id="3979" xr3:uid="{B238BCA5-8326-40D5-82B7-060E3131CA15}" name="Column3931" dataDxfId="12423"/>
    <tableColumn id="3980" xr3:uid="{B9578088-72B1-4D47-92AF-F08EAA5B8897}" name="Column3932" dataDxfId="12422"/>
    <tableColumn id="3981" xr3:uid="{C6F5B3B5-00A7-41CF-8BED-6C1E797463F5}" name="Column3933" dataDxfId="12421"/>
    <tableColumn id="3982" xr3:uid="{82548A31-9B8D-46E7-AF7D-A936E51B1B1A}" name="Column3934" dataDxfId="12420"/>
    <tableColumn id="3983" xr3:uid="{2B0B2C3E-E481-4B35-8CF0-2477997C8117}" name="Column3935" dataDxfId="12419"/>
    <tableColumn id="3984" xr3:uid="{EC9E155C-B000-4FBE-B0B5-9CBD4EA9986D}" name="Column3936" dataDxfId="12418"/>
    <tableColumn id="3985" xr3:uid="{D32F038E-84E4-4360-8235-FF8942DEFF2E}" name="Column3937" dataDxfId="12417"/>
    <tableColumn id="3986" xr3:uid="{978EFB92-61D0-4C1D-A0B2-AF4F2BBEBB44}" name="Column3938" dataDxfId="12416"/>
    <tableColumn id="3987" xr3:uid="{627AB381-1D4B-4129-BFB4-08E493983D15}" name="Column3939" dataDxfId="12415"/>
    <tableColumn id="3988" xr3:uid="{B69375BC-584E-4ABA-B2FA-73A4255AFF2B}" name="Column3940" dataDxfId="12414"/>
    <tableColumn id="3989" xr3:uid="{13C0D643-29C2-4DC3-B2C3-5C66AA3E929E}" name="Column3941" dataDxfId="12413"/>
    <tableColumn id="3990" xr3:uid="{CD1CBBB4-5F25-45D9-B473-B0C58780891A}" name="Column3942" dataDxfId="12412"/>
    <tableColumn id="3991" xr3:uid="{0A0A83CC-2473-4FBE-B496-6EC754E5DD2F}" name="Column3943" dataDxfId="12411"/>
    <tableColumn id="3992" xr3:uid="{4BD76709-FCAC-4410-8E4B-B1B9676C5EB6}" name="Column3944" dataDxfId="12410"/>
    <tableColumn id="3993" xr3:uid="{04F49734-C819-457A-8B40-12FE9CB0F9F6}" name="Column3945" dataDxfId="12409"/>
    <tableColumn id="3994" xr3:uid="{BC307B1C-EF58-4AB2-94E4-E52C4733E3AC}" name="Column3946" dataDxfId="12408"/>
    <tableColumn id="3995" xr3:uid="{B4017937-74AC-408C-B57C-1D93F9DFF4F9}" name="Column3947" dataDxfId="12407"/>
    <tableColumn id="3996" xr3:uid="{23EB4F56-DB40-496C-ADBA-4F1A1D9DB119}" name="Column3948" dataDxfId="12406"/>
    <tableColumn id="3997" xr3:uid="{883470AE-6CF8-4650-8656-CC2DD9E2D043}" name="Column3949" dataDxfId="12405"/>
    <tableColumn id="3998" xr3:uid="{8881575A-3560-4FBC-B955-BA952361CA23}" name="Column3950" dataDxfId="12404"/>
    <tableColumn id="3999" xr3:uid="{773F9099-27F5-45ED-A19A-A50A776D6ADD}" name="Column3951" dataDxfId="12403"/>
    <tableColumn id="4000" xr3:uid="{28D19F3C-04EC-4974-A10B-7D959F551DF1}" name="Column3952" dataDxfId="12402"/>
    <tableColumn id="4001" xr3:uid="{A7394690-D6A1-4217-9748-10B42D012FC8}" name="Column3953" dataDxfId="12401"/>
    <tableColumn id="4002" xr3:uid="{7599F5E1-8AF9-4814-99CB-5852ECB4879B}" name="Column3954" dataDxfId="12400"/>
    <tableColumn id="4003" xr3:uid="{BAB5002D-96C0-4362-AE16-533DEE75A554}" name="Column3955" dataDxfId="12399"/>
    <tableColumn id="4004" xr3:uid="{B27D47EF-35B9-4491-AB55-190D3154CB79}" name="Column3956" dataDxfId="12398"/>
    <tableColumn id="4005" xr3:uid="{D52C8DC5-2186-4DD0-8C68-478039B5C2EA}" name="Column3957" dataDxfId="12397"/>
    <tableColumn id="4006" xr3:uid="{393117C3-235F-4A46-8C90-8A79337E5E30}" name="Column3958" dataDxfId="12396"/>
    <tableColumn id="4007" xr3:uid="{7E2960AC-A57F-4420-8051-D43E204A29C8}" name="Column3959" dataDxfId="12395"/>
    <tableColumn id="4008" xr3:uid="{1E4ABB8E-092E-4384-B02C-E90B6FAB92F5}" name="Column3960" dataDxfId="12394"/>
    <tableColumn id="4009" xr3:uid="{C64FB573-D059-402F-AFCB-7A5D1F000CA2}" name="Column3961" dataDxfId="12393"/>
    <tableColumn id="4010" xr3:uid="{DA41BD2E-2577-4772-BE0E-0AA135A05237}" name="Column3962" dataDxfId="12392"/>
    <tableColumn id="4011" xr3:uid="{1808A770-F799-45C8-940E-36A2613241C9}" name="Column3963" dataDxfId="12391"/>
    <tableColumn id="4012" xr3:uid="{7BD4C263-C0C2-41A5-A07E-396BA5B073CF}" name="Column3964" dataDxfId="12390"/>
    <tableColumn id="4013" xr3:uid="{BB588F4F-94C2-41EF-8978-976FFCB9E5BC}" name="Column3965" dataDxfId="12389"/>
    <tableColumn id="4014" xr3:uid="{763C8834-77E5-4BFD-904F-C3385B77945D}" name="Column3966" dataDxfId="12388"/>
    <tableColumn id="4015" xr3:uid="{4E913D0E-F3F6-41F3-A7CD-0785B62E2F97}" name="Column3967" dataDxfId="12387"/>
    <tableColumn id="4016" xr3:uid="{CAB0EAD8-A4EC-41A0-9DB0-CD4CD758E58B}" name="Column3968" dataDxfId="12386"/>
    <tableColumn id="4017" xr3:uid="{9752CBFD-9DF3-4CB2-A126-8E226E45CFD2}" name="Column3969" dataDxfId="12385"/>
    <tableColumn id="4018" xr3:uid="{996E636F-6776-45CB-9376-2EA09E48F8D6}" name="Column3970" dataDxfId="12384"/>
    <tableColumn id="4019" xr3:uid="{CF05499F-479D-4B1D-B2CF-FFA2F58346A1}" name="Column3971" dataDxfId="12383"/>
    <tableColumn id="4020" xr3:uid="{8DA475E6-95ED-4D7C-89C5-674AE841F2C0}" name="Column3972" dataDxfId="12382"/>
    <tableColumn id="4021" xr3:uid="{0B262B53-DEAE-4D8F-AE76-239DEC0507AD}" name="Column3973" dataDxfId="12381"/>
    <tableColumn id="4022" xr3:uid="{AFE79235-004E-4E0F-B762-675CA3738E3E}" name="Column3974" dataDxfId="12380"/>
    <tableColumn id="4023" xr3:uid="{19797D3A-5445-4894-8AAB-519B631D70BB}" name="Column3975" dataDxfId="12379"/>
    <tableColumn id="4024" xr3:uid="{47395D82-5EEE-4403-981E-CDBF3DC649EA}" name="Column3976" dataDxfId="12378"/>
    <tableColumn id="4025" xr3:uid="{63C7BC8F-339D-4912-B94A-3158F60FD00B}" name="Column3977" dataDxfId="12377"/>
    <tableColumn id="4026" xr3:uid="{84E04C52-C53A-4825-B0AB-69E370068829}" name="Column3978" dataDxfId="12376"/>
    <tableColumn id="4027" xr3:uid="{0524902B-9055-4811-A0AC-36E8F89AFBE8}" name="Column3979" dataDxfId="12375"/>
    <tableColumn id="4028" xr3:uid="{EA0AFCEA-522B-4A09-A5B3-E915B003780C}" name="Column3980" dataDxfId="12374"/>
    <tableColumn id="4029" xr3:uid="{1F0E2570-C955-41D2-8313-AE8DB38D9E9A}" name="Column3981" dataDxfId="12373"/>
    <tableColumn id="4030" xr3:uid="{BDE37C0E-8341-4AE2-8B06-57904DB36A33}" name="Column3982" dataDxfId="12372"/>
    <tableColumn id="4031" xr3:uid="{5C9CA4B9-5128-4013-9958-64040AEA0D0D}" name="Column3983" dataDxfId="12371"/>
    <tableColumn id="4032" xr3:uid="{C16ACC1A-BF52-46A9-A6E0-3850F7E2C575}" name="Column3984" dataDxfId="12370"/>
    <tableColumn id="4033" xr3:uid="{D32C9539-B070-4949-8026-81B44EDCF5F5}" name="Column3985" dataDxfId="12369"/>
    <tableColumn id="4034" xr3:uid="{F31F884B-5E00-40BF-98CF-57BB6DEE769E}" name="Column3986" dataDxfId="12368"/>
    <tableColumn id="4035" xr3:uid="{0EA498CC-8DB3-45A3-BAEE-E924CE290DB4}" name="Column3987" dataDxfId="12367"/>
    <tableColumn id="4036" xr3:uid="{59D20423-7F2B-42ED-9D0A-37E3F3F4B167}" name="Column3988" dataDxfId="12366"/>
    <tableColumn id="4037" xr3:uid="{E61CD41B-C6B4-4E05-B85D-312AAD19D57B}" name="Column3989" dataDxfId="12365"/>
    <tableColumn id="4038" xr3:uid="{83DF7FA0-4988-41C6-BD31-BABC7390DB8A}" name="Column3990" dataDxfId="12364"/>
    <tableColumn id="4039" xr3:uid="{119AFB95-D6E4-44A0-BF4B-D3E7BF5208DE}" name="Column3991" dataDxfId="12363"/>
    <tableColumn id="4040" xr3:uid="{C9D91030-A6B1-4700-9004-6839F98EF17D}" name="Column3992" dataDxfId="12362"/>
    <tableColumn id="4041" xr3:uid="{FE7FE180-EED6-40B0-BE78-648A4EE9379B}" name="Column3993" dataDxfId="12361"/>
    <tableColumn id="4042" xr3:uid="{5700C59B-5D99-4497-A472-4E66988AB5C3}" name="Column3994" dataDxfId="12360"/>
    <tableColumn id="4043" xr3:uid="{C8643B57-ADFD-425B-A444-A5E818AE9D4A}" name="Column3995" dataDxfId="12359"/>
    <tableColumn id="4044" xr3:uid="{A42F0317-879A-4BAA-B93B-3691228CE7F4}" name="Column3996" dataDxfId="12358"/>
    <tableColumn id="4045" xr3:uid="{BEB5754E-E2F0-4E3F-A822-0C1F0E14AFC2}" name="Column3997" dataDxfId="12357"/>
    <tableColumn id="4046" xr3:uid="{25C3F050-48AC-4B39-BE9E-BC777882C108}" name="Column3998" dataDxfId="12356"/>
    <tableColumn id="4047" xr3:uid="{D833CF5E-EE5E-4C66-B215-3A8560861F8C}" name="Column3999" dataDxfId="12355"/>
    <tableColumn id="4048" xr3:uid="{0E2D51EA-D28E-4A03-8EFB-8F05424CAF88}" name="Column4000" dataDxfId="12354"/>
    <tableColumn id="4049" xr3:uid="{65E81493-007E-4153-9604-8E75462B6774}" name="Column4001" dataDxfId="12353"/>
    <tableColumn id="4050" xr3:uid="{7CD6C2B1-4E52-4AFF-B55E-E5479D71F54E}" name="Column4002" dataDxfId="12352"/>
    <tableColumn id="4051" xr3:uid="{E4717722-34D0-4115-ADCC-DABF17740122}" name="Column4003" dataDxfId="12351"/>
    <tableColumn id="4052" xr3:uid="{00E49F1B-5DF3-4EC8-A1AB-4FBB6D302D96}" name="Column4004" dataDxfId="12350"/>
    <tableColumn id="4053" xr3:uid="{F121516D-4F9A-4C73-9CA0-DC5B12B2FBB4}" name="Column4005" dataDxfId="12349"/>
    <tableColumn id="4054" xr3:uid="{EC5502BA-11EB-479F-93BB-5FF03E04BC8A}" name="Column4006" dataDxfId="12348"/>
    <tableColumn id="4055" xr3:uid="{3B6B851E-3A82-48C6-9CE2-F4F8999E9B49}" name="Column4007" dataDxfId="12347"/>
    <tableColumn id="4056" xr3:uid="{CB5DA916-7BC2-495F-B496-CD1AD83B1E13}" name="Column4008" dataDxfId="12346"/>
    <tableColumn id="4057" xr3:uid="{61E76BA2-1E9B-42ED-91FE-C575DF1DECF7}" name="Column4009" dataDxfId="12345"/>
    <tableColumn id="4058" xr3:uid="{211FA189-D8AF-489D-9F31-ED762EF9A197}" name="Column4010" dataDxfId="12344"/>
    <tableColumn id="4059" xr3:uid="{6E7AA606-D10B-4F48-AEF2-B67F871D2CD1}" name="Column4011" dataDxfId="12343"/>
    <tableColumn id="4060" xr3:uid="{E6B71C15-B0D8-4A39-B646-13953598B6D1}" name="Column4012" dataDxfId="12342"/>
    <tableColumn id="4061" xr3:uid="{0A6004D3-90B1-46E6-86C2-31F805FB598B}" name="Column4013" dataDxfId="12341"/>
    <tableColumn id="4062" xr3:uid="{7EB0C97F-01A2-4BC6-A881-F459D013BA7C}" name="Column4014" dataDxfId="12340"/>
    <tableColumn id="4063" xr3:uid="{1DF328D6-86C9-4448-89AB-26865DDC1E1C}" name="Column4015" dataDxfId="12339"/>
    <tableColumn id="4064" xr3:uid="{5A473B74-4974-4C43-B26A-9D58BB4DD1C5}" name="Column4016" dataDxfId="12338"/>
    <tableColumn id="4065" xr3:uid="{EF70ECC4-CA44-4BD0-9FDD-47BC9E150C6F}" name="Column4017" dataDxfId="12337"/>
    <tableColumn id="4066" xr3:uid="{65B23CB5-95A5-4AF4-A49D-5B0FDD735356}" name="Column4018" dataDxfId="12336"/>
    <tableColumn id="4067" xr3:uid="{8A9C5E84-1724-489A-AE3F-FACE09585834}" name="Column4019" dataDxfId="12335"/>
    <tableColumn id="4068" xr3:uid="{C1E35D82-3293-41CB-B5A7-D9BA13B35C29}" name="Column4020" dataDxfId="12334"/>
    <tableColumn id="4069" xr3:uid="{5FC4610F-1E1B-4367-BA40-6FB23D20D157}" name="Column4021" dataDxfId="12333"/>
    <tableColumn id="4070" xr3:uid="{0A696C11-231B-49A1-B74E-48CB5051128D}" name="Column4022" dataDxfId="12332"/>
    <tableColumn id="4071" xr3:uid="{76422968-D142-4918-920B-88236B6ABA4A}" name="Column4023" dataDxfId="12331"/>
    <tableColumn id="4072" xr3:uid="{BA551A6D-BFFE-4405-B4A3-81E365F237C5}" name="Column4024" dataDxfId="12330"/>
    <tableColumn id="4073" xr3:uid="{883C11D2-FD54-4958-B908-E664A6FEBD14}" name="Column4025" dataDxfId="12329"/>
    <tableColumn id="4074" xr3:uid="{437AD0D2-72EF-4B1F-AF1C-4CC8049703B1}" name="Column4026" dataDxfId="12328"/>
    <tableColumn id="4075" xr3:uid="{EBFCA5CF-38C0-48BB-B2AB-5CA6B2372B58}" name="Column4027" dataDxfId="12327"/>
    <tableColumn id="4076" xr3:uid="{66E2DB7E-E050-4635-B84B-DCE2DA42DDC6}" name="Column4028" dataDxfId="12326"/>
    <tableColumn id="4077" xr3:uid="{EB30A484-A368-4FF4-A85F-89118ECA9270}" name="Column4029" dataDxfId="12325"/>
    <tableColumn id="4078" xr3:uid="{E956BDD0-7338-4BF9-AB8A-848A31B2097B}" name="Column4030" dataDxfId="12324"/>
    <tableColumn id="4079" xr3:uid="{DDA306B0-12FB-48F7-96D0-6DDE10DE7DD0}" name="Column4031" dataDxfId="12323"/>
    <tableColumn id="4080" xr3:uid="{4FC84E6C-4CBE-4D5F-A137-36C8A206D81A}" name="Column4032" dataDxfId="12322"/>
    <tableColumn id="4081" xr3:uid="{BD5498BE-567E-4784-8B7B-D305055F5E6D}" name="Column4033" dataDxfId="12321"/>
    <tableColumn id="4082" xr3:uid="{979A64F7-983E-4E50-91AE-FF80CC396750}" name="Column4034" dataDxfId="12320"/>
    <tableColumn id="4083" xr3:uid="{5B93DEE2-D7DA-4963-8F8E-1D81B16824E3}" name="Column4035" dataDxfId="12319"/>
    <tableColumn id="4084" xr3:uid="{37F8EF3E-DB5B-4729-BB99-582E6E63AF4F}" name="Column4036" dataDxfId="12318"/>
    <tableColumn id="4085" xr3:uid="{4A100C7F-51E6-47CD-9A28-CCF8701F22CA}" name="Column4037" dataDxfId="12317"/>
    <tableColumn id="4086" xr3:uid="{D1445B7D-C9CA-4CF1-BBD2-795828C16207}" name="Column4038" dataDxfId="12316"/>
    <tableColumn id="4087" xr3:uid="{03B8C164-5A16-4E58-9E7A-43177CCA21DC}" name="Column4039" dataDxfId="12315"/>
    <tableColumn id="4088" xr3:uid="{0C68CD57-7F0B-45D8-9627-2EA5410C4DE2}" name="Column4040" dataDxfId="12314"/>
    <tableColumn id="4089" xr3:uid="{3962EA95-0E05-4ED6-ADD9-7D0A56C32BBF}" name="Column4041" dataDxfId="12313"/>
    <tableColumn id="4090" xr3:uid="{B45D4BAF-29A4-479E-A467-5A23C20698D4}" name="Column4042" dataDxfId="12312"/>
    <tableColumn id="4091" xr3:uid="{955C9642-5ED7-483F-ADE6-55C7DF8C5BD2}" name="Column4043" dataDxfId="12311"/>
    <tableColumn id="4092" xr3:uid="{FF0CE303-905A-4000-8907-28563F58FBCB}" name="Column4044" dataDxfId="12310"/>
    <tableColumn id="4093" xr3:uid="{A444453F-8F47-428E-A186-D1DA33C64375}" name="Column4045" dataDxfId="12309"/>
    <tableColumn id="4094" xr3:uid="{A23E820C-A7FB-4E7A-9AFB-4AD1CAF16CAC}" name="Column4046" dataDxfId="12308"/>
    <tableColumn id="4095" xr3:uid="{5B2C86E7-F06B-4235-8687-8D55C0F3D55D}" name="Column4047" dataDxfId="12307"/>
    <tableColumn id="4096" xr3:uid="{7C5FD4CB-AE24-4718-87EC-5BF0C552C640}" name="Column4048" dataDxfId="12306"/>
    <tableColumn id="4097" xr3:uid="{FB09E249-D687-4668-82E6-67FF49BD2CBE}" name="Column4049" dataDxfId="12305"/>
    <tableColumn id="4098" xr3:uid="{510AB338-79FE-4F54-B1D9-8BE76BF66AC9}" name="Column4050" dataDxfId="12304"/>
    <tableColumn id="4099" xr3:uid="{F8F708A8-9F0A-4965-9734-40FB7C817C9D}" name="Column4051" dataDxfId="12303"/>
    <tableColumn id="4100" xr3:uid="{5FB31D8B-5507-4564-B4EF-98149E01552D}" name="Column4052" dataDxfId="12302"/>
    <tableColumn id="4101" xr3:uid="{F41DAD7D-2675-4C50-A3C4-DCB61F9E93BF}" name="Column4053" dataDxfId="12301"/>
    <tableColumn id="4102" xr3:uid="{53917AF2-6A01-4610-8DED-6C567F1EBE8A}" name="Column4054" dataDxfId="12300"/>
    <tableColumn id="4103" xr3:uid="{057585EA-61C2-4CBA-9CAF-091C399BAD29}" name="Column4055" dataDxfId="12299"/>
    <tableColumn id="4104" xr3:uid="{9C0C322F-CDDE-425C-90A4-79C937F0D859}" name="Column4056" dataDxfId="12298"/>
    <tableColumn id="4105" xr3:uid="{38FC909E-C000-477E-A09F-252D23ED2BF7}" name="Column4057" dataDxfId="12297"/>
    <tableColumn id="4106" xr3:uid="{6E82E7FC-55B6-446C-AE09-4DBB5C1BD5A9}" name="Column4058" dataDxfId="12296"/>
    <tableColumn id="4107" xr3:uid="{EFD0080E-82D5-4130-8487-4EAA675C9692}" name="Column4059" dataDxfId="12295"/>
    <tableColumn id="4108" xr3:uid="{FDED861B-60A2-4429-8409-2F68E7077255}" name="Column4060" dataDxfId="12294"/>
    <tableColumn id="4109" xr3:uid="{9A4474AB-EED4-4A3B-9620-D792AB04FC69}" name="Column4061" dataDxfId="12293"/>
    <tableColumn id="4110" xr3:uid="{4C300ACF-280C-4800-B8C4-6F6E2790782D}" name="Column4062" dataDxfId="12292"/>
    <tableColumn id="4111" xr3:uid="{B4014129-E3C1-40FA-A362-34EC1EFBAFFA}" name="Column4063" dataDxfId="12291"/>
    <tableColumn id="4112" xr3:uid="{D794D5A8-B3DE-4F06-A750-F4D1951C7635}" name="Column4064" dataDxfId="12290"/>
    <tableColumn id="4113" xr3:uid="{D9C4C535-10EA-412B-86E6-3623C30D7CA5}" name="Column4065" dataDxfId="12289"/>
    <tableColumn id="4114" xr3:uid="{BBF92C3B-72EE-471A-94CA-CBC11805CD42}" name="Column4066" dataDxfId="12288"/>
    <tableColumn id="4115" xr3:uid="{ACC2CEF2-EF8F-4FF1-8AE4-B38FF30ADC0A}" name="Column4067" dataDxfId="12287"/>
    <tableColumn id="4116" xr3:uid="{EE53BA62-2153-4D09-9202-B42CC7382A8D}" name="Column4068" dataDxfId="12286"/>
    <tableColumn id="4117" xr3:uid="{3A80521D-E71E-4031-BF0A-330437AE0F3C}" name="Column4069" dataDxfId="12285"/>
    <tableColumn id="4118" xr3:uid="{4C1FCC30-9D0D-4284-B5B0-2811950D85BF}" name="Column4070" dataDxfId="12284"/>
    <tableColumn id="4119" xr3:uid="{0FEEB742-13BD-4C84-BBF0-A09A874E70E3}" name="Column4071" dataDxfId="12283"/>
    <tableColumn id="4120" xr3:uid="{C53ADEFD-C01A-45E9-B485-6DA63D3322DA}" name="Column4072" dataDxfId="12282"/>
    <tableColumn id="4121" xr3:uid="{E3D875E7-8041-45FB-A691-C10A789F1B25}" name="Column4073" dataDxfId="12281"/>
    <tableColumn id="4122" xr3:uid="{A9115E3E-B6B4-4719-9546-14596B37A7F2}" name="Column4074" dataDxfId="12280"/>
    <tableColumn id="4123" xr3:uid="{91EB75E8-3D53-4E6B-9F29-D3602C7AFF44}" name="Column4075" dataDxfId="12279"/>
    <tableColumn id="4124" xr3:uid="{DC34DF37-9D23-43BE-86F3-8FB11DE443A3}" name="Column4076" dataDxfId="12278"/>
    <tableColumn id="4125" xr3:uid="{1EECA6A9-8A32-4720-8C1C-C944656FB5B3}" name="Column4077" dataDxfId="12277"/>
    <tableColumn id="4126" xr3:uid="{BE72B78F-9D16-4DF3-A0A8-7CA1ABDDFCB1}" name="Column4078" dataDxfId="12276"/>
    <tableColumn id="4127" xr3:uid="{995086F5-A8B2-4977-97F5-CB31DE1FBFFA}" name="Column4079" dataDxfId="12275"/>
    <tableColumn id="4128" xr3:uid="{AB9D76EF-59C0-4001-BDF3-FA1AC54F8AAB}" name="Column4080" dataDxfId="12274"/>
    <tableColumn id="4129" xr3:uid="{E8A4AC5B-B021-4BC1-BB39-1D960913A7A8}" name="Column4081" dataDxfId="12273"/>
    <tableColumn id="4130" xr3:uid="{DC30151B-3E26-426B-BA15-F7787C8934AB}" name="Column4082" dataDxfId="12272"/>
    <tableColumn id="4131" xr3:uid="{D76FEEFB-F7FB-4E24-BA7E-75B52675A6E1}" name="Column4083" dataDxfId="12271"/>
    <tableColumn id="4132" xr3:uid="{8739C6B9-9ECD-4409-8F4C-C2869443206E}" name="Column4084" dataDxfId="12270"/>
    <tableColumn id="4133" xr3:uid="{DA607457-34CB-4E71-9A61-5E43AB5CF328}" name="Column4085" dataDxfId="12269"/>
    <tableColumn id="4134" xr3:uid="{4A34B7C2-7242-49CB-A01E-9183665F2004}" name="Column4086" dataDxfId="12268"/>
    <tableColumn id="4135" xr3:uid="{CB168A6F-0873-428A-A6B4-56E2F021762B}" name="Column4087" dataDxfId="12267"/>
    <tableColumn id="4136" xr3:uid="{18B20DD6-1BA3-440E-9E9F-1C78579253EA}" name="Column4088" dataDxfId="12266"/>
    <tableColumn id="4137" xr3:uid="{2C52BDD9-BD3F-47AD-80A9-6A9E83069F62}" name="Column4089" dataDxfId="12265"/>
    <tableColumn id="4138" xr3:uid="{37CE2B94-A44E-4793-978D-1AE62934C86E}" name="Column4090" dataDxfId="12264"/>
    <tableColumn id="4139" xr3:uid="{ECDB73C4-2909-4179-B50A-62F39CF86134}" name="Column4091" dataDxfId="12263"/>
    <tableColumn id="4140" xr3:uid="{B3B0E365-5E72-4431-9D94-A9AB688148D8}" name="Column4092" dataDxfId="12262"/>
    <tableColumn id="4141" xr3:uid="{29EB8609-8DCB-45B4-92F8-B861678EF495}" name="Column4093" dataDxfId="12261"/>
    <tableColumn id="4142" xr3:uid="{EF8CE2D3-1226-45E7-8163-91DF31444445}" name="Column4094" dataDxfId="12260"/>
    <tableColumn id="4143" xr3:uid="{8A12CAFB-B1B3-4C87-9436-A274EEF47492}" name="Column4095" dataDxfId="12259"/>
    <tableColumn id="4144" xr3:uid="{6CD874B2-2DD1-4B53-B6FC-3A6D3B988A44}" name="Column4096" dataDxfId="12258"/>
    <tableColumn id="4145" xr3:uid="{045E2932-F88F-4635-BBEF-CA361817EA70}" name="Column4097" dataDxfId="12257"/>
    <tableColumn id="4146" xr3:uid="{64DBAF46-7DF1-443C-A803-9F6C8FEDF19F}" name="Column4098" dataDxfId="12256"/>
    <tableColumn id="4147" xr3:uid="{2E976454-5E46-4EF8-8AB9-5DAD8FAA1314}" name="Column4099" dataDxfId="12255"/>
    <tableColumn id="4148" xr3:uid="{8BC1A530-9AA6-4C5B-BA00-33D3B7AA5207}" name="Column4100" dataDxfId="12254"/>
    <tableColumn id="4149" xr3:uid="{92D8ED74-271F-4880-B7C4-D8F5382D8F43}" name="Column4101" dataDxfId="12253"/>
    <tableColumn id="4150" xr3:uid="{D1B7C01A-3C9A-45DB-A229-AD0EAEFD2863}" name="Column4102" dataDxfId="12252"/>
    <tableColumn id="4151" xr3:uid="{48B5583C-8D7C-4274-B040-D88A1937A868}" name="Column4103" dataDxfId="12251"/>
    <tableColumn id="4152" xr3:uid="{3AB650F8-08BA-43AE-8689-4D51BB27FB7B}" name="Column4104" dataDxfId="12250"/>
    <tableColumn id="4153" xr3:uid="{674CCEC0-0AA2-4D19-A952-EA1C5DF101DC}" name="Column4105" dataDxfId="12249"/>
    <tableColumn id="4154" xr3:uid="{D50839BC-B1E0-4FBB-AA27-CD8F97D7F048}" name="Column4106" dataDxfId="12248"/>
    <tableColumn id="4155" xr3:uid="{6A201C6D-EE39-4EB9-A480-6D17CB4E9AFC}" name="Column4107" dataDxfId="12247"/>
    <tableColumn id="4156" xr3:uid="{D8C50EE5-BA62-418A-BBD2-750B63C69C1C}" name="Column4108" dataDxfId="12246"/>
    <tableColumn id="4157" xr3:uid="{3D6B94AC-D9A3-4BE8-B93A-095F2FC47284}" name="Column4109" dataDxfId="12245"/>
    <tableColumn id="4158" xr3:uid="{88E1D971-07DD-4CBB-ABFE-E3879E9820C2}" name="Column4110" dataDxfId="12244"/>
    <tableColumn id="4159" xr3:uid="{71997604-58F4-4995-81BB-867351EFD816}" name="Column4111" dataDxfId="12243"/>
    <tableColumn id="4160" xr3:uid="{84FE96E9-D039-4CB9-8565-56FCE84F0692}" name="Column4112" dataDxfId="12242"/>
    <tableColumn id="4161" xr3:uid="{02F40A28-D50E-48FB-A7E0-926421BEB59E}" name="Column4113" dataDxfId="12241"/>
    <tableColumn id="4162" xr3:uid="{A569C302-983E-47F0-A9C5-D2DD2A793C6B}" name="Column4114" dataDxfId="12240"/>
    <tableColumn id="4163" xr3:uid="{6D2BFB2C-CB7F-45F0-B51E-90073A5160AA}" name="Column4115" dataDxfId="12239"/>
    <tableColumn id="4164" xr3:uid="{24160BAD-DC9A-4401-A3B2-26C250AD2E31}" name="Column4116" dataDxfId="12238"/>
    <tableColumn id="4165" xr3:uid="{AFB24C6A-A19B-422C-BC47-F0F8217EB8ED}" name="Column4117" dataDxfId="12237"/>
    <tableColumn id="4166" xr3:uid="{88DBFE2E-4A4D-4DA7-9236-96ECA9B3D39A}" name="Column4118" dataDxfId="12236"/>
    <tableColumn id="4167" xr3:uid="{3D1AF820-A940-4588-B6FB-3BE398CD3BF4}" name="Column4119" dataDxfId="12235"/>
    <tableColumn id="4168" xr3:uid="{A5096864-4CFD-48E9-AFB6-C4540A6242C2}" name="Column4120" dataDxfId="12234"/>
    <tableColumn id="4169" xr3:uid="{D0F7AC2C-C173-4EB5-ADA3-72C1236D407E}" name="Column4121" dataDxfId="12233"/>
    <tableColumn id="4170" xr3:uid="{6464212D-5170-4687-9C6D-8294017A1A3E}" name="Column4122" dataDxfId="12232"/>
    <tableColumn id="4171" xr3:uid="{19378536-BE25-4F54-9C98-7B6C8924E333}" name="Column4123" dataDxfId="12231"/>
    <tableColumn id="4172" xr3:uid="{29A157C9-5696-4AFE-9EB9-508314711096}" name="Column4124" dataDxfId="12230"/>
    <tableColumn id="4173" xr3:uid="{8B9EEF21-51D9-4AB1-9937-3A3219CAC28A}" name="Column4125" dataDxfId="12229"/>
    <tableColumn id="4174" xr3:uid="{4725AA2A-20E1-4EFE-BC72-1935C8C566BE}" name="Column4126" dataDxfId="12228"/>
    <tableColumn id="4175" xr3:uid="{E7FEF387-C818-431F-9611-35EDFB333D87}" name="Column4127" dataDxfId="12227"/>
    <tableColumn id="4176" xr3:uid="{7DC4224E-C68C-45CA-B7E1-1F848C6FA9DF}" name="Column4128" dataDxfId="12226"/>
    <tableColumn id="4177" xr3:uid="{C2E806DE-F906-461C-B9FF-ED1A935E1CC2}" name="Column4129" dataDxfId="12225"/>
    <tableColumn id="4178" xr3:uid="{AB7F6FE1-3D92-4B3A-A1A5-5D5D998F5A36}" name="Column4130" dataDxfId="12224"/>
    <tableColumn id="4179" xr3:uid="{AD4416A4-43A7-4DBC-A858-6ED2CA1494C1}" name="Column4131" dataDxfId="12223"/>
    <tableColumn id="4180" xr3:uid="{4B77A5D8-2701-41F9-BE95-C5101DBC9573}" name="Column4132" dataDxfId="12222"/>
    <tableColumn id="4181" xr3:uid="{15A8A462-FBB1-45F7-A767-061E85DA4BF9}" name="Column4133" dataDxfId="12221"/>
    <tableColumn id="4182" xr3:uid="{8709E5B9-C78A-4265-85FE-EF7527C5B3DE}" name="Column4134" dataDxfId="12220"/>
    <tableColumn id="4183" xr3:uid="{4ACC111C-4506-4889-B02E-56F87E7DA84A}" name="Column4135" dataDxfId="12219"/>
    <tableColumn id="4184" xr3:uid="{C8C197C5-6BB5-4C3C-832B-CB0F78BC077E}" name="Column4136" dataDxfId="12218"/>
    <tableColumn id="4185" xr3:uid="{C28C3575-A395-4C52-8C0C-A05A93E1989E}" name="Column4137" dataDxfId="12217"/>
    <tableColumn id="4186" xr3:uid="{9052048D-6B13-47CB-8349-F3288362F2DE}" name="Column4138" dataDxfId="12216"/>
    <tableColumn id="4187" xr3:uid="{CB6821E9-8439-453F-A155-4B342CB5C023}" name="Column4139" dataDxfId="12215"/>
    <tableColumn id="4188" xr3:uid="{E7B377EB-0A20-4C56-9DF6-5D87D1780DC0}" name="Column4140" dataDxfId="12214"/>
    <tableColumn id="4189" xr3:uid="{F7BE4C1D-A07B-4F99-AC6B-BD53C18B00C6}" name="Column4141" dataDxfId="12213"/>
    <tableColumn id="4190" xr3:uid="{C3E0762B-319E-425D-ACA1-6169FBFA6E52}" name="Column4142" dataDxfId="12212"/>
    <tableColumn id="4191" xr3:uid="{B3ACD824-0C45-42AD-AE6C-643773E915D5}" name="Column4143" dataDxfId="12211"/>
    <tableColumn id="4192" xr3:uid="{B2350375-30A8-44AD-9297-143495343D76}" name="Column4144" dataDxfId="12210"/>
    <tableColumn id="4193" xr3:uid="{DEEDDA31-D5CC-479C-A3F2-F48F5C31C57E}" name="Column4145" dataDxfId="12209"/>
    <tableColumn id="4194" xr3:uid="{F9AFEF49-4982-4A3D-B5EE-6A4F2292C928}" name="Column4146" dataDxfId="12208"/>
    <tableColumn id="4195" xr3:uid="{DB1B8606-D1B3-46D2-989C-DE15F389919D}" name="Column4147" dataDxfId="12207"/>
    <tableColumn id="4196" xr3:uid="{D2602E37-95F7-4D9F-A823-E22FA3FF9341}" name="Column4148" dataDxfId="12206"/>
    <tableColumn id="4197" xr3:uid="{E01A7385-E7B3-4C20-A250-8DE146AC2955}" name="Column4149" dataDxfId="12205"/>
    <tableColumn id="4198" xr3:uid="{FD0C189D-1E56-4140-9B61-CC549F924C6F}" name="Column4150" dataDxfId="12204"/>
    <tableColumn id="4199" xr3:uid="{85117BB1-B6DE-4E52-BB8D-C79B29BEA66E}" name="Column4151" dataDxfId="12203"/>
    <tableColumn id="4200" xr3:uid="{20E48F53-246C-4D50-BD5A-FEBEC347C0F2}" name="Column4152" dataDxfId="12202"/>
    <tableColumn id="4201" xr3:uid="{2D01F58F-65D1-4A21-8B84-EF2390476A1D}" name="Column4153" dataDxfId="12201"/>
    <tableColumn id="4202" xr3:uid="{380E427D-8D7B-45A5-8FEB-259801F7BEEC}" name="Column4154" dataDxfId="12200"/>
    <tableColumn id="4203" xr3:uid="{DD37A643-508A-4335-8430-E56201F25385}" name="Column4155" dataDxfId="12199"/>
    <tableColumn id="4204" xr3:uid="{091FDF2A-6691-4CE8-9ABD-9D2D835385B1}" name="Column4156" dataDxfId="12198"/>
    <tableColumn id="4205" xr3:uid="{DD7D1516-AA26-4505-BBB0-3F7E2F917F95}" name="Column4157" dataDxfId="12197"/>
    <tableColumn id="4206" xr3:uid="{52BD90F8-4DF5-4D65-919B-80097BCF22D2}" name="Column4158" dataDxfId="12196"/>
    <tableColumn id="4207" xr3:uid="{F4D3A69D-2117-40DA-94E4-E4B6A761E389}" name="Column4159" dataDxfId="12195"/>
    <tableColumn id="4208" xr3:uid="{633A176A-E1FE-4B21-8563-253D10C35D46}" name="Column4160" dataDxfId="12194"/>
    <tableColumn id="4209" xr3:uid="{7F6870F7-14BC-46F0-9EF5-B8413E73D5B5}" name="Column4161" dataDxfId="12193"/>
    <tableColumn id="4210" xr3:uid="{9727277B-A748-458E-9813-2E9F3C41964A}" name="Column4162" dataDxfId="12192"/>
    <tableColumn id="4211" xr3:uid="{C1A7990F-3A86-48C7-B558-7DBBC46485A5}" name="Column4163" dataDxfId="12191"/>
    <tableColumn id="4212" xr3:uid="{0A0A20ED-F069-4DD1-B9D8-44DD3B42921E}" name="Column4164" dataDxfId="12190"/>
    <tableColumn id="4213" xr3:uid="{736CE616-5255-48AA-BD34-1007956F2B79}" name="Column4165" dataDxfId="12189"/>
    <tableColumn id="4214" xr3:uid="{41E8BAA6-6839-4B71-BDDF-A134E6D9D0F3}" name="Column4166" dataDxfId="12188"/>
    <tableColumn id="4215" xr3:uid="{F828685C-EFAA-4F82-A7D2-6FB38642F722}" name="Column4167" dataDxfId="12187"/>
    <tableColumn id="4216" xr3:uid="{3A1E67F8-38CA-4E88-9080-782BE66B509A}" name="Column4168" dataDxfId="12186"/>
    <tableColumn id="4217" xr3:uid="{42B67D0D-7BD2-4B1E-887D-FB3931257FCE}" name="Column4169" dataDxfId="12185"/>
    <tableColumn id="4218" xr3:uid="{7BD86325-1CA7-4E23-B580-CF453D0E7304}" name="Column4170" dataDxfId="12184"/>
    <tableColumn id="4219" xr3:uid="{494C5773-BB3F-478F-BA96-2F785AE754D0}" name="Column4171" dataDxfId="12183"/>
    <tableColumn id="4220" xr3:uid="{325F29C1-E63F-4772-A188-684DBEA42E29}" name="Column4172" dataDxfId="12182"/>
    <tableColumn id="4221" xr3:uid="{A5E8F42B-FFD9-4261-BD8E-80C910B7B6A6}" name="Column4173" dataDxfId="12181"/>
    <tableColumn id="4222" xr3:uid="{591BDF3B-203D-4704-ACBC-54B74E50C3CC}" name="Column4174" dataDxfId="12180"/>
    <tableColumn id="4223" xr3:uid="{5915EFA2-A7F3-4BF6-A5A1-A31FC74CCDDC}" name="Column4175" dataDxfId="12179"/>
    <tableColumn id="4224" xr3:uid="{BBC10107-B201-485D-AE59-5D4BCCD9FDC6}" name="Column4176" dataDxfId="12178"/>
    <tableColumn id="4225" xr3:uid="{9AF47877-A264-403C-9EC7-79A6709576AE}" name="Column4177" dataDxfId="12177"/>
    <tableColumn id="4226" xr3:uid="{9CD44BE6-DF42-42CF-940E-F912BA5D2543}" name="Column4178" dataDxfId="12176"/>
    <tableColumn id="4227" xr3:uid="{32193B33-35BC-40D2-9155-B39DD0032136}" name="Column4179" dataDxfId="12175"/>
    <tableColumn id="4228" xr3:uid="{461F8503-7A0C-4F26-A204-38C6D478CA1A}" name="Column4180" dataDxfId="12174"/>
    <tableColumn id="4229" xr3:uid="{B3EA8DE7-C855-4F19-B86E-847250CB2A18}" name="Column4181" dataDxfId="12173"/>
    <tableColumn id="4230" xr3:uid="{4B0F18BA-6E6C-489F-B3B2-62E7E32D9850}" name="Column4182" dataDxfId="12172"/>
    <tableColumn id="4231" xr3:uid="{FC173FC7-1A96-4884-AF3A-9A57D09C0FE5}" name="Column4183" dataDxfId="12171"/>
    <tableColumn id="4232" xr3:uid="{BA485ECD-6505-4F31-9415-73F4EEE24976}" name="Column4184" dataDxfId="12170"/>
    <tableColumn id="4233" xr3:uid="{518D8F14-7743-46F6-B76E-3B3308724461}" name="Column4185" dataDxfId="12169"/>
    <tableColumn id="4234" xr3:uid="{99D65AFB-2DD7-4706-BEE1-0C41809C7342}" name="Column4186" dataDxfId="12168"/>
    <tableColumn id="4235" xr3:uid="{B9C42E33-9FA4-477C-AB09-8ADE4A78CD99}" name="Column4187" dataDxfId="12167"/>
    <tableColumn id="4236" xr3:uid="{E8480A26-EFDD-4E7C-A413-19680E744EB0}" name="Column4188" dataDxfId="12166"/>
    <tableColumn id="4237" xr3:uid="{85391CD1-CA35-44D1-ABF7-186281DF106A}" name="Column4189" dataDxfId="12165"/>
    <tableColumn id="4238" xr3:uid="{DFEE9A49-28B5-4BE3-8B64-53CF35DBF6C3}" name="Column4190" dataDxfId="12164"/>
    <tableColumn id="4239" xr3:uid="{3AF22581-AE6F-4E4D-BED1-12F2DEF37399}" name="Column4191" dataDxfId="12163"/>
    <tableColumn id="4240" xr3:uid="{0AF6B9F1-BFD4-402E-AAB5-6E06A5DE0BE2}" name="Column4192" dataDxfId="12162"/>
    <tableColumn id="4241" xr3:uid="{0517AD62-04DA-4484-A2B7-F496D37DC3CA}" name="Column4193" dataDxfId="12161"/>
    <tableColumn id="4242" xr3:uid="{7C46F7EA-B750-4FDD-97C9-93F679D90103}" name="Column4194" dataDxfId="12160"/>
    <tableColumn id="4243" xr3:uid="{4932B0F0-3EB0-47DC-8BA6-CDA82176458E}" name="Column4195" dataDxfId="12159"/>
    <tableColumn id="4244" xr3:uid="{4392A0F6-34FC-46E3-ACA9-14A18033BDCC}" name="Column4196" dataDxfId="12158"/>
    <tableColumn id="4245" xr3:uid="{F06C6626-D6D4-4A86-A816-FB42AFDC87E3}" name="Column4197" dataDxfId="12157"/>
    <tableColumn id="4246" xr3:uid="{C5415FD6-D58B-4261-B939-140CC87C6EC3}" name="Column4198" dataDxfId="12156"/>
    <tableColumn id="4247" xr3:uid="{B981440E-D859-4F72-8FB6-D46C1F43456B}" name="Column4199" dataDxfId="12155"/>
    <tableColumn id="4248" xr3:uid="{CA64AEC8-2689-4EA8-8C5B-FC3D7E8693FB}" name="Column4200" dataDxfId="12154"/>
    <tableColumn id="4249" xr3:uid="{A3B5AEFD-94DF-4FCA-873E-408B7E4709F8}" name="Column4201" dataDxfId="12153"/>
    <tableColumn id="4250" xr3:uid="{F59E0750-B04D-4558-8CC2-06177B6BC370}" name="Column4202" dataDxfId="12152"/>
    <tableColumn id="4251" xr3:uid="{55B2DE0A-3524-44F0-A4B7-74FB69F66FDE}" name="Column4203" dataDxfId="12151"/>
    <tableColumn id="4252" xr3:uid="{FA74ECA2-6ECB-44DC-90CA-233DEA7DABDD}" name="Column4204" dataDxfId="12150"/>
    <tableColumn id="4253" xr3:uid="{4A81908B-8FC4-414C-96F0-51E9AC37CF2E}" name="Column4205" dataDxfId="12149"/>
    <tableColumn id="4254" xr3:uid="{FA12CE55-45BC-487E-977E-2B324DB2529B}" name="Column4206" dataDxfId="12148"/>
    <tableColumn id="4255" xr3:uid="{71860BBF-B22E-45FD-8750-10FA5B7DDFED}" name="Column4207" dataDxfId="12147"/>
    <tableColumn id="4256" xr3:uid="{3C8069CD-2036-4298-AB97-3FB2EE83F2C4}" name="Column4208" dataDxfId="12146"/>
    <tableColumn id="4257" xr3:uid="{06F3925A-91D0-4FE1-B3C8-46A3A9672BF9}" name="Column4209" dataDxfId="12145"/>
    <tableColumn id="4258" xr3:uid="{830518EB-89AD-47A1-8C03-AF9A450129FD}" name="Column4210" dataDxfId="12144"/>
    <tableColumn id="4259" xr3:uid="{5C5D1430-52C5-46E4-A361-56DD2A53C71D}" name="Column4211" dataDxfId="12143"/>
    <tableColumn id="4260" xr3:uid="{78419052-6326-4102-B5AA-42A8156E85FD}" name="Column4212" dataDxfId="12142"/>
    <tableColumn id="4261" xr3:uid="{0255F8EF-2EFA-4D83-82E6-F740DD1CDA1A}" name="Column4213" dataDxfId="12141"/>
    <tableColumn id="4262" xr3:uid="{C0FF6B31-5789-41A2-A569-41DD32343CE3}" name="Column4214" dataDxfId="12140"/>
    <tableColumn id="4263" xr3:uid="{5F96E356-82CC-4839-B433-D19A76A65874}" name="Column4215" dataDxfId="12139"/>
    <tableColumn id="4264" xr3:uid="{1B50A344-682C-4B20-B180-89E880C497A5}" name="Column4216" dataDxfId="12138"/>
    <tableColumn id="4265" xr3:uid="{89FFB97C-9E49-4754-AB1D-3ED7CDE4A8E2}" name="Column4217" dataDxfId="12137"/>
    <tableColumn id="4266" xr3:uid="{83DFF8C3-F077-4E5B-AABE-AD50076959D9}" name="Column4218" dataDxfId="12136"/>
    <tableColumn id="4267" xr3:uid="{695AD779-1FAA-490B-9FCD-43B6681C40BB}" name="Column4219" dataDxfId="12135"/>
    <tableColumn id="4268" xr3:uid="{E65505D4-866E-49E8-B3AA-65A7140670D7}" name="Column4220" dataDxfId="12134"/>
    <tableColumn id="4269" xr3:uid="{2C6DB680-AE47-448F-B03D-354D665C74DE}" name="Column4221" dataDxfId="12133"/>
    <tableColumn id="4270" xr3:uid="{97FA5A90-A678-40A3-82B7-626BA844564D}" name="Column4222" dataDxfId="12132"/>
    <tableColumn id="4271" xr3:uid="{2014151E-E879-4B9B-BDBE-DCDB08A969F7}" name="Column4223" dataDxfId="12131"/>
    <tableColumn id="4272" xr3:uid="{CB0D3123-9B3B-4131-8AD5-7256EDD4B918}" name="Column4224" dataDxfId="12130"/>
    <tableColumn id="4273" xr3:uid="{05364494-2D95-4CC0-8698-03A40E3A40FB}" name="Column4225" dataDxfId="12129"/>
    <tableColumn id="4274" xr3:uid="{64BBB378-03D0-4115-B00D-8479A5A2DD02}" name="Column4226" dataDxfId="12128"/>
    <tableColumn id="4275" xr3:uid="{0F691E99-3C56-43E4-B365-6917D282BD28}" name="Column4227" dataDxfId="12127"/>
    <tableColumn id="4276" xr3:uid="{8B5D9208-70BD-4839-8D28-E995231E706C}" name="Column4228" dataDxfId="12126"/>
    <tableColumn id="4277" xr3:uid="{CC8EB7B7-6ED8-433F-8472-5ECD8DE28BA3}" name="Column4229" dataDxfId="12125"/>
    <tableColumn id="4278" xr3:uid="{8DD56BAC-5B4A-4002-8F5A-1FDDE3EE07C7}" name="Column4230" dataDxfId="12124"/>
    <tableColumn id="4279" xr3:uid="{B9CA7A5D-544A-4EB7-8962-A245849AD8E9}" name="Column4231" dataDxfId="12123"/>
    <tableColumn id="4280" xr3:uid="{BC449C93-D94B-4E33-ACAD-7FA2840F452E}" name="Column4232" dataDxfId="12122"/>
    <tableColumn id="4281" xr3:uid="{55E361E1-390D-4354-BEE6-DCA100C0BAAF}" name="Column4233" dataDxfId="12121"/>
    <tableColumn id="4282" xr3:uid="{0AA09171-3580-4232-9CCB-02C785119F6B}" name="Column4234" dataDxfId="12120"/>
    <tableColumn id="4283" xr3:uid="{6BFDEF2B-0A85-44B4-9AB5-48F2F52A5AB1}" name="Column4235" dataDxfId="12119"/>
    <tableColumn id="4284" xr3:uid="{D65B3412-1756-4990-A9FF-BE66557D7CE2}" name="Column4236" dataDxfId="12118"/>
    <tableColumn id="4285" xr3:uid="{091E0586-9800-4630-9A2B-D68BB3BEDEDF}" name="Column4237" dataDxfId="12117"/>
    <tableColumn id="4286" xr3:uid="{2AF9BBCE-0F37-4258-B545-32CDDCB630E5}" name="Column4238" dataDxfId="12116"/>
    <tableColumn id="4287" xr3:uid="{DF630D0C-E809-466E-AB5E-5420F303BBFE}" name="Column4239" dataDxfId="12115"/>
    <tableColumn id="4288" xr3:uid="{FE0986DD-906D-4520-B945-2365D9FD80CC}" name="Column4240" dataDxfId="12114"/>
    <tableColumn id="4289" xr3:uid="{376B8C25-0B94-4502-9A02-F5D2A9CB059E}" name="Column4241" dataDxfId="12113"/>
    <tableColumn id="4290" xr3:uid="{D020CC28-ED9D-41E7-B57C-E47D7318D9AF}" name="Column4242" dataDxfId="12112"/>
    <tableColumn id="4291" xr3:uid="{0F3E05E5-A0E7-4F45-95B8-A59E3DC533DB}" name="Column4243" dataDxfId="12111"/>
    <tableColumn id="4292" xr3:uid="{84D31C6F-A078-472C-9511-9765313D43E6}" name="Column4244" dataDxfId="12110"/>
    <tableColumn id="4293" xr3:uid="{9D539FEA-ED82-4FD7-9FCF-6D25482AB5F2}" name="Column4245" dataDxfId="12109"/>
    <tableColumn id="4294" xr3:uid="{06360B64-9544-4075-AFA4-47F2AE953B82}" name="Column4246" dataDxfId="12108"/>
    <tableColumn id="4295" xr3:uid="{2608A606-E572-4B78-8B58-69C678897FEC}" name="Column4247" dataDxfId="12107"/>
    <tableColumn id="4296" xr3:uid="{DD5B9C9A-D96B-46AD-932D-CFF5B22EC16D}" name="Column4248" dataDxfId="12106"/>
    <tableColumn id="4297" xr3:uid="{B058D089-97F6-47DF-8451-BAC3A2988575}" name="Column4249" dataDxfId="12105"/>
    <tableColumn id="4298" xr3:uid="{B5B5F08C-3565-4EDB-BFDA-AD2FC8172F44}" name="Column4250" dataDxfId="12104"/>
    <tableColumn id="4299" xr3:uid="{C8D0FFC4-2C32-4379-807C-CDD56A4CAC27}" name="Column4251" dataDxfId="12103"/>
    <tableColumn id="4300" xr3:uid="{7A1920E0-FD42-489E-9474-4B2B5555973F}" name="Column4252" dataDxfId="12102"/>
    <tableColumn id="4301" xr3:uid="{D1E38401-6FAD-4382-83DE-78A191885B6B}" name="Column4253" dataDxfId="12101"/>
    <tableColumn id="4302" xr3:uid="{6FC0C689-2381-4D54-B126-437A06274DFE}" name="Column4254" dataDxfId="12100"/>
    <tableColumn id="4303" xr3:uid="{ED74688A-0632-4995-8FB9-50A2FBCB3259}" name="Column4255" dataDxfId="12099"/>
    <tableColumn id="4304" xr3:uid="{E100D420-47A2-4DD3-A76C-88B874B514B5}" name="Column4256" dataDxfId="12098"/>
    <tableColumn id="4305" xr3:uid="{F88C0FCE-428F-4270-B636-FF9FF84AAAD9}" name="Column4257" dataDxfId="12097"/>
    <tableColumn id="4306" xr3:uid="{D86AFA3F-BE0F-48B5-8723-DC1928BE7B98}" name="Column4258" dataDxfId="12096"/>
    <tableColumn id="4307" xr3:uid="{4FD0596F-2F54-49EB-856B-1FCDA3FFC2AD}" name="Column4259" dataDxfId="12095"/>
    <tableColumn id="4308" xr3:uid="{9945AA77-9C59-40C2-8036-09EAE2619A02}" name="Column4260" dataDxfId="12094"/>
    <tableColumn id="4309" xr3:uid="{A998C728-D1DA-452D-B8DD-22078055DD81}" name="Column4261" dataDxfId="12093"/>
    <tableColumn id="4310" xr3:uid="{6D61E881-3EA4-4AD6-8CF7-B41231942946}" name="Column4262" dataDxfId="12092"/>
    <tableColumn id="4311" xr3:uid="{B75A0C05-0C81-4562-A5AE-497531BD5606}" name="Column4263" dataDxfId="12091"/>
    <tableColumn id="4312" xr3:uid="{32E40F3F-7A91-483C-8C55-1A09E29D53E5}" name="Column4264" dataDxfId="12090"/>
    <tableColumn id="4313" xr3:uid="{CDC5C878-8EA2-4E03-ACA4-29FA5C577CE7}" name="Column4265" dataDxfId="12089"/>
    <tableColumn id="4314" xr3:uid="{A0A526CC-2D76-4264-8A7D-CCA7C525DFA6}" name="Column4266" dataDxfId="12088"/>
    <tableColumn id="4315" xr3:uid="{AE232FDE-FDEB-440D-BC9C-25508422366E}" name="Column4267" dataDxfId="12087"/>
    <tableColumn id="4316" xr3:uid="{BA99B912-DE44-406B-A9C9-2E9A4A74650E}" name="Column4268" dataDxfId="12086"/>
    <tableColumn id="4317" xr3:uid="{E3EF4528-9C62-4C71-8418-9EDF7B3DEC01}" name="Column4269" dataDxfId="12085"/>
    <tableColumn id="4318" xr3:uid="{A893299C-FE2C-4566-A7BC-C7E872742F31}" name="Column4270" dataDxfId="12084"/>
    <tableColumn id="4319" xr3:uid="{D172C64B-E135-4122-B14B-CD3AD1A78224}" name="Column4271" dataDxfId="12083"/>
    <tableColumn id="4320" xr3:uid="{AA354935-0955-41ED-9F79-6AB3A018F49A}" name="Column4272" dataDxfId="12082"/>
    <tableColumn id="4321" xr3:uid="{3DED2AD0-FBCA-4CBC-9654-5CD282303FC4}" name="Column4273" dataDxfId="12081"/>
    <tableColumn id="4322" xr3:uid="{90FAB836-E08C-43F0-996B-39077AB0A85A}" name="Column4274" dataDxfId="12080"/>
    <tableColumn id="4323" xr3:uid="{652BD9FD-6C34-4C32-979E-D2CA9110DA7F}" name="Column4275" dataDxfId="12079"/>
    <tableColumn id="4324" xr3:uid="{6BE5DF58-FD74-46D4-B696-4A670B668E81}" name="Column4276" dataDxfId="12078"/>
    <tableColumn id="4325" xr3:uid="{6D9CD92C-41E9-4C98-A8BE-45EFD1C09F5C}" name="Column4277" dataDxfId="12077"/>
    <tableColumn id="4326" xr3:uid="{319292C4-D6A3-4C8A-B9F9-AE79F5EBBC6F}" name="Column4278" dataDxfId="12076"/>
    <tableColumn id="4327" xr3:uid="{2AB64CCF-C6FA-40A6-B140-F9937A0CBEE8}" name="Column4279" dataDxfId="12075"/>
    <tableColumn id="4328" xr3:uid="{398D5D4E-CDEC-43ED-80E4-A55CD1685EE1}" name="Column4280" dataDxfId="12074"/>
    <tableColumn id="4329" xr3:uid="{00D33D51-0D71-4C61-B0E9-C73D15DEC25A}" name="Column4281" dataDxfId="12073"/>
    <tableColumn id="4330" xr3:uid="{FF7B8DAF-60A1-437F-9B21-D72043B6B1A0}" name="Column4282" dataDxfId="12072"/>
    <tableColumn id="4331" xr3:uid="{87F61144-7D52-41AD-88AF-070D644CDB25}" name="Column4283" dataDxfId="12071"/>
    <tableColumn id="4332" xr3:uid="{287260F0-524E-47B0-9982-6FD448BF548A}" name="Column4284" dataDxfId="12070"/>
    <tableColumn id="4333" xr3:uid="{6510C2E4-927C-4DEE-B66A-90466AC13293}" name="Column4285" dataDxfId="12069"/>
    <tableColumn id="4334" xr3:uid="{4E7B9C10-7C37-4119-8F95-7A68A9E8D2D2}" name="Column4286" dataDxfId="12068"/>
    <tableColumn id="4335" xr3:uid="{C018FE91-4F6C-4A6E-B703-3B153340F14E}" name="Column4287" dataDxfId="12067"/>
    <tableColumn id="4336" xr3:uid="{C5D03D11-BD83-4A53-B2FC-98627545A664}" name="Column4288" dataDxfId="12066"/>
    <tableColumn id="4337" xr3:uid="{6E9A3481-1FCF-4454-BA92-C1FFC5208334}" name="Column4289" dataDxfId="12065"/>
    <tableColumn id="4338" xr3:uid="{5F683B2A-511A-49D4-AEF9-10FE287033D7}" name="Column4290" dataDxfId="12064"/>
    <tableColumn id="4339" xr3:uid="{74624413-8D75-4864-9C0B-04A80E0E481B}" name="Column4291" dataDxfId="12063"/>
    <tableColumn id="4340" xr3:uid="{CB957DDF-3FB0-4045-8A00-6AD99CB533D5}" name="Column4292" dataDxfId="12062"/>
    <tableColumn id="4341" xr3:uid="{340246CA-4826-4611-B958-0697CBDC94A7}" name="Column4293" dataDxfId="12061"/>
    <tableColumn id="4342" xr3:uid="{52D25B8D-EF87-40D9-97AD-2203FF59D94C}" name="Column4294" dataDxfId="12060"/>
    <tableColumn id="4343" xr3:uid="{99724CE9-A24D-45CB-94DF-241E957CA49A}" name="Column4295" dataDxfId="12059"/>
    <tableColumn id="4344" xr3:uid="{98740DE0-0DA2-49FF-A0E1-3D4EA9BB9D50}" name="Column4296" dataDxfId="12058"/>
    <tableColumn id="4345" xr3:uid="{B6E6850B-EACC-478C-A0BF-CC2A96A01928}" name="Column4297" dataDxfId="12057"/>
    <tableColumn id="4346" xr3:uid="{4D4FD6B9-86FE-476B-B64B-30E250A73315}" name="Column4298" dataDxfId="12056"/>
    <tableColumn id="4347" xr3:uid="{E51A1A7E-14DA-44C6-B44F-211734333B27}" name="Column4299" dataDxfId="12055"/>
    <tableColumn id="4348" xr3:uid="{D54CC4E1-4D2E-4D5A-8DBE-07DA57A3B2C0}" name="Column4300" dataDxfId="12054"/>
    <tableColumn id="4349" xr3:uid="{A4209E3A-68F0-4D66-9454-6D040BA9B550}" name="Column4301" dataDxfId="12053"/>
    <tableColumn id="4350" xr3:uid="{FC45E275-1FDB-4C2E-A038-9E5B95A7D06E}" name="Column4302" dataDxfId="12052"/>
    <tableColumn id="4351" xr3:uid="{2498D9E2-3A87-4CA5-8A02-9EBCB3393D3A}" name="Column4303" dataDxfId="12051"/>
    <tableColumn id="4352" xr3:uid="{3E5194BF-5D93-4DA9-9EC9-759B97C50A72}" name="Column4304" dataDxfId="12050"/>
    <tableColumn id="4353" xr3:uid="{A1B64FA0-5836-42B1-8C16-FFE191CBC174}" name="Column4305" dataDxfId="12049"/>
    <tableColumn id="4354" xr3:uid="{62B19737-8868-4C0B-A3D9-4E8466F02700}" name="Column4306" dataDxfId="12048"/>
    <tableColumn id="4355" xr3:uid="{72D191FB-12B6-4C27-BB07-14F0E22E3C94}" name="Column4307" dataDxfId="12047"/>
    <tableColumn id="4356" xr3:uid="{39342BD4-BCB5-44D0-A8E3-6A09489B6AE1}" name="Column4308" dataDxfId="12046"/>
    <tableColumn id="4357" xr3:uid="{BF448683-56E4-4B59-A3F1-909253D4954F}" name="Column4309" dataDxfId="12045"/>
    <tableColumn id="4358" xr3:uid="{B3EBA6F1-D7D6-4268-91AB-AC3B0A39D5E9}" name="Column4310" dataDxfId="12044"/>
    <tableColumn id="4359" xr3:uid="{47AA23AA-5294-437D-ACD0-EB944726DD7D}" name="Column4311" dataDxfId="12043"/>
    <tableColumn id="4360" xr3:uid="{150B2961-2A33-4378-BD88-571BB7A3C041}" name="Column4312" dataDxfId="12042"/>
    <tableColumn id="4361" xr3:uid="{14A5E4DC-CB82-4ACE-BA3E-4F782B86E008}" name="Column4313" dataDxfId="12041"/>
    <tableColumn id="4362" xr3:uid="{B2ABC679-18CD-4465-B2A2-C2B895A2EB1E}" name="Column4314" dataDxfId="12040"/>
    <tableColumn id="4363" xr3:uid="{475FD9BE-69C5-4521-A219-2A378B3073D1}" name="Column4315" dataDxfId="12039"/>
    <tableColumn id="4364" xr3:uid="{07497ED4-3225-44EF-92C3-13E803976F8E}" name="Column4316" dataDxfId="12038"/>
    <tableColumn id="4365" xr3:uid="{EB7456E2-9408-4564-97E6-A28BC389C21A}" name="Column4317" dataDxfId="12037"/>
    <tableColumn id="4366" xr3:uid="{1440B1B3-4C0C-4727-A885-E475D3D2CA3C}" name="Column4318" dataDxfId="12036"/>
    <tableColumn id="4367" xr3:uid="{AEB7EAA4-0699-41CC-8A10-B27C4AA57EF8}" name="Column4319" dataDxfId="12035"/>
    <tableColumn id="4368" xr3:uid="{E4EDA58C-71C5-43EB-B63E-B0E1D66A4569}" name="Column4320" dataDxfId="12034"/>
    <tableColumn id="4369" xr3:uid="{71B495EF-DE7F-4C9E-8055-5718F9B07835}" name="Column4321" dataDxfId="12033"/>
    <tableColumn id="4370" xr3:uid="{EA5170BE-E8F5-40FF-BA89-A02DAD6BE93D}" name="Column4322" dataDxfId="12032"/>
    <tableColumn id="4371" xr3:uid="{8CE73EA5-ED0B-4FD6-AF27-3AB704612591}" name="Column4323" dataDxfId="12031"/>
    <tableColumn id="4372" xr3:uid="{06035D5C-490B-4F1D-BF9A-36ADCE93FA82}" name="Column4324" dataDxfId="12030"/>
    <tableColumn id="4373" xr3:uid="{4561C3E5-0C7E-4B24-8504-8F0FCE927C47}" name="Column4325" dataDxfId="12029"/>
    <tableColumn id="4374" xr3:uid="{F533AA29-8205-4A70-9E40-7571B9635A49}" name="Column4326" dataDxfId="12028"/>
    <tableColumn id="4375" xr3:uid="{D3D24B2E-DF00-4C3F-A267-8E5A9BF11D3B}" name="Column4327" dataDxfId="12027"/>
    <tableColumn id="4376" xr3:uid="{FF7BF76C-2C0A-4581-9AF0-ACE639140E04}" name="Column4328" dataDxfId="12026"/>
    <tableColumn id="4377" xr3:uid="{2F3E3761-1137-40CD-BDCE-74BFF00C3D1E}" name="Column4329" dataDxfId="12025"/>
    <tableColumn id="4378" xr3:uid="{394694F3-499E-4BBF-AE6F-DC1617BBF00A}" name="Column4330" dataDxfId="12024"/>
    <tableColumn id="4379" xr3:uid="{54E9BC73-57A6-4D73-97A4-7C3BB872675C}" name="Column4331" dataDxfId="12023"/>
    <tableColumn id="4380" xr3:uid="{6D97C04D-708F-4AC8-8316-2F21F1F1E8A4}" name="Column4332" dataDxfId="12022"/>
    <tableColumn id="4381" xr3:uid="{AF1EA8D3-80A6-48E1-B785-68429DE53B08}" name="Column4333" dataDxfId="12021"/>
    <tableColumn id="4382" xr3:uid="{1AECEFA8-7FC7-4AF1-865D-D4D8E1CA0F3F}" name="Column4334" dataDxfId="12020"/>
    <tableColumn id="4383" xr3:uid="{71F31D80-38FF-4ABA-B2A1-FF26D3C4F979}" name="Column4335" dataDxfId="12019"/>
    <tableColumn id="4384" xr3:uid="{F18B7416-6528-4233-9FA5-6D4353246A1C}" name="Column4336" dataDxfId="12018"/>
    <tableColumn id="4385" xr3:uid="{ED0323D8-B0B9-45E6-91F0-7242FC24077F}" name="Column4337" dataDxfId="12017"/>
    <tableColumn id="4386" xr3:uid="{D9A31A8A-0E89-41A7-98C4-7FBB8D07DFF1}" name="Column4338" dataDxfId="12016"/>
    <tableColumn id="4387" xr3:uid="{6E34D390-7258-41FA-9C78-D2EE2B5149A4}" name="Column4339" dataDxfId="12015"/>
    <tableColumn id="4388" xr3:uid="{32529B97-B409-4C90-85B3-003F89FDB504}" name="Column4340" dataDxfId="12014"/>
    <tableColumn id="4389" xr3:uid="{D0E06E9F-C021-4B28-A7C5-8D46D9A62B6F}" name="Column4341" dataDxfId="12013"/>
    <tableColumn id="4390" xr3:uid="{3A616493-10F6-44FE-BAD2-107FDA4DD1A5}" name="Column4342" dataDxfId="12012"/>
    <tableColumn id="4391" xr3:uid="{5BBDE302-1AEB-4017-8AB8-875C46C908A3}" name="Column4343" dataDxfId="12011"/>
    <tableColumn id="4392" xr3:uid="{3B96849A-72DF-49A2-B952-C8A880CBC776}" name="Column4344" dataDxfId="12010"/>
    <tableColumn id="4393" xr3:uid="{3B9884EE-87CD-4F11-A147-17A64BA04518}" name="Column4345" dataDxfId="12009"/>
    <tableColumn id="4394" xr3:uid="{61A3235D-0B91-4345-858C-1FC2F63C0149}" name="Column4346" dataDxfId="12008"/>
    <tableColumn id="4395" xr3:uid="{93638978-E660-4A09-866C-170301AE2B7E}" name="Column4347" dataDxfId="12007"/>
    <tableColumn id="4396" xr3:uid="{8BC4B54A-E70B-4C85-A233-90E6479AF325}" name="Column4348" dataDxfId="12006"/>
    <tableColumn id="4397" xr3:uid="{A6EC2ED6-00A6-4D3B-9549-3646BD2D4C6C}" name="Column4349" dataDxfId="12005"/>
    <tableColumn id="4398" xr3:uid="{60A43022-4C0E-482A-A569-F631589CB48D}" name="Column4350" dataDxfId="12004"/>
    <tableColumn id="4399" xr3:uid="{8DFBC10E-1EBE-47EA-93AB-91B7A3A6649D}" name="Column4351" dataDxfId="12003"/>
    <tableColumn id="4400" xr3:uid="{BDACF913-D260-417B-B2AA-294F4178A168}" name="Column4352" dataDxfId="12002"/>
    <tableColumn id="4401" xr3:uid="{D3D56A36-86D9-4DEA-8C41-91C2F50D5934}" name="Column4353" dataDxfId="12001"/>
    <tableColumn id="4402" xr3:uid="{DB33C775-95BF-4A38-902D-F83B7720DFBD}" name="Column4354" dataDxfId="12000"/>
    <tableColumn id="4403" xr3:uid="{D2E10B31-ECD9-4C9B-9F79-7A6A2028670C}" name="Column4355" dataDxfId="11999"/>
    <tableColumn id="4404" xr3:uid="{F6B57B13-956A-4C5A-BCC2-ABBC9D6543E1}" name="Column4356" dataDxfId="11998"/>
    <tableColumn id="4405" xr3:uid="{0FE7B823-DFDE-41A2-87BE-636B9C750588}" name="Column4357" dataDxfId="11997"/>
    <tableColumn id="4406" xr3:uid="{9CAE2372-C169-42C6-BC67-BF73E3BA66E7}" name="Column4358" dataDxfId="11996"/>
    <tableColumn id="4407" xr3:uid="{FC93D83F-AC1F-4D94-9C60-0EEC958B0E53}" name="Column4359" dataDxfId="11995"/>
    <tableColumn id="4408" xr3:uid="{7BBEBD28-07ED-44D4-B2D8-28070BDFC981}" name="Column4360" dataDxfId="11994"/>
    <tableColumn id="4409" xr3:uid="{A4A03F72-F344-4506-B0EB-EF33F06B902A}" name="Column4361" dataDxfId="11993"/>
    <tableColumn id="4410" xr3:uid="{9FF7A06E-E127-41BE-ACEB-CDFB89B48121}" name="Column4362" dataDxfId="11992"/>
    <tableColumn id="4411" xr3:uid="{99686701-20E8-498A-8D50-2AA04E068193}" name="Column4363" dataDxfId="11991"/>
    <tableColumn id="4412" xr3:uid="{40F79843-E42E-4418-A5A7-AF086069D0E6}" name="Column4364" dataDxfId="11990"/>
    <tableColumn id="4413" xr3:uid="{945A0716-6288-4E87-BB29-68D9224AE54E}" name="Column4365" dataDxfId="11989"/>
    <tableColumn id="4414" xr3:uid="{BA0BC97B-9E54-4156-A930-784991728124}" name="Column4366" dataDxfId="11988"/>
    <tableColumn id="4415" xr3:uid="{B944FC42-3376-4338-B0EB-BDC3D218C715}" name="Column4367" dataDxfId="11987"/>
    <tableColumn id="4416" xr3:uid="{0BFA03D2-14C8-4FAB-A631-E375C4D0BF99}" name="Column4368" dataDxfId="11986"/>
    <tableColumn id="4417" xr3:uid="{17FF4727-E6D2-4433-9D96-F9ED61698750}" name="Column4369" dataDxfId="11985"/>
    <tableColumn id="4418" xr3:uid="{31E2D22A-0D62-4E5A-9771-8DD22EF089C1}" name="Column4370" dataDxfId="11984"/>
    <tableColumn id="4419" xr3:uid="{9C399E0D-291C-4E0E-A398-2BB3F4281744}" name="Column4371" dataDxfId="11983"/>
    <tableColumn id="4420" xr3:uid="{37AB9178-1162-496C-BD2A-6775DC6590E8}" name="Column4372" dataDxfId="11982"/>
    <tableColumn id="4421" xr3:uid="{63C8D277-6C31-4EE8-AE64-6D1415BD13D6}" name="Column4373" dataDxfId="11981"/>
    <tableColumn id="4422" xr3:uid="{80356150-791E-4AEF-BD03-FE30EFA3DD21}" name="Column4374" dataDxfId="11980"/>
    <tableColumn id="4423" xr3:uid="{3D70EBE3-2AE7-4995-AB2D-83430CCAC87C}" name="Column4375" dataDxfId="11979"/>
    <tableColumn id="4424" xr3:uid="{B62CEF0A-BFA3-4193-BF75-B6F500A9ECE3}" name="Column4376" dataDxfId="11978"/>
    <tableColumn id="4425" xr3:uid="{3FE41D40-5FDE-4B37-8695-FB97E378F4A0}" name="Column4377" dataDxfId="11977"/>
    <tableColumn id="4426" xr3:uid="{EEBA795D-E71D-41D1-B0B3-F4D71F2A080F}" name="Column4378" dataDxfId="11976"/>
    <tableColumn id="4427" xr3:uid="{AFF02EFD-BADC-4B3D-A887-5A1CADC22196}" name="Column4379" dataDxfId="11975"/>
    <tableColumn id="4428" xr3:uid="{C374F2C3-EFBA-43FB-B8F0-6C3F5DE5DC36}" name="Column4380" dataDxfId="11974"/>
    <tableColumn id="4429" xr3:uid="{2E306D09-BBEC-4F0E-B543-A57600E95923}" name="Column4381" dataDxfId="11973"/>
    <tableColumn id="4430" xr3:uid="{5387999A-2911-4C14-A1F1-084D9A42F44B}" name="Column4382" dataDxfId="11972"/>
    <tableColumn id="4431" xr3:uid="{AA39E808-201A-48F7-BE0B-3200537F21D5}" name="Column4383" dataDxfId="11971"/>
    <tableColumn id="4432" xr3:uid="{286F88B0-AD26-4929-B28C-AA9CD5E65931}" name="Column4384" dataDxfId="11970"/>
    <tableColumn id="4433" xr3:uid="{FAE61091-2F8D-4BFD-B325-4AF33B9314E0}" name="Column4385" dataDxfId="11969"/>
    <tableColumn id="4434" xr3:uid="{23C85A86-7130-42C6-B227-63C4DEC21CE5}" name="Column4386" dataDxfId="11968"/>
    <tableColumn id="4435" xr3:uid="{11B4D713-D4D5-4D22-B954-924DD0DF6078}" name="Column4387" dataDxfId="11967"/>
    <tableColumn id="4436" xr3:uid="{6B7FFE5F-146E-4528-8646-543E70EE620F}" name="Column4388" dataDxfId="11966"/>
    <tableColumn id="4437" xr3:uid="{BED37FC0-0137-4A8D-A52A-D2800C4B0E1B}" name="Column4389" dataDxfId="11965"/>
    <tableColumn id="4438" xr3:uid="{427C345C-A2F7-4B0D-839E-3E3B1E580A8E}" name="Column4390" dataDxfId="11964"/>
    <tableColumn id="4439" xr3:uid="{CB8552B3-EDC1-40D8-9D34-ACD1635051DA}" name="Column4391" dataDxfId="11963"/>
    <tableColumn id="4440" xr3:uid="{ED22F44C-2677-4558-AF39-F3A094336490}" name="Column4392" dataDxfId="11962"/>
    <tableColumn id="4441" xr3:uid="{0A38ABA4-9C4B-4305-89B5-EB9AFD80B35A}" name="Column4393" dataDxfId="11961"/>
    <tableColumn id="4442" xr3:uid="{AAFB2106-54C0-4C46-AFB5-C42304A57E6D}" name="Column4394" dataDxfId="11960"/>
    <tableColumn id="4443" xr3:uid="{DEC9397C-3132-4A02-8DE3-E3BF04C16940}" name="Column4395" dataDxfId="11959"/>
    <tableColumn id="4444" xr3:uid="{B4F5F66F-A086-49C1-8A37-BAC4E8E4EC89}" name="Column4396" dataDxfId="11958"/>
    <tableColumn id="4445" xr3:uid="{3B9326A8-1F16-4975-89FC-C98716F5619F}" name="Column4397" dataDxfId="11957"/>
    <tableColumn id="4446" xr3:uid="{86F11395-412A-411E-8E36-847D2F51A839}" name="Column4398" dataDxfId="11956"/>
    <tableColumn id="4447" xr3:uid="{DEDCE201-6B27-4857-B911-75FE111A5F03}" name="Column4399" dataDxfId="11955"/>
    <tableColumn id="4448" xr3:uid="{433697F3-9E2A-47AA-B5D6-F0C3676CD7DD}" name="Column4400" dataDxfId="11954"/>
    <tableColumn id="4449" xr3:uid="{67F9210C-DCD0-4FE2-B178-E4523ADB229D}" name="Column4401" dataDxfId="11953"/>
    <tableColumn id="4450" xr3:uid="{7136D3A9-31A9-4196-B995-5355A2C23DCA}" name="Column4402" dataDxfId="11952"/>
    <tableColumn id="4451" xr3:uid="{53DDF9C5-D818-4CA7-B214-6D9A569A9ED7}" name="Column4403" dataDxfId="11951"/>
    <tableColumn id="4452" xr3:uid="{1F01A76C-E850-4005-BC9B-80F6F0BC522A}" name="Column4404" dataDxfId="11950"/>
    <tableColumn id="4453" xr3:uid="{6E5692D6-65F3-4415-B7BD-04EBD8797458}" name="Column4405" dataDxfId="11949"/>
    <tableColumn id="4454" xr3:uid="{85CFA014-4FBA-4938-9D13-939F496A537E}" name="Column4406" dataDxfId="11948"/>
    <tableColumn id="4455" xr3:uid="{73292CEB-A8A2-439B-BBD6-44D4529FF7B0}" name="Column4407" dataDxfId="11947"/>
    <tableColumn id="4456" xr3:uid="{3D405754-4478-4F5E-A600-4284DD6F2302}" name="Column4408" dataDxfId="11946"/>
    <tableColumn id="4457" xr3:uid="{7B1358A9-4477-4E4C-B4DE-5CB7B5AAC689}" name="Column4409" dataDxfId="11945"/>
    <tableColumn id="4458" xr3:uid="{01B038D6-BD34-497B-A613-CA3784FD19B0}" name="Column4410" dataDxfId="11944"/>
    <tableColumn id="4459" xr3:uid="{B6EFA98A-1767-4693-8F9B-A29C5CD8B1C6}" name="Column4411" dataDxfId="11943"/>
    <tableColumn id="4460" xr3:uid="{50D01091-51B5-42BA-8F80-03EA99CEE528}" name="Column4412" dataDxfId="11942"/>
    <tableColumn id="4461" xr3:uid="{3B780655-8B46-47A4-BDFF-C04F309DFF71}" name="Column4413" dataDxfId="11941"/>
    <tableColumn id="4462" xr3:uid="{145642E0-ACB9-4860-8747-281E85BB7524}" name="Column4414" dataDxfId="11940"/>
    <tableColumn id="4463" xr3:uid="{EF376670-38A3-4145-9B91-9B01C4F601D7}" name="Column4415" dataDxfId="11939"/>
    <tableColumn id="4464" xr3:uid="{597CA0D1-ABF6-4AE1-A0B2-DD5357EDF2D9}" name="Column4416" dataDxfId="11938"/>
    <tableColumn id="4465" xr3:uid="{E51103BA-D8EF-42B0-92E0-F2D43023E02E}" name="Column4417" dataDxfId="11937"/>
    <tableColumn id="4466" xr3:uid="{05A45746-7400-47B6-BDED-88C12868A28B}" name="Column4418" dataDxfId="11936"/>
    <tableColumn id="4467" xr3:uid="{AD5E3847-FD8D-4BD4-B72D-53252493C2D9}" name="Column4419" dataDxfId="11935"/>
    <tableColumn id="4468" xr3:uid="{870B0A5C-34AE-467F-AC4C-980116E23452}" name="Column4420" dataDxfId="11934"/>
    <tableColumn id="4469" xr3:uid="{632728E0-873E-4DB2-A494-8A257D9CA99C}" name="Column4421" dataDxfId="11933"/>
    <tableColumn id="4470" xr3:uid="{37A71ECF-C64E-4176-9BCB-60AACE523ED0}" name="Column4422" dataDxfId="11932"/>
    <tableColumn id="4471" xr3:uid="{42B8F5E8-F764-47B0-A5F2-79B153198E7D}" name="Column4423" dataDxfId="11931"/>
    <tableColumn id="4472" xr3:uid="{16250429-709B-4AE3-A966-EBF35FB23D18}" name="Column4424" dataDxfId="11930"/>
    <tableColumn id="4473" xr3:uid="{6FFDE592-C4F9-40D4-A199-E7A3E7F67F21}" name="Column4425" dataDxfId="11929"/>
    <tableColumn id="4474" xr3:uid="{7B4A3EE6-9AD7-420C-AECF-64EE19EE31F8}" name="Column4426" dataDxfId="11928"/>
    <tableColumn id="4475" xr3:uid="{E574EB40-481E-4836-A0D9-2E89D9EBF248}" name="Column4427" dataDxfId="11927"/>
    <tableColumn id="4476" xr3:uid="{CCB3A7DF-D415-4346-883E-C690168FA463}" name="Column4428" dataDxfId="11926"/>
    <tableColumn id="4477" xr3:uid="{8FD890C1-14FB-4D49-B629-79AD515A7C21}" name="Column4429" dataDxfId="11925"/>
    <tableColumn id="4478" xr3:uid="{982A9B68-0BFE-46EE-9DEC-3ABFDF0084C8}" name="Column4430" dataDxfId="11924"/>
    <tableColumn id="4479" xr3:uid="{B792C446-6997-4ED8-89B3-8B745ECB58EE}" name="Column4431" dataDxfId="11923"/>
    <tableColumn id="4480" xr3:uid="{B754F7B8-8820-4303-BFAB-3A802186F5BA}" name="Column4432" dataDxfId="11922"/>
    <tableColumn id="4481" xr3:uid="{8D3726B6-BFB0-4051-B57E-E8E78BE48133}" name="Column4433" dataDxfId="11921"/>
    <tableColumn id="4482" xr3:uid="{93A00142-81FD-4D79-AF94-4B2E34CDDEFD}" name="Column4434" dataDxfId="11920"/>
    <tableColumn id="4483" xr3:uid="{1F8D3BF6-9E2B-4234-B53E-E89D7BE529C0}" name="Column4435" dataDxfId="11919"/>
    <tableColumn id="4484" xr3:uid="{C3F11692-625E-4EC3-946B-9D32EB4947AD}" name="Column4436" dataDxfId="11918"/>
    <tableColumn id="4485" xr3:uid="{1CE57364-8514-45DC-B98C-75D822EB29FF}" name="Column4437" dataDxfId="11917"/>
    <tableColumn id="4486" xr3:uid="{DD7934CA-994F-404B-B0C4-864BEE5D27D5}" name="Column4438" dataDxfId="11916"/>
    <tableColumn id="4487" xr3:uid="{F2EE2AD9-56E6-4D3A-8450-75DE19ECAB53}" name="Column4439" dataDxfId="11915"/>
    <tableColumn id="4488" xr3:uid="{38729450-1C37-4214-A80B-7D7FB09CB7FD}" name="Column4440" dataDxfId="11914"/>
    <tableColumn id="4489" xr3:uid="{74116882-67B5-4EF8-AE0B-670FED004611}" name="Column4441" dataDxfId="11913"/>
    <tableColumn id="4490" xr3:uid="{37FCAA28-0135-41D6-8BEB-25F1EE7925B5}" name="Column4442" dataDxfId="11912"/>
    <tableColumn id="4491" xr3:uid="{776A6477-8613-4405-98E5-E9C8071CE84F}" name="Column4443" dataDxfId="11911"/>
    <tableColumn id="4492" xr3:uid="{0F586AB1-02BF-41ED-8996-9EFB90D0FAF7}" name="Column4444" dataDxfId="11910"/>
    <tableColumn id="4493" xr3:uid="{E960575C-21D6-4A23-9D07-DFEBB897A948}" name="Column4445" dataDxfId="11909"/>
    <tableColumn id="4494" xr3:uid="{A670C1F8-C780-4AED-A28C-5CEC6A0FFECB}" name="Column4446" dataDxfId="11908"/>
    <tableColumn id="4495" xr3:uid="{84F0DD57-12D9-416B-80D4-89FBEF2CCE5B}" name="Column4447" dataDxfId="11907"/>
    <tableColumn id="4496" xr3:uid="{2EC8C320-83E2-4B1E-BBD1-D78BD5C852AE}" name="Column4448" dataDxfId="11906"/>
    <tableColumn id="4497" xr3:uid="{D60E2DC8-A0E0-4739-BD7E-0624A62DECB1}" name="Column4449" dataDxfId="11905"/>
    <tableColumn id="4498" xr3:uid="{2AE4EFCC-A1EE-43D9-98D1-2E829FFB4755}" name="Column4450" dataDxfId="11904"/>
    <tableColumn id="4499" xr3:uid="{3A19BDA6-F803-4A52-BD66-F91773ED920E}" name="Column4451" dataDxfId="11903"/>
    <tableColumn id="4500" xr3:uid="{BE48E040-5279-425A-B138-46BA5F0F4D75}" name="Column4452" dataDxfId="11902"/>
    <tableColumn id="4501" xr3:uid="{91BA45EF-5D63-4B79-98D6-55AFF4C446B5}" name="Column4453" dataDxfId="11901"/>
    <tableColumn id="4502" xr3:uid="{7553FA67-CBEC-446B-AC7A-371C998C1E8A}" name="Column4454" dataDxfId="11900"/>
    <tableColumn id="4503" xr3:uid="{52E4D47A-191D-4444-9F3E-2C8BE2CF6191}" name="Column4455" dataDxfId="11899"/>
    <tableColumn id="4504" xr3:uid="{78206B55-E0D6-487F-8779-9F9F7E932D10}" name="Column4456" dataDxfId="11898"/>
    <tableColumn id="4505" xr3:uid="{81907490-6AAB-4FF1-BFAB-45FF1D84CFDA}" name="Column4457" dataDxfId="11897"/>
    <tableColumn id="4506" xr3:uid="{8F069404-3487-4324-B125-D9960D9BF9D3}" name="Column4458" dataDxfId="11896"/>
    <tableColumn id="4507" xr3:uid="{37F017E0-C230-4897-A60A-BC8C849F6FC4}" name="Column4459" dataDxfId="11895"/>
    <tableColumn id="4508" xr3:uid="{1E094966-844A-4053-A15E-EEDFEE524B15}" name="Column4460" dataDxfId="11894"/>
    <tableColumn id="4509" xr3:uid="{AE7A124A-09BC-463B-9ABF-67ADB294E10E}" name="Column4461" dataDxfId="11893"/>
    <tableColumn id="4510" xr3:uid="{133E18BC-B6B5-446A-9F03-3DB87F33EE1B}" name="Column4462" dataDxfId="11892"/>
    <tableColumn id="4511" xr3:uid="{35342CBC-4C23-49F1-8EE0-E877C10928B4}" name="Column4463" dataDxfId="11891"/>
    <tableColumn id="4512" xr3:uid="{0A5C8822-8E22-460E-A495-4439B057C19D}" name="Column4464" dataDxfId="11890"/>
    <tableColumn id="4513" xr3:uid="{8E9D56E2-1E04-4A85-8633-EF5833A14975}" name="Column4465" dataDxfId="11889"/>
    <tableColumn id="4514" xr3:uid="{23CCBAC3-E259-42BD-AA74-B9EB98A32525}" name="Column4466" dataDxfId="11888"/>
    <tableColumn id="4515" xr3:uid="{72E64EAF-4C9B-4E83-8085-C0ECCBF3C5F2}" name="Column4467" dataDxfId="11887"/>
    <tableColumn id="4516" xr3:uid="{AE0CE4E1-111A-4A35-A6B3-FA1EFB9BAFEC}" name="Column4468" dataDxfId="11886"/>
    <tableColumn id="4517" xr3:uid="{3EC28274-2E08-49F6-8301-47A50E4E1B02}" name="Column4469" dataDxfId="11885"/>
    <tableColumn id="4518" xr3:uid="{9CC94EAA-ACF0-4E0B-A7CC-31FD8F12874E}" name="Column4470" dataDxfId="11884"/>
    <tableColumn id="4519" xr3:uid="{79ACCAF9-1D14-47AC-8829-02632BA30AA3}" name="Column4471" dataDxfId="11883"/>
    <tableColumn id="4520" xr3:uid="{DCDCB9BC-9441-48F3-8A00-BF7DEC2BBFD2}" name="Column4472" dataDxfId="11882"/>
    <tableColumn id="4521" xr3:uid="{BB4BDA99-95D8-4218-A19C-FD8F64C0232D}" name="Column4473" dataDxfId="11881"/>
    <tableColumn id="4522" xr3:uid="{69CF5262-5EF9-45F4-8467-5E13096FE5DD}" name="Column4474" dataDxfId="11880"/>
    <tableColumn id="4523" xr3:uid="{CF89961E-6359-477B-9A7C-F382FB9C2901}" name="Column4475" dataDxfId="11879"/>
    <tableColumn id="4524" xr3:uid="{4569713E-8C6E-4E11-950F-82925435E243}" name="Column4476" dataDxfId="11878"/>
    <tableColumn id="4525" xr3:uid="{D58CD76B-B95C-402F-B809-270924A256E6}" name="Column4477" dataDxfId="11877"/>
    <tableColumn id="4526" xr3:uid="{3A9DA403-3C06-43AB-A955-33C0E2F0D245}" name="Column4478" dataDxfId="11876"/>
    <tableColumn id="4527" xr3:uid="{91CEB7E1-EBEE-43A3-8017-3BFC7252967D}" name="Column4479" dataDxfId="11875"/>
    <tableColumn id="4528" xr3:uid="{40280CDF-F755-40D9-8AA3-B98A94FEA031}" name="Column4480" dataDxfId="11874"/>
    <tableColumn id="4529" xr3:uid="{9156D89D-2697-4863-8ECB-2AE24A08AD3E}" name="Column4481" dataDxfId="11873"/>
    <tableColumn id="4530" xr3:uid="{216D65A8-B9EA-4759-8113-04A96E27684F}" name="Column4482" dataDxfId="11872"/>
    <tableColumn id="4531" xr3:uid="{3F2B5E68-DC8C-4206-A645-4B00941AF74F}" name="Column4483" dataDxfId="11871"/>
    <tableColumn id="4532" xr3:uid="{CE18A8D3-AD64-4B0F-9BE3-1CA1AF45DE6E}" name="Column4484" dataDxfId="11870"/>
    <tableColumn id="4533" xr3:uid="{76D557C9-B77C-4935-85B8-0CEDA428C02D}" name="Column4485" dataDxfId="11869"/>
    <tableColumn id="4534" xr3:uid="{F8E63D2F-4184-424C-8BAA-7B761DC683CC}" name="Column4486" dataDxfId="11868"/>
    <tableColumn id="4535" xr3:uid="{88EB06DA-F68B-4BA3-A44B-6B266CA540C3}" name="Column4487" dataDxfId="11867"/>
    <tableColumn id="4536" xr3:uid="{58128D30-9D94-4D8D-B91C-A154DC473D76}" name="Column4488" dataDxfId="11866"/>
    <tableColumn id="4537" xr3:uid="{C775AE50-5DE2-47F7-8D60-3305EA3EE92C}" name="Column4489" dataDxfId="11865"/>
    <tableColumn id="4538" xr3:uid="{EEB70F53-CFD1-41C9-A576-5B88A0896FD1}" name="Column4490" dataDxfId="11864"/>
    <tableColumn id="4539" xr3:uid="{E7C495BA-9C3D-4DE9-99F6-EE812987113A}" name="Column4491" dataDxfId="11863"/>
    <tableColumn id="4540" xr3:uid="{4D2BE40A-203B-4201-8A25-10B665BC4C5D}" name="Column4492" dataDxfId="11862"/>
    <tableColumn id="4541" xr3:uid="{7D16D5AF-6D24-4E37-9E39-2791F497E8AF}" name="Column4493" dataDxfId="11861"/>
    <tableColumn id="4542" xr3:uid="{53C07570-600D-4438-9852-DBFD6109736F}" name="Column4494" dataDxfId="11860"/>
    <tableColumn id="4543" xr3:uid="{F325D22F-4B72-47F8-B4CC-C67ACE9BF9F8}" name="Column4495" dataDxfId="11859"/>
    <tableColumn id="4544" xr3:uid="{B5317A5C-D5CB-4E63-BF12-9F75C27443AA}" name="Column4496" dataDxfId="11858"/>
    <tableColumn id="4545" xr3:uid="{F940E8FA-2333-448A-A382-C9ACC8738F18}" name="Column4497" dataDxfId="11857"/>
    <tableColumn id="4546" xr3:uid="{0232089E-BA51-473C-8322-FA184FF14DA0}" name="Column4498" dataDxfId="11856"/>
    <tableColumn id="4547" xr3:uid="{D3556EA5-F12D-412B-A1F9-A8F2582F16B6}" name="Column4499" dataDxfId="11855"/>
    <tableColumn id="4548" xr3:uid="{A2A3ECEE-C233-45FF-B940-281A75903A23}" name="Column4500" dataDxfId="11854"/>
    <tableColumn id="4549" xr3:uid="{69C60EE0-CC03-4569-ACF3-477189A7F3C0}" name="Column4501" dataDxfId="11853"/>
    <tableColumn id="4550" xr3:uid="{7D7D61B9-87A0-46EA-9ED4-F43CC87AF1A2}" name="Column4502" dataDxfId="11852"/>
    <tableColumn id="4551" xr3:uid="{6D59147D-A34E-4909-9D6F-741DBB462329}" name="Column4503" dataDxfId="11851"/>
    <tableColumn id="4552" xr3:uid="{9C980582-F5EA-41A2-9065-BA607C1F4DFA}" name="Column4504" dataDxfId="11850"/>
    <tableColumn id="4553" xr3:uid="{39849AEA-1B22-46E7-86DD-2F041FEC81D3}" name="Column4505" dataDxfId="11849"/>
    <tableColumn id="4554" xr3:uid="{83756D12-8A5E-4876-B8EF-7B454FB7EFC8}" name="Column4506" dataDxfId="11848"/>
    <tableColumn id="4555" xr3:uid="{59B24E2D-5B3A-452C-8495-BD6E545874DC}" name="Column4507" dataDxfId="11847"/>
    <tableColumn id="4556" xr3:uid="{6A1BCB0B-E749-4443-ABFD-DE0887986386}" name="Column4508" dataDxfId="11846"/>
    <tableColumn id="4557" xr3:uid="{9741E7F3-B3E2-4D43-887F-0F2D310CE244}" name="Column4509" dataDxfId="11845"/>
    <tableColumn id="4558" xr3:uid="{65945DB3-F6FB-4C30-A648-E274254643E7}" name="Column4510" dataDxfId="11844"/>
    <tableColumn id="4559" xr3:uid="{0D8F20E6-B68F-41D8-B4D8-BB1DEDC9F0DD}" name="Column4511" dataDxfId="11843"/>
    <tableColumn id="4560" xr3:uid="{7583143D-EEC9-41FB-831D-8706E626F5AB}" name="Column4512" dataDxfId="11842"/>
    <tableColumn id="4561" xr3:uid="{3D2089CD-7E13-42CE-8F44-EEBC26E03BC1}" name="Column4513" dataDxfId="11841"/>
    <tableColumn id="4562" xr3:uid="{9FB68563-B9F3-4EDF-832B-7B9100CF3789}" name="Column4514" dataDxfId="11840"/>
    <tableColumn id="4563" xr3:uid="{EB814FD7-9164-4376-8A38-146F5D00E578}" name="Column4515" dataDxfId="11839"/>
    <tableColumn id="4564" xr3:uid="{349B59DA-73AD-47D2-8247-5FA3B10396AC}" name="Column4516" dataDxfId="11838"/>
    <tableColumn id="4565" xr3:uid="{14A7FF7B-503D-4990-8276-969677E10F45}" name="Column4517" dataDxfId="11837"/>
    <tableColumn id="4566" xr3:uid="{1EBB7A93-A7F8-4321-ABB3-448ECAC7A7E8}" name="Column4518" dataDxfId="11836"/>
    <tableColumn id="4567" xr3:uid="{9260DE84-E687-4733-B204-5BC375405C0F}" name="Column4519" dataDxfId="11835"/>
    <tableColumn id="4568" xr3:uid="{EA1205A5-D709-4D49-8949-49AA27D3EC6F}" name="Column4520" dataDxfId="11834"/>
    <tableColumn id="4569" xr3:uid="{125AB51A-E630-4EE6-A7A3-5154C7644FF0}" name="Column4521" dataDxfId="11833"/>
    <tableColumn id="4570" xr3:uid="{14D49B6E-A1C7-4499-83F9-D22A9619E653}" name="Column4522" dataDxfId="11832"/>
    <tableColumn id="4571" xr3:uid="{10D9543F-3489-4C17-AFDA-FFEB130A8B1B}" name="Column4523" dataDxfId="11831"/>
    <tableColumn id="4572" xr3:uid="{30E2C62C-372D-45CB-916D-D07954C145FC}" name="Column4524" dataDxfId="11830"/>
    <tableColumn id="4573" xr3:uid="{21062AE6-D1D9-48E5-87D4-22AB12888C26}" name="Column4525" dataDxfId="11829"/>
    <tableColumn id="4574" xr3:uid="{D3DE9FFB-CDCF-4492-AF24-793BAC916B74}" name="Column4526" dataDxfId="11828"/>
    <tableColumn id="4575" xr3:uid="{1906CA56-9CCD-4319-AB45-B0D628984DC7}" name="Column4527" dataDxfId="11827"/>
    <tableColumn id="4576" xr3:uid="{9047CF6D-D5DC-4558-A41E-3D608A31B8E5}" name="Column4528" dataDxfId="11826"/>
    <tableColumn id="4577" xr3:uid="{AF45C0B5-D303-46AB-8FEA-4CE000F8BC7E}" name="Column4529" dataDxfId="11825"/>
    <tableColumn id="4578" xr3:uid="{A96D419D-FAFC-4399-860E-CF3688003F72}" name="Column4530" dataDxfId="11824"/>
    <tableColumn id="4579" xr3:uid="{B525DE47-EB02-4CD9-9EF7-85FC58250539}" name="Column4531" dataDxfId="11823"/>
    <tableColumn id="4580" xr3:uid="{65B18053-A4D4-4AD6-B723-D27091CD653C}" name="Column4532" dataDxfId="11822"/>
    <tableColumn id="4581" xr3:uid="{B61FA636-4C68-4CF7-88F2-60EBCDD68DC7}" name="Column4533" dataDxfId="11821"/>
    <tableColumn id="4582" xr3:uid="{826ADC5E-9FD6-479E-B49D-DC040F77127A}" name="Column4534" dataDxfId="11820"/>
    <tableColumn id="4583" xr3:uid="{0C452A8F-3BDB-4F54-BF39-B431A451D8CE}" name="Column4535" dataDxfId="11819"/>
    <tableColumn id="4584" xr3:uid="{1895F9AB-81C9-4D37-AF03-E42F626D047C}" name="Column4536" dataDxfId="11818"/>
    <tableColumn id="4585" xr3:uid="{2106F65D-A7B7-41F4-AABE-3AD6F20AFEDD}" name="Column4537" dataDxfId="11817"/>
    <tableColumn id="4586" xr3:uid="{EC0660F2-E54B-416E-B11E-7AABF7D22EFA}" name="Column4538" dataDxfId="11816"/>
    <tableColumn id="4587" xr3:uid="{9FAC916F-1C4F-4201-B111-6BD538A445F6}" name="Column4539" dataDxfId="11815"/>
    <tableColumn id="4588" xr3:uid="{67796909-D661-4C84-A725-B4A71884E70E}" name="Column4540" dataDxfId="11814"/>
    <tableColumn id="4589" xr3:uid="{604C1555-E5D6-451F-BB1F-91A9D2E1C1C6}" name="Column4541" dataDxfId="11813"/>
    <tableColumn id="4590" xr3:uid="{FCA0876E-A681-4F5B-92C2-8EE09A2D584F}" name="Column4542" dataDxfId="11812"/>
    <tableColumn id="4591" xr3:uid="{9A8254C9-4875-42C9-917E-79308205BFAC}" name="Column4543" dataDxfId="11811"/>
    <tableColumn id="4592" xr3:uid="{75D926B7-6D36-4830-9FBB-6D47F1790DFF}" name="Column4544" dataDxfId="11810"/>
    <tableColumn id="4593" xr3:uid="{1839ADF8-EB1E-47D5-9838-AFAD0DBA6841}" name="Column4545" dataDxfId="11809"/>
    <tableColumn id="4594" xr3:uid="{7D175C54-586B-4B00-BB18-2A922694D39E}" name="Column4546" dataDxfId="11808"/>
    <tableColumn id="4595" xr3:uid="{06B50A5B-110D-458F-BB43-BE5168ED435B}" name="Column4547" dataDxfId="11807"/>
    <tableColumn id="4596" xr3:uid="{3EEE6DF3-2BD0-4EA5-ACD5-5F92093916AE}" name="Column4548" dataDxfId="11806"/>
    <tableColumn id="4597" xr3:uid="{1A39D260-F7AB-4791-BF32-42EDDA5C7216}" name="Column4549" dataDxfId="11805"/>
    <tableColumn id="4598" xr3:uid="{24FE71FC-974E-4E6A-82FF-D4DBE45E607D}" name="Column4550" dataDxfId="11804"/>
    <tableColumn id="4599" xr3:uid="{B7A02029-DA62-4B55-A697-978ED8F07A10}" name="Column4551" dataDxfId="11803"/>
    <tableColumn id="4600" xr3:uid="{A942EFA1-9E3B-407D-BEE2-C2EDA0565D3F}" name="Column4552" dataDxfId="11802"/>
    <tableColumn id="4601" xr3:uid="{B569B133-A803-4024-B950-BC948B7FACE9}" name="Column4553" dataDxfId="11801"/>
    <tableColumn id="4602" xr3:uid="{6B2E1E11-4E7B-4066-8182-37D6AD9E5242}" name="Column4554" dataDxfId="11800"/>
    <tableColumn id="4603" xr3:uid="{41969D2D-9B75-4A3D-A950-1C192B7DFC46}" name="Column4555" dataDxfId="11799"/>
    <tableColumn id="4604" xr3:uid="{1B8F3FE4-81A7-4DEE-A070-23E081296C92}" name="Column4556" dataDxfId="11798"/>
    <tableColumn id="4605" xr3:uid="{345E33AB-65C5-4244-BF5B-45A082594CF4}" name="Column4557" dataDxfId="11797"/>
    <tableColumn id="4606" xr3:uid="{5083967C-EA30-4A99-B931-5C8D5E08C5F8}" name="Column4558" dataDxfId="11796"/>
    <tableColumn id="4607" xr3:uid="{2127C7F1-5566-4862-9742-45BCBF5BEFFA}" name="Column4559" dataDxfId="11795"/>
    <tableColumn id="4608" xr3:uid="{9AC19C2E-E582-4930-A9F0-C37152321382}" name="Column4560" dataDxfId="11794"/>
    <tableColumn id="4609" xr3:uid="{CDAE69BA-18B1-48C5-9404-255231670E27}" name="Column4561" dataDxfId="11793"/>
    <tableColumn id="4610" xr3:uid="{B867629C-8545-4886-9B9B-D1B9C3C09172}" name="Column4562" dataDxfId="11792"/>
    <tableColumn id="4611" xr3:uid="{2DA8D53B-7083-4104-9093-F32EEF8B6254}" name="Column4563" dataDxfId="11791"/>
    <tableColumn id="4612" xr3:uid="{A9B4ED2D-E36D-407D-9FB0-DCD4B367FB76}" name="Column4564" dataDxfId="11790"/>
    <tableColumn id="4613" xr3:uid="{4A4C0754-CCB9-4A5D-BD45-55944B1850EE}" name="Column4565" dataDxfId="11789"/>
    <tableColumn id="4614" xr3:uid="{0A8FBA57-404F-44EA-8E25-7AA86BE43AD3}" name="Column4566" dataDxfId="11788"/>
    <tableColumn id="4615" xr3:uid="{86978C01-661D-4E3B-A1AA-E6A946B09B39}" name="Column4567" dataDxfId="11787"/>
    <tableColumn id="4616" xr3:uid="{26161544-2B2B-4E9C-8112-6E2A7E04F702}" name="Column4568" dataDxfId="11786"/>
    <tableColumn id="4617" xr3:uid="{A1B9E0EC-0E23-4A46-9294-65774BA313DD}" name="Column4569" dataDxfId="11785"/>
    <tableColumn id="4618" xr3:uid="{435F1662-FCCE-4668-AADA-F6264A9B2E1D}" name="Column4570" dataDxfId="11784"/>
    <tableColumn id="4619" xr3:uid="{979B5023-0239-4F4D-949C-369C7A6DF634}" name="Column4571" dataDxfId="11783"/>
    <tableColumn id="4620" xr3:uid="{BA637204-77FF-40E0-AE1D-2982A43E8857}" name="Column4572" dataDxfId="11782"/>
    <tableColumn id="4621" xr3:uid="{1F8B8692-1C01-4DAC-853E-121D7D2A8CD8}" name="Column4573" dataDxfId="11781"/>
    <tableColumn id="4622" xr3:uid="{D9EDA9B7-4B24-4C3A-99FC-9A9DFF5CEA2F}" name="Column4574" dataDxfId="11780"/>
    <tableColumn id="4623" xr3:uid="{4AB1E9A0-D184-4DDB-95C0-D2F34746F11F}" name="Column4575" dataDxfId="11779"/>
    <tableColumn id="4624" xr3:uid="{DA07F719-A962-47F6-987E-AC117273CB31}" name="Column4576" dataDxfId="11778"/>
    <tableColumn id="4625" xr3:uid="{944A8B19-2732-43D8-B078-67857D963185}" name="Column4577" dataDxfId="11777"/>
    <tableColumn id="4626" xr3:uid="{72CDE44F-A64C-414C-80B8-AA112452558F}" name="Column4578" dataDxfId="11776"/>
    <tableColumn id="4627" xr3:uid="{3A892DDD-861D-48EF-91C5-AEEF78EC4DC1}" name="Column4579" dataDxfId="11775"/>
    <tableColumn id="4628" xr3:uid="{F598DCE2-B452-4866-9D6B-2AF7268BE2E9}" name="Column4580" dataDxfId="11774"/>
    <tableColumn id="4629" xr3:uid="{2D5BFB04-C0A5-4081-BFE3-FDEE0A51BBAF}" name="Column4581" dataDxfId="11773"/>
    <tableColumn id="4630" xr3:uid="{5A0DE693-F693-43BA-925A-E4E0BA70B2C8}" name="Column4582" dataDxfId="11772"/>
    <tableColumn id="4631" xr3:uid="{06FA5435-8E29-4821-823A-0F0DCFE3AB60}" name="Column4583" dataDxfId="11771"/>
    <tableColumn id="4632" xr3:uid="{5DCFF57F-DB06-47EB-9371-680B67BC0DAE}" name="Column4584" dataDxfId="11770"/>
    <tableColumn id="4633" xr3:uid="{3E0FC3D8-EAD3-444D-8094-515151AFE576}" name="Column4585" dataDxfId="11769"/>
    <tableColumn id="4634" xr3:uid="{B3EAB0FF-FD0D-42A1-8B1C-E2A685033816}" name="Column4586" dataDxfId="11768"/>
    <tableColumn id="4635" xr3:uid="{C5EEA939-6410-46DA-9583-636203109989}" name="Column4587" dataDxfId="11767"/>
    <tableColumn id="4636" xr3:uid="{C61F7F25-D1E0-404B-BF64-FD1B3ED75E3D}" name="Column4588" dataDxfId="11766"/>
    <tableColumn id="4637" xr3:uid="{18D042CE-4BD5-449E-B190-46D245AA8002}" name="Column4589" dataDxfId="11765"/>
    <tableColumn id="4638" xr3:uid="{B5DFFE95-9E2F-48AF-AB9F-67ADF5FE7133}" name="Column4590" dataDxfId="11764"/>
    <tableColumn id="4639" xr3:uid="{CF011B7A-EAC2-42B8-89F2-5724E69A7E48}" name="Column4591" dataDxfId="11763"/>
    <tableColumn id="4640" xr3:uid="{E1144936-B610-4B96-B0D7-C44D55762B51}" name="Column4592" dataDxfId="11762"/>
    <tableColumn id="4641" xr3:uid="{B5E4BB45-014B-4AEA-BF8E-46A93BBBE623}" name="Column4593" dataDxfId="11761"/>
    <tableColumn id="4642" xr3:uid="{61941485-85AB-47DF-9146-59880D867277}" name="Column4594" dataDxfId="11760"/>
    <tableColumn id="4643" xr3:uid="{BFF31677-7C41-4270-BFF1-E3301BA3664F}" name="Column4595" dataDxfId="11759"/>
    <tableColumn id="4644" xr3:uid="{886AB30F-2EB0-43F0-B23E-9BB0B3788D7D}" name="Column4596" dataDxfId="11758"/>
    <tableColumn id="4645" xr3:uid="{65C47595-6232-4026-9473-BE12F97F7967}" name="Column4597" dataDxfId="11757"/>
    <tableColumn id="4646" xr3:uid="{B75541C0-2FF9-4497-8D99-076A53ECE61C}" name="Column4598" dataDxfId="11756"/>
    <tableColumn id="4647" xr3:uid="{039743B7-E022-4922-885D-BE1B6EFD87CC}" name="Column4599" dataDxfId="11755"/>
    <tableColumn id="4648" xr3:uid="{A37D75E0-B3B8-4871-B5F4-9E40F72FAA22}" name="Column4600" dataDxfId="11754"/>
    <tableColumn id="4649" xr3:uid="{51207A0D-76FC-4F06-A882-8754D85817E8}" name="Column4601" dataDxfId="11753"/>
    <tableColumn id="4650" xr3:uid="{8508CA8C-ABF8-47A9-8E32-B08FD28C80D0}" name="Column4602" dataDxfId="11752"/>
    <tableColumn id="4651" xr3:uid="{6965E089-9ACD-4CDB-AEB3-ED845E6128D2}" name="Column4603" dataDxfId="11751"/>
    <tableColumn id="4652" xr3:uid="{931FF6C4-E121-4976-8095-6CFBC8A022DA}" name="Column4604" dataDxfId="11750"/>
    <tableColumn id="4653" xr3:uid="{325A9AA2-B1EF-4881-928B-4DDA09F3B7D8}" name="Column4605" dataDxfId="11749"/>
    <tableColumn id="4654" xr3:uid="{ED3712ED-E227-4A05-AD75-22F34E969D21}" name="Column4606" dataDxfId="11748"/>
    <tableColumn id="4655" xr3:uid="{B70464FC-F18B-4E8D-A2B3-D6FE2D99320A}" name="Column4607" dataDxfId="11747"/>
    <tableColumn id="4656" xr3:uid="{C0CBDDD3-8A7B-442E-967D-4CF83522A7C4}" name="Column4608" dataDxfId="11746"/>
    <tableColumn id="4657" xr3:uid="{59E475EA-F27F-4E8A-9F51-93B7BDCFA9BF}" name="Column4609" dataDxfId="11745"/>
    <tableColumn id="4658" xr3:uid="{53F1C411-118D-49EF-A9C4-1D3949D4B7C6}" name="Column4610" dataDxfId="11744"/>
    <tableColumn id="4659" xr3:uid="{0C6744A8-B9CE-4C9F-B0AA-9CF6CE2BCC08}" name="Column4611" dataDxfId="11743"/>
    <tableColumn id="4660" xr3:uid="{0ACDE8D8-434E-441A-9D04-409DB9A570A1}" name="Column4612" dataDxfId="11742"/>
    <tableColumn id="4661" xr3:uid="{4E7B21DE-23DA-4D8D-8D8E-BC6B07763398}" name="Column4613" dataDxfId="11741"/>
    <tableColumn id="4662" xr3:uid="{0ED8A704-81A6-4CC5-99F4-080A2C16BDB0}" name="Column4614" dataDxfId="11740"/>
    <tableColumn id="4663" xr3:uid="{A392DC3E-C85D-4401-A645-6B4A3AB3FE2B}" name="Column4615" dataDxfId="11739"/>
    <tableColumn id="4664" xr3:uid="{7057ADA5-A6FB-4C06-A3EB-9CDC9BFFDF06}" name="Column4616" dataDxfId="11738"/>
    <tableColumn id="4665" xr3:uid="{0E0D7CCD-7EE5-486A-8EF2-D31264EB7EFF}" name="Column4617" dataDxfId="11737"/>
    <tableColumn id="4666" xr3:uid="{3CAC7961-B682-42DE-ACF6-736C59535170}" name="Column4618" dataDxfId="11736"/>
    <tableColumn id="4667" xr3:uid="{C9EFB6A6-8AFA-4076-A200-5E341D284887}" name="Column4619" dataDxfId="11735"/>
    <tableColumn id="4668" xr3:uid="{07D6B2C7-559C-4D9D-A643-4A30B4317153}" name="Column4620" dataDxfId="11734"/>
    <tableColumn id="4669" xr3:uid="{863B6389-1215-4475-BDD3-E2266EFFB0D8}" name="Column4621" dataDxfId="11733"/>
    <tableColumn id="4670" xr3:uid="{7C1CE818-8913-4B7C-AB31-0D7FA6000711}" name="Column4622" dataDxfId="11732"/>
    <tableColumn id="4671" xr3:uid="{A3C18AD1-1634-4EFA-8DCC-5A09C7C49A89}" name="Column4623" dataDxfId="11731"/>
    <tableColumn id="4672" xr3:uid="{B022A428-7069-44A5-84BC-7F6992C98458}" name="Column4624" dataDxfId="11730"/>
    <tableColumn id="4673" xr3:uid="{72A5240E-1199-44F3-81D4-8986B25211BA}" name="Column4625" dataDxfId="11729"/>
    <tableColumn id="4674" xr3:uid="{62C69C3B-6D22-460C-B4E1-21B286DBF25E}" name="Column4626" dataDxfId="11728"/>
    <tableColumn id="4675" xr3:uid="{A645FA3D-720A-4421-8597-8E3A927E3E61}" name="Column4627" dataDxfId="11727"/>
    <tableColumn id="4676" xr3:uid="{F47D918E-6AFA-460E-8A0F-0851E8B3034E}" name="Column4628" dataDxfId="11726"/>
    <tableColumn id="4677" xr3:uid="{2B87C43A-6AB7-4771-81DF-53925580D290}" name="Column4629" dataDxfId="11725"/>
    <tableColumn id="4678" xr3:uid="{F6837233-1C65-44F4-AA44-514614B19CA8}" name="Column4630" dataDxfId="11724"/>
    <tableColumn id="4679" xr3:uid="{1D82728A-DBE8-464D-A340-DADA30529A57}" name="Column4631" dataDxfId="11723"/>
    <tableColumn id="4680" xr3:uid="{29656ECE-96A1-40C6-B22D-D008F31E7950}" name="Column4632" dataDxfId="11722"/>
    <tableColumn id="4681" xr3:uid="{2791BF8C-511F-459A-A4BC-5CD05BA017F0}" name="Column4633" dataDxfId="11721"/>
    <tableColumn id="4682" xr3:uid="{4570165A-8E72-493D-9BBC-92AA36275AF3}" name="Column4634" dataDxfId="11720"/>
    <tableColumn id="4683" xr3:uid="{EA7F1426-E9E2-4161-B116-FAC5413E4EA4}" name="Column4635" dataDxfId="11719"/>
    <tableColumn id="4684" xr3:uid="{AD27A3FE-6633-4A4D-9E01-EDCB8D0A1906}" name="Column4636" dataDxfId="11718"/>
    <tableColumn id="4685" xr3:uid="{AFB2AA27-1E9F-4AC8-847E-677E9CE593FF}" name="Column4637" dataDxfId="11717"/>
    <tableColumn id="4686" xr3:uid="{E5CA1AE0-4FD7-4DE9-AE1B-DD86C6EDD56F}" name="Column4638" dataDxfId="11716"/>
    <tableColumn id="4687" xr3:uid="{144F2E29-463E-44F4-AB9C-695771064E68}" name="Column4639" dataDxfId="11715"/>
    <tableColumn id="4688" xr3:uid="{E0A3BE61-6D43-4E93-A8BB-103582B4FA45}" name="Column4640" dataDxfId="11714"/>
    <tableColumn id="4689" xr3:uid="{374A5989-7F21-451E-AE83-1BBEC4F382DE}" name="Column4641" dataDxfId="11713"/>
    <tableColumn id="4690" xr3:uid="{9732DD47-3F7E-4316-B9CF-5A59D8D9116A}" name="Column4642" dataDxfId="11712"/>
    <tableColumn id="4691" xr3:uid="{F999CD05-9D8D-4F84-AB3A-4722441BCCE6}" name="Column4643" dataDxfId="11711"/>
    <tableColumn id="4692" xr3:uid="{2940D6D9-6A27-4662-825B-3648A3E045E7}" name="Column4644" dataDxfId="11710"/>
    <tableColumn id="4693" xr3:uid="{3B1A80D4-CE6F-467A-B92E-DD807B344C63}" name="Column4645" dataDxfId="11709"/>
    <tableColumn id="4694" xr3:uid="{9A5D6A19-218E-4BDC-925A-FC27B41C71F1}" name="Column4646" dataDxfId="11708"/>
    <tableColumn id="4695" xr3:uid="{35ECE8CC-1362-4DA1-BDBB-59A2CDDFEAC2}" name="Column4647" dataDxfId="11707"/>
    <tableColumn id="4696" xr3:uid="{30F820C4-612B-4B3A-9A38-B9EC8C88A3E9}" name="Column4648" dataDxfId="11706"/>
    <tableColumn id="4697" xr3:uid="{71181A76-D020-498F-86F4-1996C5B3BE04}" name="Column4649" dataDxfId="11705"/>
    <tableColumn id="4698" xr3:uid="{5867AB51-3CCD-4610-84C9-A0D68A767583}" name="Column4650" dataDxfId="11704"/>
    <tableColumn id="4699" xr3:uid="{2C340B7E-882B-47BD-AAB7-FE60261A4507}" name="Column4651" dataDxfId="11703"/>
    <tableColumn id="4700" xr3:uid="{A69270E9-1E43-4463-8277-B55D8790D5C0}" name="Column4652" dataDxfId="11702"/>
    <tableColumn id="4701" xr3:uid="{0256E988-AC00-41AF-B8A5-EEF9DB36754C}" name="Column4653" dataDxfId="11701"/>
    <tableColumn id="4702" xr3:uid="{0A7F26F9-C8E7-4BDC-A37C-4ADE5A124FC1}" name="Column4654" dataDxfId="11700"/>
    <tableColumn id="4703" xr3:uid="{FFB19B68-43DF-455E-ACEA-D157D9D18BB7}" name="Column4655" dataDxfId="11699"/>
    <tableColumn id="4704" xr3:uid="{8CC4CBF9-40C3-4F89-AA55-69D5A90CCE8D}" name="Column4656" dataDxfId="11698"/>
    <tableColumn id="4705" xr3:uid="{FF0849FB-4C09-49CA-AE01-BCDF094F4109}" name="Column4657" dataDxfId="11697"/>
    <tableColumn id="4706" xr3:uid="{41ABF151-A5BC-431E-8C05-6AAF88B80271}" name="Column4658" dataDxfId="11696"/>
    <tableColumn id="4707" xr3:uid="{968DDDD6-9588-46FE-9554-26EFE071BDAA}" name="Column4659" dataDxfId="11695"/>
    <tableColumn id="4708" xr3:uid="{0F6A3455-9D66-4006-8E7B-3FE872C3B2C0}" name="Column4660" dataDxfId="11694"/>
    <tableColumn id="4709" xr3:uid="{DB339F44-0D34-40E3-8A06-6FE5914F7942}" name="Column4661" dataDxfId="11693"/>
    <tableColumn id="4710" xr3:uid="{9613301E-B23C-49B3-ADAE-B2C558FCF951}" name="Column4662" dataDxfId="11692"/>
    <tableColumn id="4711" xr3:uid="{E3C3C4B5-2EE5-4041-8BD0-CE0E8F9BDB08}" name="Column4663" dataDxfId="11691"/>
    <tableColumn id="4712" xr3:uid="{9F68D49D-8563-4342-A878-78D9840B98FB}" name="Column4664" dataDxfId="11690"/>
    <tableColumn id="4713" xr3:uid="{E9282D26-E0A3-4F29-904A-7308CC67FE34}" name="Column4665" dataDxfId="11689"/>
    <tableColumn id="4714" xr3:uid="{3A526666-56F0-4C06-897B-096E0D782210}" name="Column4666" dataDxfId="11688"/>
    <tableColumn id="4715" xr3:uid="{52CEB352-C3D0-425F-A72A-6491A3E472EC}" name="Column4667" dataDxfId="11687"/>
    <tableColumn id="4716" xr3:uid="{ACDD0369-3CCD-415E-B679-8481874AD3F6}" name="Column4668" dataDxfId="11686"/>
    <tableColumn id="4717" xr3:uid="{CC34E274-5F24-4E68-BFC1-AA59D7F43C1D}" name="Column4669" dataDxfId="11685"/>
    <tableColumn id="4718" xr3:uid="{953644BD-EEFF-46FD-BD87-AF135929FC66}" name="Column4670" dataDxfId="11684"/>
    <tableColumn id="4719" xr3:uid="{254770FD-0D8A-48C9-BC53-4231C06BB8DC}" name="Column4671" dataDxfId="11683"/>
    <tableColumn id="4720" xr3:uid="{9942B59E-7B9D-4927-B213-D84FC87C1B79}" name="Column4672" dataDxfId="11682"/>
    <tableColumn id="4721" xr3:uid="{705BB3DA-9A61-41B5-8894-E52E8D9B28E1}" name="Column4673" dataDxfId="11681"/>
    <tableColumn id="4722" xr3:uid="{11620469-B97F-41E9-A253-09F97754A6A8}" name="Column4674" dataDxfId="11680"/>
    <tableColumn id="4723" xr3:uid="{6854FC93-DF5E-46DD-B773-85ED20A712B7}" name="Column4675" dataDxfId="11679"/>
    <tableColumn id="4724" xr3:uid="{CD806F4E-C22E-4EA0-8D77-132B02A1714B}" name="Column4676" dataDxfId="11678"/>
    <tableColumn id="4725" xr3:uid="{9D8189B3-11AF-4B55-9D1F-F61583B46281}" name="Column4677" dataDxfId="11677"/>
    <tableColumn id="4726" xr3:uid="{FD2FBE47-9ABD-40F3-9B19-A66ADC0663FF}" name="Column4678" dataDxfId="11676"/>
    <tableColumn id="4727" xr3:uid="{53ADBA80-D4E2-4F41-9D32-2287FE3BB40B}" name="Column4679" dataDxfId="11675"/>
    <tableColumn id="4728" xr3:uid="{CF76E2A0-83C6-4DBC-AA76-B5100E18E0DC}" name="Column4680" dataDxfId="11674"/>
    <tableColumn id="4729" xr3:uid="{6764261C-782D-4B7F-8009-E843C047FF00}" name="Column4681" dataDxfId="11673"/>
    <tableColumn id="4730" xr3:uid="{B04F6C51-FD7E-4DB1-A4F3-55F23E4D189A}" name="Column4682" dataDxfId="11672"/>
    <tableColumn id="4731" xr3:uid="{1A7A1ABD-60FE-417B-96AE-EBEFA3DA3DF2}" name="Column4683" dataDxfId="11671"/>
    <tableColumn id="4732" xr3:uid="{1BD1CB58-DBF4-4271-BF95-2295B28BFD57}" name="Column4684" dataDxfId="11670"/>
    <tableColumn id="4733" xr3:uid="{DBCA2AD5-AA69-44D2-9C37-D42070B98F6C}" name="Column4685" dataDxfId="11669"/>
    <tableColumn id="4734" xr3:uid="{F95D64A9-6E1B-4100-82DC-87F5D60EBF98}" name="Column4686" dataDxfId="11668"/>
    <tableColumn id="4735" xr3:uid="{2729E149-8836-42CA-836C-186FAF575633}" name="Column4687" dataDxfId="11667"/>
    <tableColumn id="4736" xr3:uid="{378E6A88-AA1D-480C-B874-BD500164B065}" name="Column4688" dataDxfId="11666"/>
    <tableColumn id="4737" xr3:uid="{1A9A4648-A71F-4F65-BFE9-C9B30512686D}" name="Column4689" dataDxfId="11665"/>
    <tableColumn id="4738" xr3:uid="{933AE528-FF6B-4C88-9707-21D8818AEB0F}" name="Column4690" dataDxfId="11664"/>
    <tableColumn id="4739" xr3:uid="{FFB22B5C-B869-42AE-B944-162241B45232}" name="Column4691" dataDxfId="11663"/>
    <tableColumn id="4740" xr3:uid="{87AC83D7-B173-4980-80CB-C6AE1F2F2B20}" name="Column4692" dataDxfId="11662"/>
    <tableColumn id="4741" xr3:uid="{25A25446-3C1A-4554-9B9B-8519A33FEC66}" name="Column4693" dataDxfId="11661"/>
    <tableColumn id="4742" xr3:uid="{CCC23655-7E73-4CB3-BB22-4D51746882CE}" name="Column4694" dataDxfId="11660"/>
    <tableColumn id="4743" xr3:uid="{AE9CC931-9893-4E91-A3A0-DED58302BFDA}" name="Column4695" dataDxfId="11659"/>
    <tableColumn id="4744" xr3:uid="{28D37036-E6E7-4B8A-8F03-AF632C964C4C}" name="Column4696" dataDxfId="11658"/>
    <tableColumn id="4745" xr3:uid="{284DC366-D818-463D-A764-D8B9F0BF5194}" name="Column4697" dataDxfId="11657"/>
    <tableColumn id="4746" xr3:uid="{94DD152E-F6B0-453A-8DE3-891DD55E8F9C}" name="Column4698" dataDxfId="11656"/>
    <tableColumn id="4747" xr3:uid="{9B5FF912-897E-4ED2-9AA4-6DAA4C22ED17}" name="Column4699" dataDxfId="11655"/>
    <tableColumn id="4748" xr3:uid="{3A834A85-9191-45E6-8EDB-BF39424F45FB}" name="Column4700" dataDxfId="11654"/>
    <tableColumn id="4749" xr3:uid="{4FA9C7E5-C71C-4693-877E-62D0E142B0C5}" name="Column4701" dataDxfId="11653"/>
    <tableColumn id="4750" xr3:uid="{F4FB33DC-5EF0-4AFC-B329-E4F3E0175E4C}" name="Column4702" dataDxfId="11652"/>
    <tableColumn id="4751" xr3:uid="{8B618AA4-4911-463A-A5C7-EE2946930396}" name="Column4703" dataDxfId="11651"/>
    <tableColumn id="4752" xr3:uid="{70438D58-29F2-44C9-B424-BEE3EC0AE21C}" name="Column4704" dataDxfId="11650"/>
    <tableColumn id="4753" xr3:uid="{3650F065-5F20-4202-927F-14AC2333F0D5}" name="Column4705" dataDxfId="11649"/>
    <tableColumn id="4754" xr3:uid="{351722EF-5585-4D57-B1A8-99A3BC515A97}" name="Column4706" dataDxfId="11648"/>
    <tableColumn id="4755" xr3:uid="{589FCE0F-AB4A-4129-827D-5FF7471E0BE5}" name="Column4707" dataDxfId="11647"/>
    <tableColumn id="4756" xr3:uid="{612C0161-19F7-4749-9B7B-6B868C384114}" name="Column4708" dataDxfId="11646"/>
    <tableColumn id="4757" xr3:uid="{61ECBC70-DFB9-4ACC-A968-6FE7C25C6FDB}" name="Column4709" dataDxfId="11645"/>
    <tableColumn id="4758" xr3:uid="{06D9D566-8634-4EAC-A58B-67E779FBE4DF}" name="Column4710" dataDxfId="11644"/>
    <tableColumn id="4759" xr3:uid="{8844F67E-8162-46F1-9274-164D2AF04879}" name="Column4711" dataDxfId="11643"/>
    <tableColumn id="4760" xr3:uid="{E6EBF83E-964F-48FC-94A1-13D027B33F59}" name="Column4712" dataDxfId="11642"/>
    <tableColumn id="4761" xr3:uid="{CF407FFF-CC9B-4FF5-B346-3CF6155EAC4A}" name="Column4713" dataDxfId="11641"/>
    <tableColumn id="4762" xr3:uid="{72B27019-296B-4B16-BF2A-C44D97F570BE}" name="Column4714" dataDxfId="11640"/>
    <tableColumn id="4763" xr3:uid="{D47D1BF1-311C-4181-B63A-05BF11D92A64}" name="Column4715" dataDxfId="11639"/>
    <tableColumn id="4764" xr3:uid="{5ED9ABA2-55EE-4D04-A8B1-84836DE2B369}" name="Column4716" dataDxfId="11638"/>
    <tableColumn id="4765" xr3:uid="{63E8168D-0B72-40A6-910E-4FD3DCB8EE98}" name="Column4717" dataDxfId="11637"/>
    <tableColumn id="4766" xr3:uid="{588BE9D7-8DD1-4CFC-842B-7EE33863B918}" name="Column4718" dataDxfId="11636"/>
    <tableColumn id="4767" xr3:uid="{AE0197E9-2C16-4DBF-B2AD-A89736A577E0}" name="Column4719" dataDxfId="11635"/>
    <tableColumn id="4768" xr3:uid="{749021E1-7593-4E01-83C7-3AE858CF8562}" name="Column4720" dataDxfId="11634"/>
    <tableColumn id="4769" xr3:uid="{C2BE925B-47F2-4E54-9071-B2058FE88FC2}" name="Column4721" dataDxfId="11633"/>
    <tableColumn id="4770" xr3:uid="{60B933C0-6F0F-41D4-BD29-C439EEC1A3D4}" name="Column4722" dataDxfId="11632"/>
    <tableColumn id="4771" xr3:uid="{4FEC00D1-E573-4EE8-AE9C-A75F51631B78}" name="Column4723" dataDxfId="11631"/>
    <tableColumn id="4772" xr3:uid="{4C0987CA-92AC-4104-AD72-9B42BC7FEEB2}" name="Column4724" dataDxfId="11630"/>
    <tableColumn id="4773" xr3:uid="{74D7DB09-A55D-46F9-A2F6-29696D2C8BBF}" name="Column4725" dataDxfId="11629"/>
    <tableColumn id="4774" xr3:uid="{E54C13C7-2B86-497E-8464-E18EE2226466}" name="Column4726" dataDxfId="11628"/>
    <tableColumn id="4775" xr3:uid="{3C4F4104-E346-4DC0-935B-0B35029C31CC}" name="Column4727" dataDxfId="11627"/>
    <tableColumn id="4776" xr3:uid="{54AC7EC8-81CD-48C4-909D-25E07D04685B}" name="Column4728" dataDxfId="11626"/>
    <tableColumn id="4777" xr3:uid="{9ECF3A3F-C232-4123-BAF6-1BA3AC7310F9}" name="Column4729" dataDxfId="11625"/>
    <tableColumn id="4778" xr3:uid="{0390BD61-4503-4A32-A23C-05EF37A24C64}" name="Column4730" dataDxfId="11624"/>
    <tableColumn id="4779" xr3:uid="{91037729-A9A4-4CAC-8EA1-E3368D9C8BB1}" name="Column4731" dataDxfId="11623"/>
    <tableColumn id="4780" xr3:uid="{2E9E7BE7-77BF-493C-BDDF-652288A53F21}" name="Column4732" dataDxfId="11622"/>
    <tableColumn id="4781" xr3:uid="{F5C24469-70AA-4962-AAF2-B3653E4C454E}" name="Column4733" dataDxfId="11621"/>
    <tableColumn id="4782" xr3:uid="{6DFB8527-E9A8-4009-9975-920ABB5408E3}" name="Column4734" dataDxfId="11620"/>
    <tableColumn id="4783" xr3:uid="{F281B8F3-19DA-4232-86F9-78AD564D1F96}" name="Column4735" dataDxfId="11619"/>
    <tableColumn id="4784" xr3:uid="{890DA229-5769-423A-AAC2-67A63FBF26E8}" name="Column4736" dataDxfId="11618"/>
    <tableColumn id="4785" xr3:uid="{24B97B35-816E-4F48-90B3-62D27EE62939}" name="Column4737" dataDxfId="11617"/>
    <tableColumn id="4786" xr3:uid="{3F36D2DE-65D1-437B-81A2-B5E94721D7D1}" name="Column4738" dataDxfId="11616"/>
    <tableColumn id="4787" xr3:uid="{D2B3AAF6-BE32-40E1-A97B-A9118EB52671}" name="Column4739" dataDxfId="11615"/>
    <tableColumn id="4788" xr3:uid="{BB605CCC-4585-42AA-BD04-72CA1FC97388}" name="Column4740" dataDxfId="11614"/>
    <tableColumn id="4789" xr3:uid="{D731F81C-ED92-4B78-AA64-9F62F93D5033}" name="Column4741" dataDxfId="11613"/>
    <tableColumn id="4790" xr3:uid="{B426030F-619C-4DA6-AEA0-A1545E3B0221}" name="Column4742" dataDxfId="11612"/>
    <tableColumn id="4791" xr3:uid="{CC82A2A6-2B3F-4DB3-8045-61693CB9A45C}" name="Column4743" dataDxfId="11611"/>
    <tableColumn id="4792" xr3:uid="{5DCD171F-4339-4B7A-9241-4148B90E2094}" name="Column4744" dataDxfId="11610"/>
    <tableColumn id="4793" xr3:uid="{AFD23C31-FA7A-4124-8AC8-08E9BE94563D}" name="Column4745" dataDxfId="11609"/>
    <tableColumn id="4794" xr3:uid="{41258318-56EB-41DC-BB6A-B4CE6F5E5A54}" name="Column4746" dataDxfId="11608"/>
    <tableColumn id="4795" xr3:uid="{22FA7BBE-DA39-463D-A61C-B79142319BC0}" name="Column4747" dataDxfId="11607"/>
    <tableColumn id="4796" xr3:uid="{9E40F0FA-D476-4668-99C4-A830A06A77A8}" name="Column4748" dataDxfId="11606"/>
    <tableColumn id="4797" xr3:uid="{FC337941-0CFC-4EBD-B9A8-5C3515EEDECE}" name="Column4749" dataDxfId="11605"/>
    <tableColumn id="4798" xr3:uid="{93125986-03B2-4036-A652-2348FFAC17A5}" name="Column4750" dataDxfId="11604"/>
    <tableColumn id="4799" xr3:uid="{9932C738-3D7C-4BE3-B271-B5909C309E45}" name="Column4751" dataDxfId="11603"/>
    <tableColumn id="4800" xr3:uid="{DF72FCDE-34AE-4B1A-8D83-969D77C29E87}" name="Column4752" dataDxfId="11602"/>
    <tableColumn id="4801" xr3:uid="{3018FEE5-1BCB-4246-A4BA-3E15D89A6B5F}" name="Column4753" dataDxfId="11601"/>
    <tableColumn id="4802" xr3:uid="{104E4134-1151-4152-B582-27ECCA36855D}" name="Column4754" dataDxfId="11600"/>
    <tableColumn id="4803" xr3:uid="{EEFBE1A1-D6C0-4371-9436-0179EF3B75B3}" name="Column4755" dataDxfId="11599"/>
    <tableColumn id="4804" xr3:uid="{E56E4803-258F-4AD9-B4E7-B7185DE4E812}" name="Column4756" dataDxfId="11598"/>
    <tableColumn id="4805" xr3:uid="{BD4CA1B1-C87C-43FB-99E3-E123C3050831}" name="Column4757" dataDxfId="11597"/>
    <tableColumn id="4806" xr3:uid="{737429B1-7985-446A-AC25-1F6953898EA2}" name="Column4758" dataDxfId="11596"/>
    <tableColumn id="4807" xr3:uid="{F7F5C5D9-2462-43CD-9E28-4E4B1181BE75}" name="Column4759" dataDxfId="11595"/>
    <tableColumn id="4808" xr3:uid="{D95EB079-F6C1-44CF-919E-37C51C539B57}" name="Column4760" dataDxfId="11594"/>
    <tableColumn id="4809" xr3:uid="{E89F51C8-2621-414A-833E-51749595968F}" name="Column4761" dataDxfId="11593"/>
    <tableColumn id="4810" xr3:uid="{9D290BC3-2196-4514-A3D5-710EF5E48F43}" name="Column4762" dataDxfId="11592"/>
    <tableColumn id="4811" xr3:uid="{4CDDF392-589B-40F0-AF86-939722D48FCC}" name="Column4763" dataDxfId="11591"/>
    <tableColumn id="4812" xr3:uid="{8A2806C2-0056-4EC0-AD55-AC0AAA77E6C0}" name="Column4764" dataDxfId="11590"/>
    <tableColumn id="4813" xr3:uid="{22786D84-4D9B-4CFB-BEC7-FB614E958DB3}" name="Column4765" dataDxfId="11589"/>
    <tableColumn id="4814" xr3:uid="{E224CA33-232B-48C1-AC20-53D01C2D610C}" name="Column4766" dataDxfId="11588"/>
    <tableColumn id="4815" xr3:uid="{B03C4A5D-CD74-4B94-8FD1-08E6C365D361}" name="Column4767" dataDxfId="11587"/>
    <tableColumn id="4816" xr3:uid="{0CFB1FAF-F8C8-4269-ABC0-ADBC4BA3B3A8}" name="Column4768" dataDxfId="11586"/>
    <tableColumn id="4817" xr3:uid="{5A6143E8-9C6F-44B3-8DA5-9FA7853F52F7}" name="Column4769" dataDxfId="11585"/>
    <tableColumn id="4818" xr3:uid="{B643A973-53F1-4298-A9CC-FFEE877C0AEA}" name="Column4770" dataDxfId="11584"/>
    <tableColumn id="4819" xr3:uid="{8A3B8F17-F7F7-4879-84DA-B257E91BFC90}" name="Column4771" dataDxfId="11583"/>
    <tableColumn id="4820" xr3:uid="{5E166032-27E4-4FCC-99A7-0E683169F9D9}" name="Column4772" dataDxfId="11582"/>
    <tableColumn id="4821" xr3:uid="{EE4BC9B9-07CC-4271-A3B7-EF14582AA537}" name="Column4773" dataDxfId="11581"/>
    <tableColumn id="4822" xr3:uid="{52B9B729-F5F9-4213-B0FA-9C6A8F3E6E03}" name="Column4774" dataDxfId="11580"/>
    <tableColumn id="4823" xr3:uid="{552A2735-65AB-4625-AFF3-4DE3298014F6}" name="Column4775" dataDxfId="11579"/>
    <tableColumn id="4824" xr3:uid="{FFAD1F1D-9AEB-49F1-8873-68C3B5AD3EB9}" name="Column4776" dataDxfId="11578"/>
    <tableColumn id="4825" xr3:uid="{AFEBB075-0298-4642-9105-BB5AA726817F}" name="Column4777" dataDxfId="11577"/>
    <tableColumn id="4826" xr3:uid="{11CACA6A-7B13-4905-9F10-447AF0D53A11}" name="Column4778" dataDxfId="11576"/>
    <tableColumn id="4827" xr3:uid="{64BAEF1F-DA75-4803-8F22-22F4E0AFBF87}" name="Column4779" dataDxfId="11575"/>
    <tableColumn id="4828" xr3:uid="{0343625A-C058-42A5-8F98-4C1C7B430749}" name="Column4780" dataDxfId="11574"/>
    <tableColumn id="4829" xr3:uid="{DF23B162-FE26-48FB-ADDB-1F1C1867D85C}" name="Column4781" dataDxfId="11573"/>
    <tableColumn id="4830" xr3:uid="{04D21D3E-2E58-460E-B10F-E4A9E9C98CB1}" name="Column4782" dataDxfId="11572"/>
    <tableColumn id="4831" xr3:uid="{AC1CFE46-6153-4182-BB30-EAF65DE08952}" name="Column4783" dataDxfId="11571"/>
    <tableColumn id="4832" xr3:uid="{51B1F54D-709B-4FDB-84F7-9C0C6EC53918}" name="Column4784" dataDxfId="11570"/>
    <tableColumn id="4833" xr3:uid="{757FE631-0EB8-40D0-AD95-A0B009E3873D}" name="Column4785" dataDxfId="11569"/>
    <tableColumn id="4834" xr3:uid="{E91F7A57-F04B-4842-9285-CC63D94D93CE}" name="Column4786" dataDxfId="11568"/>
    <tableColumn id="4835" xr3:uid="{CB2E2BBE-6965-45F1-B0AE-EAA7BA1BC736}" name="Column4787" dataDxfId="11567"/>
    <tableColumn id="4836" xr3:uid="{D4F452C6-0ACE-4004-A2E3-E8EEEE5CA11D}" name="Column4788" dataDxfId="11566"/>
    <tableColumn id="4837" xr3:uid="{A06E97B7-8704-47FD-B530-99E9DB8AF5D8}" name="Column4789" dataDxfId="11565"/>
    <tableColumn id="4838" xr3:uid="{4DA4023B-29F7-479A-ABB5-973C49895289}" name="Column4790" dataDxfId="11564"/>
    <tableColumn id="4839" xr3:uid="{E99307AB-E85F-413B-9025-F7FAE3A8CDD0}" name="Column4791" dataDxfId="11563"/>
    <tableColumn id="4840" xr3:uid="{A5887975-8D65-4466-AB8B-9C4AD48EEEBA}" name="Column4792" dataDxfId="11562"/>
    <tableColumn id="4841" xr3:uid="{AF52F61C-251A-44F8-B8C8-BB0D47B97566}" name="Column4793" dataDxfId="11561"/>
    <tableColumn id="4842" xr3:uid="{02D2F098-5020-4C27-8286-BE09C740882D}" name="Column4794" dataDxfId="11560"/>
    <tableColumn id="4843" xr3:uid="{C34D35F8-5CE2-4861-AE98-E4FEB8B8C8EB}" name="Column4795" dataDxfId="11559"/>
    <tableColumn id="4844" xr3:uid="{D6E7A063-4A46-4362-9222-5F8C7053CC62}" name="Column4796" dataDxfId="11558"/>
    <tableColumn id="4845" xr3:uid="{D3A987FA-C66E-47AD-BBAA-68C602CD6E84}" name="Column4797" dataDxfId="11557"/>
    <tableColumn id="4846" xr3:uid="{08AF699E-DC8B-468D-86EA-2C02C50F1D86}" name="Column4798" dataDxfId="11556"/>
    <tableColumn id="4847" xr3:uid="{5113F58F-10D0-4AFB-886A-C07F703D887D}" name="Column4799" dataDxfId="11555"/>
    <tableColumn id="4848" xr3:uid="{4EDE0AE7-6DCD-423B-9C2D-163063A29E83}" name="Column4800" dataDxfId="11554"/>
    <tableColumn id="4849" xr3:uid="{6D2AA927-0119-4A31-9D2C-A9918BC26B11}" name="Column4801" dataDxfId="11553"/>
    <tableColumn id="4850" xr3:uid="{FE1103BF-5572-413D-947E-FBAE45412B23}" name="Column4802" dataDxfId="11552"/>
    <tableColumn id="4851" xr3:uid="{E97AD239-B668-4B1B-82D2-434ED157FDAB}" name="Column4803" dataDxfId="11551"/>
    <tableColumn id="4852" xr3:uid="{E4A07D9F-0953-4873-A0C8-77A536FA67FE}" name="Column4804" dataDxfId="11550"/>
    <tableColumn id="4853" xr3:uid="{C983CE78-BE96-453A-BB57-354D409C72D5}" name="Column4805" dataDxfId="11549"/>
    <tableColumn id="4854" xr3:uid="{F6DA2817-C5D2-40B3-822C-D5F1B808D500}" name="Column4806" dataDxfId="11548"/>
    <tableColumn id="4855" xr3:uid="{D6C56830-F32A-4E7B-A0DA-76694CBAD072}" name="Column4807" dataDxfId="11547"/>
    <tableColumn id="4856" xr3:uid="{315F6CEB-AC14-4AC5-9955-E142C7E8FE43}" name="Column4808" dataDxfId="11546"/>
    <tableColumn id="4857" xr3:uid="{72E9CE78-A318-4FA6-842D-3F4B9708E0E0}" name="Column4809" dataDxfId="11545"/>
    <tableColumn id="4858" xr3:uid="{A83FB54E-37EE-4669-90D8-C4D3E261DDAA}" name="Column4810" dataDxfId="11544"/>
    <tableColumn id="4859" xr3:uid="{0AE05C63-F100-4FC4-9B7F-FF1B477794D3}" name="Column4811" dataDxfId="11543"/>
    <tableColumn id="4860" xr3:uid="{6EB90770-A77D-4A74-8F5B-CFA10A7DBA7E}" name="Column4812" dataDxfId="11542"/>
    <tableColumn id="4861" xr3:uid="{24905B28-4DBA-4DAD-8B1B-C0C6F69967BB}" name="Column4813" dataDxfId="11541"/>
    <tableColumn id="4862" xr3:uid="{F829C63E-32D2-472A-BADC-C96A464A2791}" name="Column4814" dataDxfId="11540"/>
    <tableColumn id="4863" xr3:uid="{47BD946E-7973-435B-8A72-4F595E96BC0A}" name="Column4815" dataDxfId="11539"/>
    <tableColumn id="4864" xr3:uid="{88952557-132F-4704-9E1A-E57305C81F4D}" name="Column4816" dataDxfId="11538"/>
    <tableColumn id="4865" xr3:uid="{721718C2-8EB3-4390-9978-6D2496213426}" name="Column4817" dataDxfId="11537"/>
    <tableColumn id="4866" xr3:uid="{54CCC155-E1DC-46DA-B543-E0D312E4FF4B}" name="Column4818" dataDxfId="11536"/>
    <tableColumn id="4867" xr3:uid="{53543BD5-2815-4D4D-B705-046E28E993BB}" name="Column4819" dataDxfId="11535"/>
    <tableColumn id="4868" xr3:uid="{9D82EAE1-B2B8-4577-A837-740BE65F70C1}" name="Column4820" dataDxfId="11534"/>
    <tableColumn id="4869" xr3:uid="{744A202D-B5FE-42F9-BA9C-F55D8B8CF2C0}" name="Column4821" dataDxfId="11533"/>
    <tableColumn id="4870" xr3:uid="{DEF00255-0973-4B12-81FC-565A1B1ECF5B}" name="Column4822" dataDxfId="11532"/>
    <tableColumn id="4871" xr3:uid="{8DF3177C-EDF9-48B3-B395-43DF43626FC5}" name="Column4823" dataDxfId="11531"/>
    <tableColumn id="4872" xr3:uid="{A834B990-D660-4159-B0E2-6290C25C6255}" name="Column4824" dataDxfId="11530"/>
    <tableColumn id="4873" xr3:uid="{C596D37E-9986-4482-9C67-5451EEC634E4}" name="Column4825" dataDxfId="11529"/>
    <tableColumn id="4874" xr3:uid="{55CD1468-576D-4E8F-9403-175F845C53DF}" name="Column4826" dataDxfId="11528"/>
    <tableColumn id="4875" xr3:uid="{62C2C623-CB60-4180-9EDA-1E7847A777B4}" name="Column4827" dataDxfId="11527"/>
    <tableColumn id="4876" xr3:uid="{A94A00EC-AB80-48C2-A4EC-CCEC5525B7A1}" name="Column4828" dataDxfId="11526"/>
    <tableColumn id="4877" xr3:uid="{56A60159-DC09-4B5E-B355-832017652EBA}" name="Column4829" dataDxfId="11525"/>
    <tableColumn id="4878" xr3:uid="{474F3E8B-9CC2-4602-A053-F8048053172E}" name="Column4830" dataDxfId="11524"/>
    <tableColumn id="4879" xr3:uid="{608140C4-6138-49E9-AD75-F06E5DE3C3E5}" name="Column4831" dataDxfId="11523"/>
    <tableColumn id="4880" xr3:uid="{71159FAB-11DD-4DC7-BF4E-0E549BD213B0}" name="Column4832" dataDxfId="11522"/>
    <tableColumn id="4881" xr3:uid="{15D51FB7-25B9-443A-A813-9DE013485879}" name="Column4833" dataDxfId="11521"/>
    <tableColumn id="4882" xr3:uid="{B1370610-ABEE-4299-A16A-FFB88B619D2C}" name="Column4834" dataDxfId="11520"/>
    <tableColumn id="4883" xr3:uid="{A21606CD-DE19-48EC-B68E-5A2F0CA35102}" name="Column4835" dataDxfId="11519"/>
    <tableColumn id="4884" xr3:uid="{BBD87D52-B68E-43C5-892C-FBC500839C06}" name="Column4836" dataDxfId="11518"/>
    <tableColumn id="4885" xr3:uid="{5ECE61F0-FE78-4279-9141-8826FB55AFAF}" name="Column4837" dataDxfId="11517"/>
    <tableColumn id="4886" xr3:uid="{A1C67190-3F47-4271-BADD-B92563EDD207}" name="Column4838" dataDxfId="11516"/>
    <tableColumn id="4887" xr3:uid="{505F23B0-EAFF-43CD-BC9B-5F2D3A59BC44}" name="Column4839" dataDxfId="11515"/>
    <tableColumn id="4888" xr3:uid="{6DEDE088-DC35-4AEE-B9A2-E00E407854B7}" name="Column4840" dataDxfId="11514"/>
    <tableColumn id="4889" xr3:uid="{721F434E-327B-4EB4-9BBC-5DB431F1B644}" name="Column4841" dataDxfId="11513"/>
    <tableColumn id="4890" xr3:uid="{F1FD0491-3B34-4CE2-8655-3ECC6323307A}" name="Column4842" dataDxfId="11512"/>
    <tableColumn id="4891" xr3:uid="{A46E0A56-3018-4DE9-80C5-33D5A548CC15}" name="Column4843" dataDxfId="11511"/>
    <tableColumn id="4892" xr3:uid="{C9ED13C9-5DA4-440E-96B2-873013AF41B1}" name="Column4844" dataDxfId="11510"/>
    <tableColumn id="4893" xr3:uid="{2FB1161B-6F78-48F5-BFED-27E3D470A889}" name="Column4845" dataDxfId="11509"/>
    <tableColumn id="4894" xr3:uid="{F0ED0074-0B9C-4C14-A91B-128511DF8D06}" name="Column4846" dataDxfId="11508"/>
    <tableColumn id="4895" xr3:uid="{015FF5CF-BC53-47DF-B10C-471AAB94ECBB}" name="Column4847" dataDxfId="11507"/>
    <tableColumn id="4896" xr3:uid="{24B9EAEE-35E6-4ED3-AED8-4A7A8C5D4277}" name="Column4848" dataDxfId="11506"/>
    <tableColumn id="4897" xr3:uid="{14771AC5-3AD4-4F79-ABA1-8FB2535B6B3F}" name="Column4849" dataDxfId="11505"/>
    <tableColumn id="4898" xr3:uid="{DBD66F21-B354-43F4-ABAE-7259E89360E2}" name="Column4850" dataDxfId="11504"/>
    <tableColumn id="4899" xr3:uid="{67865F21-852F-4A92-A2BB-5D22F4F87135}" name="Column4851" dataDxfId="11503"/>
    <tableColumn id="4900" xr3:uid="{96E51053-5F20-484F-88F4-B02C75EB35B2}" name="Column4852" dataDxfId="11502"/>
    <tableColumn id="4901" xr3:uid="{3EF135EA-EED3-416A-A60A-46B43638B5CB}" name="Column4853" dataDxfId="11501"/>
    <tableColumn id="4902" xr3:uid="{2347F6D4-B759-46C3-B762-8812FAD861E8}" name="Column4854" dataDxfId="11500"/>
    <tableColumn id="4903" xr3:uid="{E9AD0BD4-47CC-4CF0-ABF4-7B29CBFF4233}" name="Column4855" dataDxfId="11499"/>
    <tableColumn id="4904" xr3:uid="{A49038D1-A799-4D17-8C4B-3A54F68F102D}" name="Column4856" dataDxfId="11498"/>
    <tableColumn id="4905" xr3:uid="{DCA4FC19-BF99-419A-8FD4-5D00D640F31B}" name="Column4857" dataDxfId="11497"/>
    <tableColumn id="4906" xr3:uid="{18BE9DAE-A0BB-4FFF-BC94-F94D40E4B254}" name="Column4858" dataDxfId="11496"/>
    <tableColumn id="4907" xr3:uid="{C32CF419-3705-46F4-BCAF-44C8921CAB04}" name="Column4859" dataDxfId="11495"/>
    <tableColumn id="4908" xr3:uid="{0982AA3F-AB36-4907-A602-6E5A7FD5F506}" name="Column4860" dataDxfId="11494"/>
    <tableColumn id="4909" xr3:uid="{AA5DBD39-25B4-4652-879A-EA9EB56CA221}" name="Column4861" dataDxfId="11493"/>
    <tableColumn id="4910" xr3:uid="{6D35F120-B051-4750-81D6-0A54225C38FC}" name="Column4862" dataDxfId="11492"/>
    <tableColumn id="4911" xr3:uid="{AFCD12C5-B630-4F99-955B-39EC643AA358}" name="Column4863" dataDxfId="11491"/>
    <tableColumn id="4912" xr3:uid="{3171FA23-0223-41AB-B059-1E478B37C26B}" name="Column4864" dataDxfId="11490"/>
    <tableColumn id="4913" xr3:uid="{A597B64A-2E3C-4390-90C1-10EF99858DA1}" name="Column4865" dataDxfId="11489"/>
    <tableColumn id="4914" xr3:uid="{728C6210-D137-4D59-B171-4DC5FA29583A}" name="Column4866" dataDxfId="11488"/>
    <tableColumn id="4915" xr3:uid="{638A39C9-7258-46BD-B129-464BB4CF6115}" name="Column4867" dataDxfId="11487"/>
    <tableColumn id="4916" xr3:uid="{752B69AD-21B7-4D3E-9D54-F80B4F1E3E7D}" name="Column4868" dataDxfId="11486"/>
    <tableColumn id="4917" xr3:uid="{FB0228EE-82AB-4815-8EBC-928736E17FF9}" name="Column4869" dataDxfId="11485"/>
    <tableColumn id="4918" xr3:uid="{B6718A81-CBFF-47BD-8A3F-921070E14720}" name="Column4870" dataDxfId="11484"/>
    <tableColumn id="4919" xr3:uid="{67092B15-AECC-4245-B14D-B62ED3822C94}" name="Column4871" dataDxfId="11483"/>
    <tableColumn id="4920" xr3:uid="{CF95253B-4A2B-4308-AA1F-B554DB615451}" name="Column4872" dataDxfId="11482"/>
    <tableColumn id="4921" xr3:uid="{9DBFBF04-375F-4A61-94C3-757EF08948C4}" name="Column4873" dataDxfId="11481"/>
    <tableColumn id="4922" xr3:uid="{02845EBA-0EF3-433F-8E88-EF613EDBC52E}" name="Column4874" dataDxfId="11480"/>
    <tableColumn id="4923" xr3:uid="{ACCCCDA9-E140-4D32-BE25-C108CD1E9428}" name="Column4875" dataDxfId="11479"/>
    <tableColumn id="4924" xr3:uid="{E67FC307-7478-4EE6-8FF5-D0F1283D0A28}" name="Column4876" dataDxfId="11478"/>
    <tableColumn id="4925" xr3:uid="{7D676322-F6AB-4BAF-AC05-9D110F883815}" name="Column4877" dataDxfId="11477"/>
    <tableColumn id="4926" xr3:uid="{FD505177-A2BC-49E0-A969-1654BD914E67}" name="Column4878" dataDxfId="11476"/>
    <tableColumn id="4927" xr3:uid="{12B2C1D9-1B45-4658-AC9F-4AF06EDF0EBE}" name="Column4879" dataDxfId="11475"/>
    <tableColumn id="4928" xr3:uid="{D2482D1C-7849-4CBE-9459-36DE33658AB3}" name="Column4880" dataDxfId="11474"/>
    <tableColumn id="4929" xr3:uid="{2CBCF92B-947A-48E0-B894-8FC5AD754212}" name="Column4881" dataDxfId="11473"/>
    <tableColumn id="4930" xr3:uid="{82F5CB08-ADBE-4289-9BDE-EB21921E88D9}" name="Column4882" dataDxfId="11472"/>
    <tableColumn id="4931" xr3:uid="{53FBAF82-3AC8-492C-8D53-D16A2613EFC8}" name="Column4883" dataDxfId="11471"/>
    <tableColumn id="4932" xr3:uid="{F792D17D-498E-49BF-8665-4C9D29C6829E}" name="Column4884" dataDxfId="11470"/>
    <tableColumn id="4933" xr3:uid="{3DC0FA87-1B3B-4C1F-B0B8-B3A673B1806C}" name="Column4885" dataDxfId="11469"/>
    <tableColumn id="4934" xr3:uid="{CD4E80A6-C698-47E4-A744-FC8A7EDCD9AE}" name="Column4886" dataDxfId="11468"/>
    <tableColumn id="4935" xr3:uid="{FE252C64-2F06-47B5-8B1F-D61E2645BB61}" name="Column4887" dataDxfId="11467"/>
    <tableColumn id="4936" xr3:uid="{F8FAD10C-7FC6-4DFD-882E-0A85AEDCF731}" name="Column4888" dataDxfId="11466"/>
    <tableColumn id="4937" xr3:uid="{E94747C4-BF7B-45C6-9448-8ED588CB3DC3}" name="Column4889" dataDxfId="11465"/>
    <tableColumn id="4938" xr3:uid="{DAF0ECDF-983E-4E1E-B24C-BAE354E5644F}" name="Column4890" dataDxfId="11464"/>
    <tableColumn id="4939" xr3:uid="{A5B1DC42-B65D-4C88-873E-3511768015AD}" name="Column4891" dataDxfId="11463"/>
    <tableColumn id="4940" xr3:uid="{9D893688-AAFE-4688-A684-46A74B3F5C61}" name="Column4892" dataDxfId="11462"/>
    <tableColumn id="4941" xr3:uid="{1B31ECE8-E928-48A0-9D7B-5F12EC3229EC}" name="Column4893" dataDxfId="11461"/>
    <tableColumn id="4942" xr3:uid="{0B85AF3F-D272-4864-AB52-352E7CBC3E76}" name="Column4894" dataDxfId="11460"/>
    <tableColumn id="4943" xr3:uid="{092EE188-D436-4B31-AB33-00DD2D397BB2}" name="Column4895" dataDxfId="11459"/>
    <tableColumn id="4944" xr3:uid="{61C41D73-2684-4F28-8BC0-0C073DB5244E}" name="Column4896" dataDxfId="11458"/>
    <tableColumn id="4945" xr3:uid="{0E32289B-3244-4F17-A539-CED3A0CB58C7}" name="Column4897" dataDxfId="11457"/>
    <tableColumn id="4946" xr3:uid="{EE54B3B8-E96D-4405-A0BF-7D4F6AC61A42}" name="Column4898" dataDxfId="11456"/>
    <tableColumn id="4947" xr3:uid="{4D1C7B63-99CC-494E-9A9B-C521500D2544}" name="Column4899" dataDxfId="11455"/>
    <tableColumn id="4948" xr3:uid="{C0B3266F-6029-47A1-BF8C-2148D12E45BF}" name="Column4900" dataDxfId="11454"/>
    <tableColumn id="4949" xr3:uid="{15C1701A-67D7-4508-A5CC-C62458148639}" name="Column4901" dataDxfId="11453"/>
    <tableColumn id="4950" xr3:uid="{70E79126-1AA2-4490-8215-3A6284ECEF64}" name="Column4902" dataDxfId="11452"/>
    <tableColumn id="4951" xr3:uid="{A22572D4-2C59-4001-8BE8-77C02A35FA6C}" name="Column4903" dataDxfId="11451"/>
    <tableColumn id="4952" xr3:uid="{76A10715-A2F4-46E3-92BF-44C17087ABA9}" name="Column4904" dataDxfId="11450"/>
    <tableColumn id="4953" xr3:uid="{23840E8A-0BB9-4E1A-8DA4-EBBD7EB2F21D}" name="Column4905" dataDxfId="11449"/>
    <tableColumn id="4954" xr3:uid="{606FDCE3-D7D6-4A6B-9117-7AD30F572857}" name="Column4906" dataDxfId="11448"/>
    <tableColumn id="4955" xr3:uid="{DD0777AF-3496-49D9-86CC-1D74DA4BD1F1}" name="Column4907" dataDxfId="11447"/>
    <tableColumn id="4956" xr3:uid="{15F0C646-4124-4746-9C68-DBA78E63C540}" name="Column4908" dataDxfId="11446"/>
    <tableColumn id="4957" xr3:uid="{770E03B0-8372-4CA8-97CF-80C9101370B9}" name="Column4909" dataDxfId="11445"/>
    <tableColumn id="4958" xr3:uid="{DFBAC71B-75A2-40C6-8FA9-CFA1F5C43DA6}" name="Column4910" dataDxfId="11444"/>
    <tableColumn id="4959" xr3:uid="{245EB72B-F3C2-4AFF-B21C-4C8940522F69}" name="Column4911" dataDxfId="11443"/>
    <tableColumn id="4960" xr3:uid="{F2BA422E-731D-4CB0-9B1E-879A8B8250C9}" name="Column4912" dataDxfId="11442"/>
    <tableColumn id="4961" xr3:uid="{46EF86DE-DCE4-43FC-BBBA-485559B09ADF}" name="Column4913" dataDxfId="11441"/>
    <tableColumn id="4962" xr3:uid="{49A106D5-1D68-4F69-9BA2-2F2FF8CD864F}" name="Column4914" dataDxfId="11440"/>
    <tableColumn id="4963" xr3:uid="{69BBD2DB-7F5E-4932-9174-ADC09DE50447}" name="Column4915" dataDxfId="11439"/>
    <tableColumn id="4964" xr3:uid="{54039CEB-9BEA-4547-B828-6C55DD8AA0DF}" name="Column4916" dataDxfId="11438"/>
    <tableColumn id="4965" xr3:uid="{749D966E-F3EE-44C9-B2AE-FE211E6BE226}" name="Column4917" dataDxfId="11437"/>
    <tableColumn id="4966" xr3:uid="{C2CA5BB6-927E-4401-A04D-A67C9C9DECFF}" name="Column4918" dataDxfId="11436"/>
    <tableColumn id="4967" xr3:uid="{61986E50-8BEE-4EAF-9236-81F7D431EDBB}" name="Column4919" dataDxfId="11435"/>
    <tableColumn id="4968" xr3:uid="{B43BCC39-3869-47C7-AF3F-EF3731C68356}" name="Column4920" dataDxfId="11434"/>
    <tableColumn id="4969" xr3:uid="{C8F6F5EE-3610-4316-9743-3166F9EF703B}" name="Column4921" dataDxfId="11433"/>
    <tableColumn id="4970" xr3:uid="{19DD6786-D885-4B49-839E-83DD0902F3DD}" name="Column4922" dataDxfId="11432"/>
    <tableColumn id="4971" xr3:uid="{CF76DBE5-C4C5-4F88-A1B4-1D6BF53A3F78}" name="Column4923" dataDxfId="11431"/>
    <tableColumn id="4972" xr3:uid="{4B6E7F71-8F36-40D1-BE6F-DA486583743B}" name="Column4924" dataDxfId="11430"/>
    <tableColumn id="4973" xr3:uid="{5E61BCD6-0136-4E9A-8B61-F1EAB16177F2}" name="Column4925" dataDxfId="11429"/>
    <tableColumn id="4974" xr3:uid="{5BF7B94C-3BC8-4DCC-90F3-97A4B2841A68}" name="Column4926" dataDxfId="11428"/>
    <tableColumn id="4975" xr3:uid="{8FDF3259-88A1-444C-8862-DC65FC9D2FFA}" name="Column4927" dataDxfId="11427"/>
    <tableColumn id="4976" xr3:uid="{C291D91A-BA78-4DD9-A7DF-FCD46741A770}" name="Column4928" dataDxfId="11426"/>
    <tableColumn id="4977" xr3:uid="{070D829C-84AB-43EE-ABA6-5FB9F22125F3}" name="Column4929" dataDxfId="11425"/>
    <tableColumn id="4978" xr3:uid="{BE822FBD-3D48-463B-8CE5-405C392C4427}" name="Column4930" dataDxfId="11424"/>
    <tableColumn id="4979" xr3:uid="{77D487AD-AB34-40CE-B767-9954C856D8A2}" name="Column4931" dataDxfId="11423"/>
    <tableColumn id="4980" xr3:uid="{29743624-E1E7-48A4-A88A-4136ADC78CF5}" name="Column4932" dataDxfId="11422"/>
    <tableColumn id="4981" xr3:uid="{E885A62F-567F-486D-BEA6-848AF8639B0B}" name="Column4933" dataDxfId="11421"/>
    <tableColumn id="4982" xr3:uid="{ABBF6E4A-E10F-401A-AB49-1099B15B4A55}" name="Column4934" dataDxfId="11420"/>
    <tableColumn id="4983" xr3:uid="{5495E9EC-9ED5-418B-B125-35DB716B0EAF}" name="Column4935" dataDxfId="11419"/>
    <tableColumn id="4984" xr3:uid="{676DD20E-3EA0-4868-B90C-CC2C262F3598}" name="Column4936" dataDxfId="11418"/>
    <tableColumn id="4985" xr3:uid="{D3B7E4BA-E6EC-466D-83F2-1D19918A547B}" name="Column4937" dataDxfId="11417"/>
    <tableColumn id="4986" xr3:uid="{B04B1A10-5E73-4673-976F-B65C31A28E39}" name="Column4938" dataDxfId="11416"/>
    <tableColumn id="4987" xr3:uid="{A346B441-61D4-41FE-B668-DE08EB6AADD3}" name="Column4939" dataDxfId="11415"/>
    <tableColumn id="4988" xr3:uid="{D59833A2-84E7-445C-BFCA-BE173731F651}" name="Column4940" dataDxfId="11414"/>
    <tableColumn id="4989" xr3:uid="{2E777624-AB08-4A00-A6D5-AE17CCB39705}" name="Column4941" dataDxfId="11413"/>
    <tableColumn id="4990" xr3:uid="{A25F6406-C729-4F29-855D-B332BF7D53FE}" name="Column4942" dataDxfId="11412"/>
    <tableColumn id="4991" xr3:uid="{E9B20EE3-0114-4151-B72E-3A815D6D42FC}" name="Column4943" dataDxfId="11411"/>
    <tableColumn id="4992" xr3:uid="{55854A11-92FF-413C-8F6B-36A40BA483B0}" name="Column4944" dataDxfId="11410"/>
    <tableColumn id="4993" xr3:uid="{63000E32-2EB6-4878-8B09-30A4591FF764}" name="Column4945" dataDxfId="11409"/>
    <tableColumn id="4994" xr3:uid="{A59E462D-2B09-4230-A5BC-7ADEA6B716CD}" name="Column4946" dataDxfId="11408"/>
    <tableColumn id="4995" xr3:uid="{817D3479-1F1A-480E-99E2-CF8FCFD77D98}" name="Column4947" dataDxfId="11407"/>
    <tableColumn id="4996" xr3:uid="{2E1F03B0-0D9A-4545-B53F-040FEE645CAE}" name="Column4948" dataDxfId="11406"/>
    <tableColumn id="4997" xr3:uid="{9457E2B2-F695-43DA-A276-3F2B4F53CF1F}" name="Column4949" dataDxfId="11405"/>
    <tableColumn id="4998" xr3:uid="{D678FAFC-C406-4115-A09B-C6E8F8E19144}" name="Column4950" dataDxfId="11404"/>
    <tableColumn id="4999" xr3:uid="{DB4D21B3-92B3-476D-9281-C144212414F6}" name="Column4951" dataDxfId="11403"/>
    <tableColumn id="5000" xr3:uid="{74F86E27-1433-466D-9132-54A8F8FA360E}" name="Column4952" dataDxfId="11402"/>
    <tableColumn id="5001" xr3:uid="{72BAE4E6-4087-450C-9426-A69C5030CCDB}" name="Column4953" dataDxfId="11401"/>
    <tableColumn id="5002" xr3:uid="{01924D2C-F54A-4094-8408-2B49B068DB46}" name="Column4954" dataDxfId="11400"/>
    <tableColumn id="5003" xr3:uid="{ACF16810-14EB-4BA8-8ECD-FAE2998CEC3D}" name="Column4955" dataDxfId="11399"/>
    <tableColumn id="5004" xr3:uid="{3FCBF6F7-D547-4F43-B34B-404370CB55D4}" name="Column4956" dataDxfId="11398"/>
    <tableColumn id="5005" xr3:uid="{18E9BDB3-D488-4A30-B2C3-8F0432270684}" name="Column4957" dataDxfId="11397"/>
    <tableColumn id="5006" xr3:uid="{6AF1597D-1D04-4AD2-91B4-6E5EE3EAF34E}" name="Column4958" dataDxfId="11396"/>
    <tableColumn id="5007" xr3:uid="{75F96BB8-4E10-44D8-AD6A-6F4EF72CE2A1}" name="Column4959" dataDxfId="11395"/>
    <tableColumn id="5008" xr3:uid="{7F39F690-08F3-4083-B977-A44C50A28508}" name="Column4960" dataDxfId="11394"/>
    <tableColumn id="5009" xr3:uid="{3F784B01-FA2E-43E7-9ACF-9343B1E9EBAC}" name="Column4961" dataDxfId="11393"/>
    <tableColumn id="5010" xr3:uid="{DD190ABB-2D45-4399-87E1-D9E89AD85DA7}" name="Column4962" dataDxfId="11392"/>
    <tableColumn id="5011" xr3:uid="{C866717D-D5F2-468F-A894-6C223688C9B8}" name="Column4963" dataDxfId="11391"/>
    <tableColumn id="5012" xr3:uid="{E75BCEC5-4D35-417D-A8C3-C120B5939606}" name="Column4964" dataDxfId="11390"/>
    <tableColumn id="5013" xr3:uid="{19CBAC00-972D-4277-86BE-C21BE1D4EDD9}" name="Column4965" dataDxfId="11389"/>
    <tableColumn id="5014" xr3:uid="{C59F9956-E4AA-4076-B72F-68FE06F0FAA6}" name="Column4966" dataDxfId="11388"/>
    <tableColumn id="5015" xr3:uid="{E353FD17-113E-4376-8A9D-ABD041AAED93}" name="Column4967" dataDxfId="11387"/>
    <tableColumn id="5016" xr3:uid="{63331F5D-3AF7-4352-BCA1-A7150D4355A5}" name="Column4968" dataDxfId="11386"/>
    <tableColumn id="5017" xr3:uid="{FE06C877-2EFE-481A-8D17-5E179181D6ED}" name="Column4969" dataDxfId="11385"/>
    <tableColumn id="5018" xr3:uid="{921B0EF2-F0D1-4977-87C0-C4F8F5EEFE30}" name="Column4970" dataDxfId="11384"/>
    <tableColumn id="5019" xr3:uid="{EA9FC0E1-A11C-4E40-85B1-E95D038458DD}" name="Column4971" dataDxfId="11383"/>
    <tableColumn id="5020" xr3:uid="{E642742D-C54B-4F7F-8D3F-B7B5370525D8}" name="Column4972" dataDxfId="11382"/>
    <tableColumn id="5021" xr3:uid="{62C42C47-182F-4358-ABFB-C1247DFBCAB6}" name="Column4973" dataDxfId="11381"/>
    <tableColumn id="5022" xr3:uid="{77F1C56E-A49D-4527-9660-13CBD7AA92BA}" name="Column4974" dataDxfId="11380"/>
    <tableColumn id="5023" xr3:uid="{850B8211-7D4D-42AD-AE9A-6BA113E72577}" name="Column4975" dataDxfId="11379"/>
    <tableColumn id="5024" xr3:uid="{4B51391B-BE2C-48F7-A1E5-4A915B69E14A}" name="Column4976" dataDxfId="11378"/>
    <tableColumn id="5025" xr3:uid="{18886ADD-4900-4EC1-9010-4B615DC391B9}" name="Column4977" dataDxfId="11377"/>
    <tableColumn id="5026" xr3:uid="{892C7AEA-B418-4102-8DF4-ECEAB87EA4E1}" name="Column4978" dataDxfId="11376"/>
    <tableColumn id="5027" xr3:uid="{25B1807F-D29E-4F74-822C-3CFD60607D3C}" name="Column4979" dataDxfId="11375"/>
    <tableColumn id="5028" xr3:uid="{C591ADBE-1EBA-477D-9C91-6934CB33D9E0}" name="Column4980" dataDxfId="11374"/>
    <tableColumn id="5029" xr3:uid="{B632E90D-4377-44FE-A7C7-BD5C845A56D6}" name="Column4981" dataDxfId="11373"/>
    <tableColumn id="5030" xr3:uid="{8198F3F8-AF59-49B0-A1E4-ED756D16C5E3}" name="Column4982" dataDxfId="11372"/>
    <tableColumn id="5031" xr3:uid="{313C59EE-A652-494D-A778-5499E73FC92B}" name="Column4983" dataDxfId="11371"/>
    <tableColumn id="5032" xr3:uid="{F6CF5E32-6AAD-41BE-9A6B-0714DB2E0123}" name="Column4984" dataDxfId="11370"/>
    <tableColumn id="5033" xr3:uid="{B2DF0603-C87A-42A1-8EBF-1054E8D17709}" name="Column4985" dataDxfId="11369"/>
    <tableColumn id="5034" xr3:uid="{F882CD4E-FD1C-421F-B924-A37F16A58F7D}" name="Column4986" dataDxfId="11368"/>
    <tableColumn id="5035" xr3:uid="{04962936-5762-4345-A96C-505EE281316F}" name="Column4987" dataDxfId="11367"/>
    <tableColumn id="5036" xr3:uid="{19D1E76F-2C0B-4800-B4CB-B98F64B48AF8}" name="Column4988" dataDxfId="11366"/>
    <tableColumn id="5037" xr3:uid="{E0E89E33-C6E7-4418-80DB-18C3EA882595}" name="Column4989" dataDxfId="11365"/>
    <tableColumn id="5038" xr3:uid="{E262B8DD-AB7A-4721-9491-145DEB029705}" name="Column4990" dataDxfId="11364"/>
    <tableColumn id="5039" xr3:uid="{0B540BF7-E36E-46FA-BDA4-7CD002566FB7}" name="Column4991" dataDxfId="11363"/>
    <tableColumn id="5040" xr3:uid="{6D0A43F7-D409-41B4-A0E4-E6BE22EEEB60}" name="Column4992" dataDxfId="11362"/>
    <tableColumn id="5041" xr3:uid="{4F7253DB-1641-4D99-A4EE-293C3A52BACA}" name="Column4993" dataDxfId="11361"/>
    <tableColumn id="5042" xr3:uid="{A7195C64-5D33-474C-8A70-2BCAB781969A}" name="Column4994" dataDxfId="11360"/>
    <tableColumn id="5043" xr3:uid="{0EE6E0A1-B84C-455A-A109-42CE8B149BE6}" name="Column4995" dataDxfId="11359"/>
    <tableColumn id="5044" xr3:uid="{88A6BCCB-552D-47E9-ADB3-A4F4C3B0F746}" name="Column4996" dataDxfId="11358"/>
    <tableColumn id="5045" xr3:uid="{92B08BDE-6878-40A7-A785-D0B4AE4C5C2D}" name="Column4997" dataDxfId="11357"/>
    <tableColumn id="5046" xr3:uid="{E1783CFA-FFD1-41E9-8D1F-5071EECE1372}" name="Column4998" dataDxfId="11356"/>
    <tableColumn id="5047" xr3:uid="{4BE953A0-11A6-4A85-ABDE-9053D1FDE3B2}" name="Column4999" dataDxfId="11355"/>
    <tableColumn id="5048" xr3:uid="{ECB552AD-BE3A-4702-833C-3D3FE6EAA51A}" name="Column5000" dataDxfId="11354"/>
    <tableColumn id="5049" xr3:uid="{10D2F39A-4A16-4BD7-B712-9340FCBD7435}" name="Column5001" dataDxfId="11353"/>
    <tableColumn id="5050" xr3:uid="{6C538A35-72AB-4013-882C-8B6DB69CA59D}" name="Column5002" dataDxfId="11352"/>
    <tableColumn id="5051" xr3:uid="{A6BB62A9-6CEB-4B82-8B5F-1C2DB55D2E91}" name="Column5003" dataDxfId="11351"/>
    <tableColumn id="5052" xr3:uid="{5BF4CFC2-0D51-4E13-A764-D433DF41D4C8}" name="Column5004" dataDxfId="11350"/>
    <tableColumn id="5053" xr3:uid="{19E343BF-A159-482F-8D63-B3CD8A63D882}" name="Column5005" dataDxfId="11349"/>
    <tableColumn id="5054" xr3:uid="{50A2471C-367E-4143-826D-3372F5811411}" name="Column5006" dataDxfId="11348"/>
    <tableColumn id="5055" xr3:uid="{BD684EAB-2E21-457E-A8DC-2ABB38D8365C}" name="Column5007" dataDxfId="11347"/>
    <tableColumn id="5056" xr3:uid="{5F134BA2-2F8E-4BDF-BBAD-C92F5405795F}" name="Column5008" dataDxfId="11346"/>
    <tableColumn id="5057" xr3:uid="{038892C7-BC82-41AD-94B2-4A88AC106ED5}" name="Column5009" dataDxfId="11345"/>
    <tableColumn id="5058" xr3:uid="{C75B7F3E-E1CC-47B6-A523-B2F4E26FBC68}" name="Column5010" dataDxfId="11344"/>
    <tableColumn id="5059" xr3:uid="{5E5B3C23-855C-49D0-9A53-17AACF33C349}" name="Column5011" dataDxfId="11343"/>
    <tableColumn id="5060" xr3:uid="{60F72EF6-D466-4652-9055-AE52541855E0}" name="Column5012" dataDxfId="11342"/>
    <tableColumn id="5061" xr3:uid="{AB8452CA-78EA-41B5-8897-C9AB6A265E51}" name="Column5013" dataDxfId="11341"/>
    <tableColumn id="5062" xr3:uid="{E6D45715-D13E-4E1B-8E22-2CD758090312}" name="Column5014" dataDxfId="11340"/>
    <tableColumn id="5063" xr3:uid="{7BE63DB3-C4E0-45B9-86FC-05F36FEC5BBF}" name="Column5015" dataDxfId="11339"/>
    <tableColumn id="5064" xr3:uid="{24FECA85-F569-4A9F-9FE3-B6B464849474}" name="Column5016" dataDxfId="11338"/>
    <tableColumn id="5065" xr3:uid="{23AD1318-A78F-4D97-8781-95512BACBFA7}" name="Column5017" dataDxfId="11337"/>
    <tableColumn id="5066" xr3:uid="{5FD41725-D038-444D-B5A4-BC82C084DEA8}" name="Column5018" dataDxfId="11336"/>
    <tableColumn id="5067" xr3:uid="{E69A7386-474E-46E2-91E5-96426583BA01}" name="Column5019" dataDxfId="11335"/>
    <tableColumn id="5068" xr3:uid="{1258D22A-0A8B-4AF4-8741-FC724C64A7BE}" name="Column5020" dataDxfId="11334"/>
    <tableColumn id="5069" xr3:uid="{81E27716-CAC1-4C51-92EE-97325665E4E0}" name="Column5021" dataDxfId="11333"/>
    <tableColumn id="5070" xr3:uid="{837E7CB1-3339-45D5-AE9D-99B29731EE3D}" name="Column5022" dataDxfId="11332"/>
    <tableColumn id="5071" xr3:uid="{2D1F5B8E-9307-4F15-A57D-908AEAB95F93}" name="Column5023" dataDxfId="11331"/>
    <tableColumn id="5072" xr3:uid="{46A41B26-7CE6-41AB-BA4A-072F7588FF3E}" name="Column5024" dataDxfId="11330"/>
    <tableColumn id="5073" xr3:uid="{380573D3-27A7-4004-BC61-D60D022A8819}" name="Column5025" dataDxfId="11329"/>
    <tableColumn id="5074" xr3:uid="{8863C5A1-48A5-4F30-BF5A-979B696C03C3}" name="Column5026" dataDxfId="11328"/>
    <tableColumn id="5075" xr3:uid="{52BFCB26-BE62-44C3-81E6-219710AA3446}" name="Column5027" dataDxfId="11327"/>
    <tableColumn id="5076" xr3:uid="{28D450B8-575F-4334-81C4-A5984A7B11FB}" name="Column5028" dataDxfId="11326"/>
    <tableColumn id="5077" xr3:uid="{E4EEDC7F-DE12-4B19-9665-13B84A33273F}" name="Column5029" dataDxfId="11325"/>
    <tableColumn id="5078" xr3:uid="{90D67FD8-5E2B-490A-9BD4-0F9C60745CC8}" name="Column5030" dataDxfId="11324"/>
    <tableColumn id="5079" xr3:uid="{0CA1E7B6-16E7-4BB9-AB3E-F117C0206128}" name="Column5031" dataDxfId="11323"/>
    <tableColumn id="5080" xr3:uid="{4231B3E9-3526-415D-B7D1-BFD4949FF248}" name="Column5032" dataDxfId="11322"/>
    <tableColumn id="5081" xr3:uid="{34ACD75C-21B3-4EBA-B28A-DA814DA8BF9C}" name="Column5033" dataDxfId="11321"/>
    <tableColumn id="5082" xr3:uid="{71508F03-B2E5-477A-A9FD-76D1550E3E10}" name="Column5034" dataDxfId="11320"/>
    <tableColumn id="5083" xr3:uid="{C24137D2-F402-42B8-8B39-232713A2527D}" name="Column5035" dataDxfId="11319"/>
    <tableColumn id="5084" xr3:uid="{B4CA9CFC-28C1-4458-9EA9-CAE143A31BAB}" name="Column5036" dataDxfId="11318"/>
    <tableColumn id="5085" xr3:uid="{9178B64E-0120-4FB0-AF7A-FC9D7EA1133B}" name="Column5037" dataDxfId="11317"/>
    <tableColumn id="5086" xr3:uid="{C0ED1373-EBE1-486E-86B8-D0E5D4DFB80D}" name="Column5038" dataDxfId="11316"/>
    <tableColumn id="5087" xr3:uid="{AB7D9A97-831F-41F4-BA70-E79CBEE7DF6C}" name="Column5039" dataDxfId="11315"/>
    <tableColumn id="5088" xr3:uid="{09DCE8C2-BE03-4284-86C2-E41D41D3D263}" name="Column5040" dataDxfId="11314"/>
    <tableColumn id="5089" xr3:uid="{B7BB9D13-C798-4B54-B21F-1ECB65FDD2F4}" name="Column5041" dataDxfId="11313"/>
    <tableColumn id="5090" xr3:uid="{DD2034FE-D375-43EF-9D4D-EDDD23950DAF}" name="Column5042" dataDxfId="11312"/>
    <tableColumn id="5091" xr3:uid="{99B93070-2169-41E4-B0A9-799275BD8E3E}" name="Column5043" dataDxfId="11311"/>
    <tableColumn id="5092" xr3:uid="{818CB2DE-B173-45A4-922A-D5E043D3B6E3}" name="Column5044" dataDxfId="11310"/>
    <tableColumn id="5093" xr3:uid="{1B273FF3-25A8-4D4D-A7A9-0012D6258364}" name="Column5045" dataDxfId="11309"/>
    <tableColumn id="5094" xr3:uid="{60A51632-F96B-4E12-A31C-619419172409}" name="Column5046" dataDxfId="11308"/>
    <tableColumn id="5095" xr3:uid="{5F50077C-980E-4C9F-B8A3-BF8281F709C7}" name="Column5047" dataDxfId="11307"/>
    <tableColumn id="5096" xr3:uid="{12C07BCE-83BA-4257-B821-776C21273143}" name="Column5048" dataDxfId="11306"/>
    <tableColumn id="5097" xr3:uid="{5BCAF6D9-889D-4EA5-A6A5-785E3438C1D0}" name="Column5049" dataDxfId="11305"/>
    <tableColumn id="5098" xr3:uid="{73447DC1-AF99-4A03-BB61-A6E79B425826}" name="Column5050" dataDxfId="11304"/>
    <tableColumn id="5099" xr3:uid="{F09CB69C-B986-476B-8A91-9C492ABBC250}" name="Column5051" dataDxfId="11303"/>
    <tableColumn id="5100" xr3:uid="{0F8490C3-3F44-4F2D-9D42-A49F56F79C76}" name="Column5052" dataDxfId="11302"/>
    <tableColumn id="5101" xr3:uid="{F5E06EED-9BDA-4138-A1DF-59D7F4B230B4}" name="Column5053" dataDxfId="11301"/>
    <tableColumn id="5102" xr3:uid="{8D8AA099-A45B-4762-B663-6EC6CB06CCEC}" name="Column5054" dataDxfId="11300"/>
    <tableColumn id="5103" xr3:uid="{E6126D82-1838-41A9-BB7F-8C17866F8B50}" name="Column5055" dataDxfId="11299"/>
    <tableColumn id="5104" xr3:uid="{B07A41FC-905B-479C-8758-72C10AC96FE6}" name="Column5056" dataDxfId="11298"/>
    <tableColumn id="5105" xr3:uid="{AC9AACBC-E919-4C91-A3C5-879B817E57A7}" name="Column5057" dataDxfId="11297"/>
    <tableColumn id="5106" xr3:uid="{83C55B11-5FA3-444B-B321-001904943E64}" name="Column5058" dataDxfId="11296"/>
    <tableColumn id="5107" xr3:uid="{1E8FE0C6-28E5-41EA-B2D4-C32B0DB77B63}" name="Column5059" dataDxfId="11295"/>
    <tableColumn id="5108" xr3:uid="{8C120E3D-4B73-45E1-9065-B6FB62897C46}" name="Column5060" dataDxfId="11294"/>
    <tableColumn id="5109" xr3:uid="{42B7DB07-F599-4176-BEDB-41250199BA0D}" name="Column5061" dataDxfId="11293"/>
    <tableColumn id="5110" xr3:uid="{D4F330D0-FA2B-43C7-8FAF-9569E15591F9}" name="Column5062" dataDxfId="11292"/>
    <tableColumn id="5111" xr3:uid="{993D4604-8B3B-4F4F-B674-DB95A978C861}" name="Column5063" dataDxfId="11291"/>
    <tableColumn id="5112" xr3:uid="{C81653A4-A60B-4918-96BC-13D551DB5436}" name="Column5064" dataDxfId="11290"/>
    <tableColumn id="5113" xr3:uid="{ABE0F117-EECA-41AC-A610-B41CB0CBA4A1}" name="Column5065" dataDxfId="11289"/>
    <tableColumn id="5114" xr3:uid="{0A408721-6EF5-488B-843A-11ED62498288}" name="Column5066" dataDxfId="11288"/>
    <tableColumn id="5115" xr3:uid="{0FFE9235-5763-4038-ABC9-BD520F12AB3E}" name="Column5067" dataDxfId="11287"/>
    <tableColumn id="5116" xr3:uid="{98AFF772-D70C-4BC7-A9D2-785C1672A7BE}" name="Column5068" dataDxfId="11286"/>
    <tableColumn id="5117" xr3:uid="{8191CE3D-4D8A-46CC-8C1C-5D34C30FAD54}" name="Column5069" dataDxfId="11285"/>
    <tableColumn id="5118" xr3:uid="{59629318-DFE1-479A-98D5-C406E470B7CF}" name="Column5070" dataDxfId="11284"/>
    <tableColumn id="5119" xr3:uid="{639A1AA9-CDEC-4900-AF4D-4815BB13DFEB}" name="Column5071" dataDxfId="11283"/>
    <tableColumn id="5120" xr3:uid="{511D3EC9-B9F3-4E5B-8BA4-2010CFFD9779}" name="Column5072" dataDxfId="11282"/>
    <tableColumn id="5121" xr3:uid="{D903BFE2-D9F4-4E47-AAE0-B75568B5F035}" name="Column5073" dataDxfId="11281"/>
    <tableColumn id="5122" xr3:uid="{25C1C78E-415C-4979-9B45-E98F091D562A}" name="Column5074" dataDxfId="11280"/>
    <tableColumn id="5123" xr3:uid="{400C8C94-9F57-4E59-A0C3-C0ECDF65ED79}" name="Column5075" dataDxfId="11279"/>
    <tableColumn id="5124" xr3:uid="{20E3C394-8571-4E84-B224-A46A52440A60}" name="Column5076" dataDxfId="11278"/>
    <tableColumn id="5125" xr3:uid="{EA2F9E44-A55C-4847-8354-EB79827D7F3B}" name="Column5077" dataDxfId="11277"/>
    <tableColumn id="5126" xr3:uid="{9D1C8AD7-2060-46C0-A516-107CBF9A5B97}" name="Column5078" dataDxfId="11276"/>
    <tableColumn id="5127" xr3:uid="{4A62C347-421B-469B-828E-A99AFBAA0061}" name="Column5079" dataDxfId="11275"/>
    <tableColumn id="5128" xr3:uid="{98A3C154-5D04-478B-B56F-BB67FACD7C18}" name="Column5080" dataDxfId="11274"/>
    <tableColumn id="5129" xr3:uid="{3F5221FC-07D0-4078-8C43-EC6C74A6EB15}" name="Column5081" dataDxfId="11273"/>
    <tableColumn id="5130" xr3:uid="{C5DC7617-7B48-4660-B019-5FC5D1CF46AC}" name="Column5082" dataDxfId="11272"/>
    <tableColumn id="5131" xr3:uid="{38CF432C-8F2F-4118-9AAD-1776F43AD71E}" name="Column5083" dataDxfId="11271"/>
    <tableColumn id="5132" xr3:uid="{97DE29D1-CCA6-400F-A62D-666778041D47}" name="Column5084" dataDxfId="11270"/>
    <tableColumn id="5133" xr3:uid="{7A8D184C-6809-4063-AC77-45826B5388C8}" name="Column5085" dataDxfId="11269"/>
    <tableColumn id="5134" xr3:uid="{B66D1B23-C109-4DE5-8422-867CAC6B6504}" name="Column5086" dataDxfId="11268"/>
    <tableColumn id="5135" xr3:uid="{0BA1B7D9-FED9-407A-93A8-99DDCF918641}" name="Column5087" dataDxfId="11267"/>
    <tableColumn id="5136" xr3:uid="{D8C8887E-5BCD-47D4-873A-F57E19403995}" name="Column5088" dataDxfId="11266"/>
    <tableColumn id="5137" xr3:uid="{A54DC7EC-C25B-4753-AED8-19AF774C110A}" name="Column5089" dataDxfId="11265"/>
    <tableColumn id="5138" xr3:uid="{0BB1DA30-7C78-41A0-AAF1-FEB62F57CB78}" name="Column5090" dataDxfId="11264"/>
    <tableColumn id="5139" xr3:uid="{210E235E-51DB-4CF5-918C-8189AFDC176B}" name="Column5091" dataDxfId="11263"/>
    <tableColumn id="5140" xr3:uid="{1560C8D8-57BB-4A50-86D8-D174D24601F1}" name="Column5092" dataDxfId="11262"/>
    <tableColumn id="5141" xr3:uid="{1CA3A323-AF6F-4FC4-BB7C-CC0D24BCA356}" name="Column5093" dataDxfId="11261"/>
    <tableColumn id="5142" xr3:uid="{6567454A-5871-4D72-B3DF-0737AB994CD0}" name="Column5094" dataDxfId="11260"/>
    <tableColumn id="5143" xr3:uid="{937E2621-D2EF-43F9-BA75-636C91F955F7}" name="Column5095" dataDxfId="11259"/>
    <tableColumn id="5144" xr3:uid="{6962C464-4A5C-48EC-A975-3336952EDA33}" name="Column5096" dataDxfId="11258"/>
    <tableColumn id="5145" xr3:uid="{939E07D6-F4B7-438E-8A54-4694E157D1E4}" name="Column5097" dataDxfId="11257"/>
    <tableColumn id="5146" xr3:uid="{1D24CE95-E6F2-429D-8D9E-5389A3A28BA5}" name="Column5098" dataDxfId="11256"/>
    <tableColumn id="5147" xr3:uid="{435E0F80-B4E7-49D2-A94D-8E54667AC920}" name="Column5099" dataDxfId="11255"/>
    <tableColumn id="5148" xr3:uid="{48C19FA8-CC81-465B-B58D-2F20F0731369}" name="Column5100" dataDxfId="11254"/>
    <tableColumn id="5149" xr3:uid="{981F17BD-DCAB-4611-A605-53B52B46DB0D}" name="Column5101" dataDxfId="11253"/>
    <tableColumn id="5150" xr3:uid="{BC4608FC-46A9-4EDE-AF7C-09FCD549ED0F}" name="Column5102" dataDxfId="11252"/>
    <tableColumn id="5151" xr3:uid="{35D6ED92-6CD2-4D5E-8667-5769C3602E3D}" name="Column5103" dataDxfId="11251"/>
    <tableColumn id="5152" xr3:uid="{24DA7FC3-E641-43C9-9801-19143B73DF5B}" name="Column5104" dataDxfId="11250"/>
    <tableColumn id="5153" xr3:uid="{13B55E5B-E9B0-40E8-A076-E7CEE5BD1947}" name="Column5105" dataDxfId="11249"/>
    <tableColumn id="5154" xr3:uid="{A10B8859-F7F3-4573-9C23-AF61146E7F0D}" name="Column5106" dataDxfId="11248"/>
    <tableColumn id="5155" xr3:uid="{41FABE86-4C04-479E-9A13-A34A4E6E4F10}" name="Column5107" dataDxfId="11247"/>
    <tableColumn id="5156" xr3:uid="{229A8227-E966-4A4D-AE28-692B9FB5D321}" name="Column5108" dataDxfId="11246"/>
    <tableColumn id="5157" xr3:uid="{D11680F8-EB1D-4D29-93FB-84781E4CE9FC}" name="Column5109" dataDxfId="11245"/>
    <tableColumn id="5158" xr3:uid="{A648CCBE-0064-4150-808E-369F8E38E459}" name="Column5110" dataDxfId="11244"/>
    <tableColumn id="5159" xr3:uid="{0D946AE2-E5F3-4294-868D-D29730E14C5D}" name="Column5111" dataDxfId="11243"/>
    <tableColumn id="5160" xr3:uid="{4EA2B74B-B67B-4422-A8C7-409A316E7F33}" name="Column5112" dataDxfId="11242"/>
    <tableColumn id="5161" xr3:uid="{B64FA9CE-608D-4219-8F39-93972ADC46AE}" name="Column5113" dataDxfId="11241"/>
    <tableColumn id="5162" xr3:uid="{AC814CBD-E035-4D41-B582-D2F417CDD3EC}" name="Column5114" dataDxfId="11240"/>
    <tableColumn id="5163" xr3:uid="{64D9DBBD-1225-4478-914E-DE0B149FD21B}" name="Column5115" dataDxfId="11239"/>
    <tableColumn id="5164" xr3:uid="{FEF5BFB8-6A49-4EBC-A9B7-D76382093DDD}" name="Column5116" dataDxfId="11238"/>
    <tableColumn id="5165" xr3:uid="{C3495914-910E-4D4F-9585-1A8FC0017CC7}" name="Column5117" dataDxfId="11237"/>
    <tableColumn id="5166" xr3:uid="{E55AA73E-160E-482A-BE0E-51C057F30C29}" name="Column5118" dataDxfId="11236"/>
    <tableColumn id="5167" xr3:uid="{6FD14D75-367D-42E6-B2A6-D1DB461AB130}" name="Column5119" dataDxfId="11235"/>
    <tableColumn id="5168" xr3:uid="{0E368765-68C8-4577-B65D-60F9782F807F}" name="Column5120" dataDxfId="11234"/>
    <tableColumn id="5169" xr3:uid="{6C2F6DBF-1621-473A-96E6-7039DF61E933}" name="Column5121" dataDxfId="11233"/>
    <tableColumn id="5170" xr3:uid="{8433AE98-F921-4C2C-97A5-60EDE1550C67}" name="Column5122" dataDxfId="11232"/>
    <tableColumn id="5171" xr3:uid="{B9C9A1A0-CE71-401F-871C-96260BE343C3}" name="Column5123" dataDxfId="11231"/>
    <tableColumn id="5172" xr3:uid="{9BA25E9E-83FE-44C8-861C-71D4A0AC32B0}" name="Column5124" dataDxfId="11230"/>
    <tableColumn id="5173" xr3:uid="{8A3EA176-DEB2-4993-A12D-8D99CF95F4B8}" name="Column5125" dataDxfId="11229"/>
    <tableColumn id="5174" xr3:uid="{65D11044-905B-4D1C-B6CA-F36607F5B4EF}" name="Column5126" dataDxfId="11228"/>
    <tableColumn id="5175" xr3:uid="{9A84DEF0-4B6E-4840-81B8-5F524B6CDCB3}" name="Column5127" dataDxfId="11227"/>
    <tableColumn id="5176" xr3:uid="{AE16957A-8A91-4305-B15C-3EE7EDE46973}" name="Column5128" dataDxfId="11226"/>
    <tableColumn id="5177" xr3:uid="{50AB1962-D0EC-4203-92FC-29AC4A646CE1}" name="Column5129" dataDxfId="11225"/>
    <tableColumn id="5178" xr3:uid="{107054B8-AE51-4A8C-A44E-B679E560186C}" name="Column5130" dataDxfId="11224"/>
    <tableColumn id="5179" xr3:uid="{18E6D904-9071-4084-BE14-D070F20D1C86}" name="Column5131" dataDxfId="11223"/>
    <tableColumn id="5180" xr3:uid="{C30C3AD7-0393-49A7-B919-DD249F4E5E02}" name="Column5132" dataDxfId="11222"/>
    <tableColumn id="5181" xr3:uid="{F9481656-6F29-4AB7-BBB7-7A65406532FC}" name="Column5133" dataDxfId="11221"/>
    <tableColumn id="5182" xr3:uid="{37D36CBB-DC89-49BE-979E-20685EAD3422}" name="Column5134" dataDxfId="11220"/>
    <tableColumn id="5183" xr3:uid="{B5656D8D-AB0C-4C6B-B568-08BC02E378E8}" name="Column5135" dataDxfId="11219"/>
    <tableColumn id="5184" xr3:uid="{34321308-E49A-4469-B129-DBCF90F7B9B3}" name="Column5136" dataDxfId="11218"/>
    <tableColumn id="5185" xr3:uid="{0B0D78F9-1D86-47C1-91D0-7BFDF147B67F}" name="Column5137" dataDxfId="11217"/>
    <tableColumn id="5186" xr3:uid="{FA140423-F3CC-4C01-BF08-33AFD6CD48F4}" name="Column5138" dataDxfId="11216"/>
    <tableColumn id="5187" xr3:uid="{6295E381-1BF4-49A0-ABF2-15D9A97FB4AA}" name="Column5139" dataDxfId="11215"/>
    <tableColumn id="5188" xr3:uid="{0166947F-7A08-4114-843E-2AA74572ED3F}" name="Column5140" dataDxfId="11214"/>
    <tableColumn id="5189" xr3:uid="{C751C843-FED8-4CAB-BD48-9E14412F84B5}" name="Column5141" dataDxfId="11213"/>
    <tableColumn id="5190" xr3:uid="{F6385915-A5F0-481E-845A-E45F5C192A19}" name="Column5142" dataDxfId="11212"/>
    <tableColumn id="5191" xr3:uid="{9ECB9A41-B0A0-4CA5-A00F-879173C82E2C}" name="Column5143" dataDxfId="11211"/>
    <tableColumn id="5192" xr3:uid="{FE61B480-96C9-4804-A585-8DF552AB8F1F}" name="Column5144" dataDxfId="11210"/>
    <tableColumn id="5193" xr3:uid="{345F1426-D656-491A-81A8-555B2965DB08}" name="Column5145" dataDxfId="11209"/>
    <tableColumn id="5194" xr3:uid="{55611C55-24B8-4A0F-B50D-3F2F214779CA}" name="Column5146" dataDxfId="11208"/>
    <tableColumn id="5195" xr3:uid="{E091203E-238D-4ECE-A5DF-C32552B32328}" name="Column5147" dataDxfId="11207"/>
    <tableColumn id="5196" xr3:uid="{494B3CCA-4F81-4396-89DB-4FE766F285E2}" name="Column5148" dataDxfId="11206"/>
    <tableColumn id="5197" xr3:uid="{0B41530C-5DBD-445F-B00E-F7D0323D26FB}" name="Column5149" dataDxfId="11205"/>
    <tableColumn id="5198" xr3:uid="{566727C8-1B91-4DFF-A2BC-253007AA3B91}" name="Column5150" dataDxfId="11204"/>
    <tableColumn id="5199" xr3:uid="{B16EF75E-077F-42B8-B9F8-5BD6DB0AA021}" name="Column5151" dataDxfId="11203"/>
    <tableColumn id="5200" xr3:uid="{FE33EF7F-500E-4EDE-B6B3-17D162F98A93}" name="Column5152" dataDxfId="11202"/>
    <tableColumn id="5201" xr3:uid="{6735117D-AE13-4351-A1CD-43CAEBFEB131}" name="Column5153" dataDxfId="11201"/>
    <tableColumn id="5202" xr3:uid="{7D1E6C65-2365-4592-856A-3E3B609D731C}" name="Column5154" dataDxfId="11200"/>
    <tableColumn id="5203" xr3:uid="{B254CC5F-51DE-4165-A0A0-91D2C2212D87}" name="Column5155" dataDxfId="11199"/>
    <tableColumn id="5204" xr3:uid="{61CB8D32-39B8-4A6D-A84F-27470380C40C}" name="Column5156" dataDxfId="11198"/>
    <tableColumn id="5205" xr3:uid="{9B31A3A2-F0C9-42B1-B085-3C195E9F2BE7}" name="Column5157" dataDxfId="11197"/>
    <tableColumn id="5206" xr3:uid="{4593FE51-63E8-4384-B05B-0014AA4DAA2A}" name="Column5158" dataDxfId="11196"/>
    <tableColumn id="5207" xr3:uid="{861BA13E-044D-4BA3-B095-F186BB8CB81B}" name="Column5159" dataDxfId="11195"/>
    <tableColumn id="5208" xr3:uid="{47E33511-0B6C-4023-9FC9-B345E45C2F20}" name="Column5160" dataDxfId="11194"/>
    <tableColumn id="5209" xr3:uid="{81FB1760-34BB-48DD-98DA-5286EA0CBC88}" name="Column5161" dataDxfId="11193"/>
    <tableColumn id="5210" xr3:uid="{6FDEA8DA-3F5B-4567-8990-973A1872DA24}" name="Column5162" dataDxfId="11192"/>
    <tableColumn id="5211" xr3:uid="{E7564630-022C-41DB-8936-AB82AE35A39D}" name="Column5163" dataDxfId="11191"/>
    <tableColumn id="5212" xr3:uid="{96624F81-662C-40ED-8102-7891166C3EBC}" name="Column5164" dataDxfId="11190"/>
    <tableColumn id="5213" xr3:uid="{6966E88A-A92A-42CF-95EE-D698C2C5B15D}" name="Column5165" dataDxfId="11189"/>
    <tableColumn id="5214" xr3:uid="{D151A5FB-980B-4276-8B79-AF2DF5AF96A9}" name="Column5166" dataDxfId="11188"/>
    <tableColumn id="5215" xr3:uid="{89DBA266-9366-499B-8860-F0431AD85A6A}" name="Column5167" dataDxfId="11187"/>
    <tableColumn id="5216" xr3:uid="{F1C8A318-C67D-40A4-9640-BE97A68386A8}" name="Column5168" dataDxfId="11186"/>
    <tableColumn id="5217" xr3:uid="{67ECBC8D-2E28-4AB3-BA90-FD53D22C9A95}" name="Column5169" dataDxfId="11185"/>
    <tableColumn id="5218" xr3:uid="{CA205499-4799-481B-9933-E9933FA7CAA6}" name="Column5170" dataDxfId="11184"/>
    <tableColumn id="5219" xr3:uid="{6C40A69E-C6DF-4E88-913B-08FF9374C577}" name="Column5171" dataDxfId="11183"/>
    <tableColumn id="5220" xr3:uid="{ECB3998F-D58E-463C-B5B5-B2F22712300F}" name="Column5172" dataDxfId="11182"/>
    <tableColumn id="5221" xr3:uid="{FCBF45B0-B6D1-4601-B980-CCAF82557675}" name="Column5173" dataDxfId="11181"/>
    <tableColumn id="5222" xr3:uid="{1EE896C6-C795-4176-903C-B3F91786CA1C}" name="Column5174" dataDxfId="11180"/>
    <tableColumn id="5223" xr3:uid="{5141CB69-4DAB-4AC3-A7FF-DC72E2527144}" name="Column5175" dataDxfId="11179"/>
    <tableColumn id="5224" xr3:uid="{9C6F9067-A7A9-4FEB-B9E8-70B382C9CC5F}" name="Column5176" dataDxfId="11178"/>
    <tableColumn id="5225" xr3:uid="{1FEDE6D3-7C17-49A7-A8A9-CA5371ED945E}" name="Column5177" dataDxfId="11177"/>
    <tableColumn id="5226" xr3:uid="{4F90FE25-CF9B-412F-A1A6-B80CD0E1B6E9}" name="Column5178" dataDxfId="11176"/>
    <tableColumn id="5227" xr3:uid="{5E7BE01C-C787-4629-B901-8A326111B821}" name="Column5179" dataDxfId="11175"/>
    <tableColumn id="5228" xr3:uid="{CD3B2BC9-7777-4E15-9486-A5447828DCFE}" name="Column5180" dataDxfId="11174"/>
    <tableColumn id="5229" xr3:uid="{6B562BC3-21FF-477C-B740-4C4BBE3DD070}" name="Column5181" dataDxfId="11173"/>
    <tableColumn id="5230" xr3:uid="{F16CA3B4-0A04-4BD3-9279-C1E0CE7748D8}" name="Column5182" dataDxfId="11172"/>
    <tableColumn id="5231" xr3:uid="{C277F385-1898-45BF-AC8C-C2E38DDB6B41}" name="Column5183" dataDxfId="11171"/>
    <tableColumn id="5232" xr3:uid="{306D9038-DC43-4864-BEE3-8F6858750602}" name="Column5184" dataDxfId="11170"/>
    <tableColumn id="5233" xr3:uid="{B69D9B62-553D-4AB5-A770-766D19BF4F59}" name="Column5185" dataDxfId="11169"/>
    <tableColumn id="5234" xr3:uid="{CFB236A2-517F-43C5-93C6-38002B7EA562}" name="Column5186" dataDxfId="11168"/>
    <tableColumn id="5235" xr3:uid="{91BCC9ED-00F1-46CB-8764-BAD1633A5519}" name="Column5187" dataDxfId="11167"/>
    <tableColumn id="5236" xr3:uid="{AB39FA46-E2CD-4997-8EB5-FE5C2A0C7B37}" name="Column5188" dataDxfId="11166"/>
    <tableColumn id="5237" xr3:uid="{ED063FBB-88E3-419E-87BE-82561AD23818}" name="Column5189" dataDxfId="11165"/>
    <tableColumn id="5238" xr3:uid="{572F57A2-2BEF-472D-82EB-172D0F1BEFC0}" name="Column5190" dataDxfId="11164"/>
    <tableColumn id="5239" xr3:uid="{21008AFF-2A64-4CA6-9CEE-1039285E79D1}" name="Column5191" dataDxfId="11163"/>
    <tableColumn id="5240" xr3:uid="{4E6C4F61-752F-4E72-81F9-962BDDBC7CED}" name="Column5192" dataDxfId="11162"/>
    <tableColumn id="5241" xr3:uid="{DE053B90-D6C4-49D6-ADC1-2B4EC00AAC6C}" name="Column5193" dataDxfId="11161"/>
    <tableColumn id="5242" xr3:uid="{3B3B7C2A-E4BD-4F6A-A6F1-C7AA255F6D3F}" name="Column5194" dataDxfId="11160"/>
    <tableColumn id="5243" xr3:uid="{4BD5893F-2192-4CAB-92D1-5D0458A11AED}" name="Column5195" dataDxfId="11159"/>
    <tableColumn id="5244" xr3:uid="{00983608-3BBD-4867-8808-D80082061256}" name="Column5196" dataDxfId="11158"/>
    <tableColumn id="5245" xr3:uid="{1E7AF1C1-4D8E-4775-A53A-A0D78D10135C}" name="Column5197" dataDxfId="11157"/>
    <tableColumn id="5246" xr3:uid="{E83B965E-DC91-4A58-9FCB-4D0F95BF38E4}" name="Column5198" dataDxfId="11156"/>
    <tableColumn id="5247" xr3:uid="{C20D36A4-BE13-4160-AD24-701B12553984}" name="Column5199" dataDxfId="11155"/>
    <tableColumn id="5248" xr3:uid="{8EB59030-9244-4DD9-B051-9948F62C901F}" name="Column5200" dataDxfId="11154"/>
    <tableColumn id="5249" xr3:uid="{C3572CCB-F396-4248-8D1C-CE5CB3217588}" name="Column5201" dataDxfId="11153"/>
    <tableColumn id="5250" xr3:uid="{246AF945-F283-4642-B046-B48F332594C1}" name="Column5202" dataDxfId="11152"/>
    <tableColumn id="5251" xr3:uid="{062B3257-4269-4E48-9E50-79E8BF2B1F26}" name="Column5203" dataDxfId="11151"/>
    <tableColumn id="5252" xr3:uid="{7859C4DF-F9C4-435F-B918-3F6D4F7B25DB}" name="Column5204" dataDxfId="11150"/>
    <tableColumn id="5253" xr3:uid="{4900A008-6308-4A4C-BEAB-C0CCF8C2B6CA}" name="Column5205" dataDxfId="11149"/>
    <tableColumn id="5254" xr3:uid="{E448889B-4BF9-474B-B1AE-619DC977B749}" name="Column5206" dataDxfId="11148"/>
    <tableColumn id="5255" xr3:uid="{8403D706-F2D0-49D2-94CB-EE62F6BFDEBF}" name="Column5207" dataDxfId="11147"/>
    <tableColumn id="5256" xr3:uid="{B5D0C0B6-F411-4E7B-9747-0BA7CBD09269}" name="Column5208" dataDxfId="11146"/>
    <tableColumn id="5257" xr3:uid="{64909199-790E-4725-B468-14FAF31F11EE}" name="Column5209" dataDxfId="11145"/>
    <tableColumn id="5258" xr3:uid="{EE01B52F-BDB4-4DB1-9048-560A1333C4EB}" name="Column5210" dataDxfId="11144"/>
    <tableColumn id="5259" xr3:uid="{85AA15BC-BAD1-4C23-B074-7A1ED26A81D7}" name="Column5211" dataDxfId="11143"/>
    <tableColumn id="5260" xr3:uid="{A2B26F4A-79FE-495D-AB9A-2EC25B2525ED}" name="Column5212" dataDxfId="11142"/>
    <tableColumn id="5261" xr3:uid="{2843C6F8-AA8C-4C36-8DA5-4E73EB4307D5}" name="Column5213" dataDxfId="11141"/>
    <tableColumn id="5262" xr3:uid="{0FE4DAA1-2AAE-4C95-B5D9-A5DE0CF87ED1}" name="Column5214" dataDxfId="11140"/>
    <tableColumn id="5263" xr3:uid="{7A33DECA-5ACE-482E-8A4C-9211713D1824}" name="Column5215" dataDxfId="11139"/>
    <tableColumn id="5264" xr3:uid="{F861845A-895C-4528-9743-C95BEFFAC768}" name="Column5216" dataDxfId="11138"/>
    <tableColumn id="5265" xr3:uid="{92D34097-1C45-4614-A445-ACDAA47E1C2C}" name="Column5217" dataDxfId="11137"/>
    <tableColumn id="5266" xr3:uid="{B065D854-DF66-4FD0-93E3-9E1C2FFD4D30}" name="Column5218" dataDxfId="11136"/>
    <tableColumn id="5267" xr3:uid="{D92CE58D-8942-4F23-98F9-69676859C27E}" name="Column5219" dataDxfId="11135"/>
    <tableColumn id="5268" xr3:uid="{E7BD6BC1-6D00-4474-8B54-C1FA0EAE49A3}" name="Column5220" dataDxfId="11134"/>
    <tableColumn id="5269" xr3:uid="{6A386897-FDBE-4381-8E63-73987AA9997C}" name="Column5221" dataDxfId="11133"/>
    <tableColumn id="5270" xr3:uid="{BBBC8C5F-8366-42F9-B7E2-FB71387A2475}" name="Column5222" dataDxfId="11132"/>
    <tableColumn id="5271" xr3:uid="{E144D583-9D33-4C60-BBD5-F6B818E92248}" name="Column5223" dataDxfId="11131"/>
    <tableColumn id="5272" xr3:uid="{D7F294D4-F69A-49F0-A98E-A6FC3AAF983D}" name="Column5224" dataDxfId="11130"/>
    <tableColumn id="5273" xr3:uid="{CB8DF23D-4B1B-4901-9085-AD10E92F6A21}" name="Column5225" dataDxfId="11129"/>
    <tableColumn id="5274" xr3:uid="{1F03B2E1-95D8-463F-A394-435389B7C186}" name="Column5226" dataDxfId="11128"/>
    <tableColumn id="5275" xr3:uid="{CD7B11D4-D3E3-4FFF-B2D1-8A20D8AB2E80}" name="Column5227" dataDxfId="11127"/>
    <tableColumn id="5276" xr3:uid="{7E2C444A-C868-4090-8625-C77F9CB4D33E}" name="Column5228" dataDxfId="11126"/>
    <tableColumn id="5277" xr3:uid="{5EF12F4E-3FFA-4C36-B402-E56B1748B9DE}" name="Column5229" dataDxfId="11125"/>
    <tableColumn id="5278" xr3:uid="{6A3CD55D-EF82-4D76-A3D0-A54D047C454E}" name="Column5230" dataDxfId="11124"/>
    <tableColumn id="5279" xr3:uid="{308D81F9-772E-4DBF-A0FA-F155C861CC74}" name="Column5231" dataDxfId="11123"/>
    <tableColumn id="5280" xr3:uid="{EA8ECE2D-6EC6-4446-B0D9-CFF37EBDA467}" name="Column5232" dataDxfId="11122"/>
    <tableColumn id="5281" xr3:uid="{0A97D600-D020-4B5F-89ED-CDA54F6AECC5}" name="Column5233" dataDxfId="11121"/>
    <tableColumn id="5282" xr3:uid="{71245903-203E-42B1-A1A3-DB51DC6F02EF}" name="Column5234" dataDxfId="11120"/>
    <tableColumn id="5283" xr3:uid="{BA8AFC39-8899-4C14-A5D3-3EB76871F005}" name="Column5235" dataDxfId="11119"/>
    <tableColumn id="5284" xr3:uid="{51B3A108-21B4-4A8B-89E7-CF11BFECCF0D}" name="Column5236" dataDxfId="11118"/>
    <tableColumn id="5285" xr3:uid="{C750E983-C037-493E-91AE-EC4ABD6A0DDD}" name="Column5237" dataDxfId="11117"/>
    <tableColumn id="5286" xr3:uid="{DA9EB373-CE2E-42B2-997E-6613EC452EBE}" name="Column5238" dataDxfId="11116"/>
    <tableColumn id="5287" xr3:uid="{7379D027-B3D9-4407-997C-2065F0CA7A97}" name="Column5239" dataDxfId="11115"/>
    <tableColumn id="5288" xr3:uid="{788366D3-6D38-47FF-B925-8BD25A6B404F}" name="Column5240" dataDxfId="11114"/>
    <tableColumn id="5289" xr3:uid="{98166700-7C8C-4F17-A6B0-93D0976CA403}" name="Column5241" dataDxfId="11113"/>
    <tableColumn id="5290" xr3:uid="{FC6E880E-F327-4B81-8F87-53CBB0F9BB50}" name="Column5242" dataDxfId="11112"/>
    <tableColumn id="5291" xr3:uid="{C9AAC58A-B452-45E6-A963-BF36F043CFFB}" name="Column5243" dataDxfId="11111"/>
    <tableColumn id="5292" xr3:uid="{7FA7AE13-D21B-4B12-9459-907A65BE3AC9}" name="Column5244" dataDxfId="11110"/>
    <tableColumn id="5293" xr3:uid="{A799793B-85BD-48E1-9341-E912AD001DBE}" name="Column5245" dataDxfId="11109"/>
    <tableColumn id="5294" xr3:uid="{A69DF785-0F0F-4A98-96FA-864CD42F94F7}" name="Column5246" dataDxfId="11108"/>
    <tableColumn id="5295" xr3:uid="{C073BB71-89E9-45E0-91D3-22050F5F7CB2}" name="Column5247" dataDxfId="11107"/>
    <tableColumn id="5296" xr3:uid="{9399F956-E8F8-41F8-9FBE-55D7911DC18C}" name="Column5248" dataDxfId="11106"/>
    <tableColumn id="5297" xr3:uid="{B0D8CE11-7F3D-46B8-8D7A-5B116DA3E3F1}" name="Column5249" dataDxfId="11105"/>
    <tableColumn id="5298" xr3:uid="{F02EEC5A-E5BF-470C-9683-C3C222D6094D}" name="Column5250" dataDxfId="11104"/>
    <tableColumn id="5299" xr3:uid="{F697D4B0-CE33-4032-99AD-32D67AFE63CB}" name="Column5251" dataDxfId="11103"/>
    <tableColumn id="5300" xr3:uid="{9877F1B7-16E9-4D49-9AAE-FF83A84D012F}" name="Column5252" dataDxfId="11102"/>
    <tableColumn id="5301" xr3:uid="{4323E577-CF57-408B-8446-B2BDC8F3F6A1}" name="Column5253" dataDxfId="11101"/>
    <tableColumn id="5302" xr3:uid="{2966F915-D8CD-474A-A7E0-C78189924758}" name="Column5254" dataDxfId="11100"/>
    <tableColumn id="5303" xr3:uid="{0DFB940C-18F7-4CC0-885A-BD8EF64A23B5}" name="Column5255" dataDxfId="11099"/>
    <tableColumn id="5304" xr3:uid="{79B2883B-9DE7-4E78-8AAC-569EAFD272C9}" name="Column5256" dataDxfId="11098"/>
    <tableColumn id="5305" xr3:uid="{AD48D546-6B88-4818-B45E-42EF055EB552}" name="Column5257" dataDxfId="11097"/>
    <tableColumn id="5306" xr3:uid="{AFD57B96-3770-46B4-BA04-8EA85B6C7689}" name="Column5258" dataDxfId="11096"/>
    <tableColumn id="5307" xr3:uid="{BCC0F7D2-AE02-4323-9018-0A8C524F3B47}" name="Column5259" dataDxfId="11095"/>
    <tableColumn id="5308" xr3:uid="{ED83FC2E-8255-46EC-AF48-63CA461A9147}" name="Column5260" dataDxfId="11094"/>
    <tableColumn id="5309" xr3:uid="{E018BF70-65EA-4A16-8D85-4D31C9B64AEB}" name="Column5261" dataDxfId="11093"/>
    <tableColumn id="5310" xr3:uid="{587DE209-E84F-4963-895C-EC6D4740D21F}" name="Column5262" dataDxfId="11092"/>
    <tableColumn id="5311" xr3:uid="{DEDBCCF2-324B-46EE-8A1E-8C8D8CFAFAC1}" name="Column5263" dataDxfId="11091"/>
    <tableColumn id="5312" xr3:uid="{609118FF-AD62-4A9D-BD88-0503D906365E}" name="Column5264" dataDxfId="11090"/>
    <tableColumn id="5313" xr3:uid="{43D17A02-0C7B-4A28-81A0-B66024D331EA}" name="Column5265" dataDxfId="11089"/>
    <tableColumn id="5314" xr3:uid="{99ABE62B-2695-4F9F-892E-67D57B889531}" name="Column5266" dataDxfId="11088"/>
    <tableColumn id="5315" xr3:uid="{CFB128A4-C51C-4E01-BDC3-66628BF0E88B}" name="Column5267" dataDxfId="11087"/>
    <tableColumn id="5316" xr3:uid="{7ADD4922-1874-472F-A762-66EA6F175322}" name="Column5268" dataDxfId="11086"/>
    <tableColumn id="5317" xr3:uid="{EE513C49-2A4E-4DD5-BE5A-77B0ACCB4B8D}" name="Column5269" dataDxfId="11085"/>
    <tableColumn id="5318" xr3:uid="{0A8C09A7-9042-452F-AD96-3D73DB32A14A}" name="Column5270" dataDxfId="11084"/>
    <tableColumn id="5319" xr3:uid="{53206143-87FD-4B1B-AD1D-DDB0E371F8FF}" name="Column5271" dataDxfId="11083"/>
    <tableColumn id="5320" xr3:uid="{791F9309-9EEC-495F-8296-CE64A472ADDC}" name="Column5272" dataDxfId="11082"/>
    <tableColumn id="5321" xr3:uid="{92676267-E8ED-47CE-B5F7-36955AD57D5F}" name="Column5273" dataDxfId="11081"/>
    <tableColumn id="5322" xr3:uid="{802BDCA6-48F4-4A2E-9B4B-11C1524F0B02}" name="Column5274" dataDxfId="11080"/>
    <tableColumn id="5323" xr3:uid="{F10AC201-2BF9-4CE2-B75A-9DC280AF0111}" name="Column5275" dataDxfId="11079"/>
    <tableColumn id="5324" xr3:uid="{ED542F2E-5DC0-487B-8C1C-C61F54E4458F}" name="Column5276" dataDxfId="11078"/>
    <tableColumn id="5325" xr3:uid="{D099DC36-39A1-4B15-9CB8-2A003227B14F}" name="Column5277" dataDxfId="11077"/>
    <tableColumn id="5326" xr3:uid="{ECEC8A44-3530-48EE-BAA0-3CC9DD8B68B9}" name="Column5278" dataDxfId="11076"/>
    <tableColumn id="5327" xr3:uid="{02D0EB0D-B44B-4B53-90EB-0B61FE4CE680}" name="Column5279" dataDxfId="11075"/>
    <tableColumn id="5328" xr3:uid="{95D83FB1-328C-49B4-B9BF-CCB2D5F2B2EC}" name="Column5280" dataDxfId="11074"/>
    <tableColumn id="5329" xr3:uid="{167EFA73-C657-408F-BC22-CA338F55B3A7}" name="Column5281" dataDxfId="11073"/>
    <tableColumn id="5330" xr3:uid="{B93A3478-D0B7-4C98-9614-2B23EA9C2560}" name="Column5282" dataDxfId="11072"/>
    <tableColumn id="5331" xr3:uid="{EA10FB03-83B7-42AD-910D-D4F29D7C1323}" name="Column5283" dataDxfId="11071"/>
    <tableColumn id="5332" xr3:uid="{58C17614-2A1E-43EC-AD01-97110CFCC436}" name="Column5284" dataDxfId="11070"/>
    <tableColumn id="5333" xr3:uid="{1349572B-ABF9-48AE-B4C9-C965CA79C50B}" name="Column5285" dataDxfId="11069"/>
    <tableColumn id="5334" xr3:uid="{57957BD7-86A3-4EE9-87B2-F1254383B558}" name="Column5286" dataDxfId="11068"/>
    <tableColumn id="5335" xr3:uid="{9D1EC77A-B42D-460E-9529-78E83760EBB4}" name="Column5287" dataDxfId="11067"/>
    <tableColumn id="5336" xr3:uid="{59153359-322D-4025-82F8-6DEC4974ED95}" name="Column5288" dataDxfId="11066"/>
    <tableColumn id="5337" xr3:uid="{B8F43AF0-92AB-4E96-B0C7-F5DF356BD984}" name="Column5289" dataDxfId="11065"/>
    <tableColumn id="5338" xr3:uid="{B6932DA0-244A-4C37-9998-4C1458D27142}" name="Column5290" dataDxfId="11064"/>
    <tableColumn id="5339" xr3:uid="{13CC1901-8DA1-45EB-A858-407F15D0C267}" name="Column5291" dataDxfId="11063"/>
    <tableColumn id="5340" xr3:uid="{A89D2650-8AC7-426F-AE84-EB05CB6D1E3D}" name="Column5292" dataDxfId="11062"/>
    <tableColumn id="5341" xr3:uid="{AEC74908-952A-4068-A2E3-79852C01BB91}" name="Column5293" dataDxfId="11061"/>
    <tableColumn id="5342" xr3:uid="{85C3492A-4B8E-4CCF-8298-173D26A3EB24}" name="Column5294" dataDxfId="11060"/>
    <tableColumn id="5343" xr3:uid="{8F017EA6-D8DF-4E54-BA78-CC10D91B66C9}" name="Column5295" dataDxfId="11059"/>
    <tableColumn id="5344" xr3:uid="{784EDB19-CFDA-4DEE-9C5F-C05E9C091CD4}" name="Column5296" dataDxfId="11058"/>
    <tableColumn id="5345" xr3:uid="{DAFCEC90-42F2-4A41-B157-80117138E5F5}" name="Column5297" dataDxfId="11057"/>
    <tableColumn id="5346" xr3:uid="{B42B807E-C32E-47EA-9CE2-E1984C0D9402}" name="Column5298" dataDxfId="11056"/>
    <tableColumn id="5347" xr3:uid="{7F7CFC95-36B5-49D2-9BC6-E0398D970FA4}" name="Column5299" dataDxfId="11055"/>
    <tableColumn id="5348" xr3:uid="{CC88CBBA-EF9E-4F39-86CF-2CB3D4B69282}" name="Column5300" dataDxfId="11054"/>
    <tableColumn id="5349" xr3:uid="{9717957A-A96A-4742-B132-8DDD2205BA8C}" name="Column5301" dataDxfId="11053"/>
    <tableColumn id="5350" xr3:uid="{9F222DFF-308C-43EC-822A-E31E6CD2A1D4}" name="Column5302" dataDxfId="11052"/>
    <tableColumn id="5351" xr3:uid="{6838D8FA-44CD-4659-89DC-3FC09420D3F2}" name="Column5303" dataDxfId="11051"/>
    <tableColumn id="5352" xr3:uid="{4A9C42BD-C99C-4A43-B758-EFE2E3CFE9F9}" name="Column5304" dataDxfId="11050"/>
    <tableColumn id="5353" xr3:uid="{3563420C-5327-41E6-8CB3-C0E9F27E46EB}" name="Column5305" dataDxfId="11049"/>
    <tableColumn id="5354" xr3:uid="{91C230EF-1D95-4D99-AA4A-D3BD8F9C5430}" name="Column5306" dataDxfId="11048"/>
    <tableColumn id="5355" xr3:uid="{AFF41F24-52B9-4828-90BB-C196AC25AF7A}" name="Column5307" dataDxfId="11047"/>
    <tableColumn id="5356" xr3:uid="{514FCE3B-D6FC-4FA6-8E02-7422DE11CA70}" name="Column5308" dataDxfId="11046"/>
    <tableColumn id="5357" xr3:uid="{191B64D2-C2CE-46CF-9F97-C9234282D095}" name="Column5309" dataDxfId="11045"/>
    <tableColumn id="5358" xr3:uid="{EB822B18-24E3-4FF3-ABFD-8CAD2B39C186}" name="Column5310" dataDxfId="11044"/>
    <tableColumn id="5359" xr3:uid="{D731AB56-4EEC-4363-BF59-B934FB63977B}" name="Column5311" dataDxfId="11043"/>
    <tableColumn id="5360" xr3:uid="{DAD73DC0-2A19-4926-8F71-9BF159DDAE9C}" name="Column5312" dataDxfId="11042"/>
    <tableColumn id="5361" xr3:uid="{CF687BEC-441E-4A48-947C-585601CDAC35}" name="Column5313" dataDxfId="11041"/>
    <tableColumn id="5362" xr3:uid="{B2115D68-9467-4C2A-9993-F675C2702B72}" name="Column5314" dataDxfId="11040"/>
    <tableColumn id="5363" xr3:uid="{BB8A5CE7-F7D0-456B-B3C4-3F36F4F30CFF}" name="Column5315" dataDxfId="11039"/>
    <tableColumn id="5364" xr3:uid="{9327E76B-D2F7-4675-BD19-4E969877B859}" name="Column5316" dataDxfId="11038"/>
    <tableColumn id="5365" xr3:uid="{09807E09-0AD4-48BD-99CA-2A0104AF5C32}" name="Column5317" dataDxfId="11037"/>
    <tableColumn id="5366" xr3:uid="{1D3965C3-EF8E-41A6-AFB9-6C88EF24B828}" name="Column5318" dataDxfId="11036"/>
    <tableColumn id="5367" xr3:uid="{0DFC1162-B3B9-4FC6-A27A-D531CC5A773D}" name="Column5319" dataDxfId="11035"/>
    <tableColumn id="5368" xr3:uid="{D5CDA490-98D2-4F43-AA36-30C315677A08}" name="Column5320" dataDxfId="11034"/>
    <tableColumn id="5369" xr3:uid="{FDE8FCD7-74F9-4E37-9CBB-AD34F94838B5}" name="Column5321" dataDxfId="11033"/>
    <tableColumn id="5370" xr3:uid="{DF4B1FCC-6278-4360-9C1F-69D54543C643}" name="Column5322" dataDxfId="11032"/>
    <tableColumn id="5371" xr3:uid="{3604C803-B2EF-4FFA-B543-378BD2D158C9}" name="Column5323" dataDxfId="11031"/>
    <tableColumn id="5372" xr3:uid="{AF6BD308-6149-499E-BA1E-CEC1D2D6FFB1}" name="Column5324" dataDxfId="11030"/>
    <tableColumn id="5373" xr3:uid="{CB4A012F-2FDD-440A-A3AD-478F88A90C35}" name="Column5325" dataDxfId="11029"/>
    <tableColumn id="5374" xr3:uid="{784C69DA-C010-4D29-98A2-8482604F6C32}" name="Column5326" dataDxfId="11028"/>
    <tableColumn id="5375" xr3:uid="{CD4BF92A-871F-4FB7-8AC6-A20D5250C3ED}" name="Column5327" dataDxfId="11027"/>
    <tableColumn id="5376" xr3:uid="{A657EDD1-FFB1-4CC9-A000-1C8C0D9F6B5B}" name="Column5328" dataDxfId="11026"/>
    <tableColumn id="5377" xr3:uid="{1AC0F6E5-94AB-43A7-B248-5AEBE29DC3E6}" name="Column5329" dataDxfId="11025"/>
    <tableColumn id="5378" xr3:uid="{DAEC83CC-12D7-42C6-953E-024A3D51CD54}" name="Column5330" dataDxfId="11024"/>
    <tableColumn id="5379" xr3:uid="{2737218A-18B2-4DAD-A849-9E2C619DE679}" name="Column5331" dataDxfId="11023"/>
    <tableColumn id="5380" xr3:uid="{8BA45E51-3313-4A49-864B-96B88B00C518}" name="Column5332" dataDxfId="11022"/>
    <tableColumn id="5381" xr3:uid="{33475845-52E7-4476-A726-180C8FD42499}" name="Column5333" dataDxfId="11021"/>
    <tableColumn id="5382" xr3:uid="{0F6E8BBB-531E-4A92-8A8C-C2AF7DAFA5E8}" name="Column5334" dataDxfId="11020"/>
    <tableColumn id="5383" xr3:uid="{D5FBCC79-F29A-4394-B280-207C8513F0C7}" name="Column5335" dataDxfId="11019"/>
    <tableColumn id="5384" xr3:uid="{770100AB-7CA3-461F-AD00-3F11D6F2052C}" name="Column5336" dataDxfId="11018"/>
    <tableColumn id="5385" xr3:uid="{3E70E8D4-D1F3-48C5-8F7C-85FAECD74E9A}" name="Column5337" dataDxfId="11017"/>
    <tableColumn id="5386" xr3:uid="{672DCD39-0C0B-4C69-A10D-19534E88F8BD}" name="Column5338" dataDxfId="11016"/>
    <tableColumn id="5387" xr3:uid="{F06D22FA-CF6A-448F-A0BB-51AF730120F7}" name="Column5339" dataDxfId="11015"/>
    <tableColumn id="5388" xr3:uid="{84377F35-3ACE-45AD-8688-FD7A9B09548D}" name="Column5340" dataDxfId="11014"/>
    <tableColumn id="5389" xr3:uid="{130D267D-81FF-40DC-A60F-1564EFA87171}" name="Column5341" dataDxfId="11013"/>
    <tableColumn id="5390" xr3:uid="{C1292192-B896-4E45-8710-6C5E41F8DA5A}" name="Column5342" dataDxfId="11012"/>
    <tableColumn id="5391" xr3:uid="{EDC22D5F-19B6-4EE6-A665-046FCB14D067}" name="Column5343" dataDxfId="11011"/>
    <tableColumn id="5392" xr3:uid="{13486BD4-EB14-466F-B17D-13C6D00EE7CC}" name="Column5344" dataDxfId="11010"/>
    <tableColumn id="5393" xr3:uid="{D3E406C0-C140-4ABC-BFFD-127D782B6CC3}" name="Column5345" dataDxfId="11009"/>
    <tableColumn id="5394" xr3:uid="{F2559C96-7A36-4B79-B9C1-8927A59E01A8}" name="Column5346" dataDxfId="11008"/>
    <tableColumn id="5395" xr3:uid="{BB91E3EE-BE67-47B8-940B-A20CCFF42DEA}" name="Column5347" dataDxfId="11007"/>
    <tableColumn id="5396" xr3:uid="{DC4D9645-4471-40CB-A2FC-9A07CBE26480}" name="Column5348" dataDxfId="11006"/>
    <tableColumn id="5397" xr3:uid="{615462CB-BBE6-4E3D-AA5C-8E95311B0580}" name="Column5349" dataDxfId="11005"/>
    <tableColumn id="5398" xr3:uid="{B2BDB2BF-F2C6-4062-A615-25AC432AEE1F}" name="Column5350" dataDxfId="11004"/>
    <tableColumn id="5399" xr3:uid="{DCF86E27-065D-4A64-9B25-04AFADDD63E1}" name="Column5351" dataDxfId="11003"/>
    <tableColumn id="5400" xr3:uid="{9B3C6612-AF99-43C5-BFD3-514B24563328}" name="Column5352" dataDxfId="11002"/>
    <tableColumn id="5401" xr3:uid="{E155873D-4ED5-4E6B-A065-D979FD57F93D}" name="Column5353" dataDxfId="11001"/>
    <tableColumn id="5402" xr3:uid="{CDD8E4D4-8252-4772-A324-53DC27699C43}" name="Column5354" dataDxfId="11000"/>
    <tableColumn id="5403" xr3:uid="{B377DFCB-1527-4073-9FB6-118BF56B35A8}" name="Column5355" dataDxfId="10999"/>
    <tableColumn id="5404" xr3:uid="{E4544036-2054-4CFA-BED2-94E06A3D2AAF}" name="Column5356" dataDxfId="10998"/>
    <tableColumn id="5405" xr3:uid="{23D887F1-8736-417C-931E-BBDB4FC1A17B}" name="Column5357" dataDxfId="10997"/>
    <tableColumn id="5406" xr3:uid="{A39EB3FD-F66C-4903-98E9-9C917CE59BFE}" name="Column5358" dataDxfId="10996"/>
    <tableColumn id="5407" xr3:uid="{8625BDE2-4290-4EEC-81DE-9C4B2359A2C7}" name="Column5359" dataDxfId="10995"/>
    <tableColumn id="5408" xr3:uid="{DEF2E1CC-D151-4BB9-884C-0E4DACDAC16E}" name="Column5360" dataDxfId="10994"/>
    <tableColumn id="5409" xr3:uid="{8A474E17-52B9-46BF-AC11-AB7E6CA8FF48}" name="Column5361" dataDxfId="10993"/>
    <tableColumn id="5410" xr3:uid="{31D54676-9F2B-465A-9C3F-C3BB58B03784}" name="Column5362" dataDxfId="10992"/>
    <tableColumn id="5411" xr3:uid="{E47970C6-80E8-4BC2-8D07-4CA5E42F3FD4}" name="Column5363" dataDxfId="10991"/>
    <tableColumn id="5412" xr3:uid="{B18FB3C7-6084-4CB3-81C1-80C8E809FABD}" name="Column5364" dataDxfId="10990"/>
    <tableColumn id="5413" xr3:uid="{24E48417-8982-4680-BC1B-053B37D5719C}" name="Column5365" dataDxfId="10989"/>
    <tableColumn id="5414" xr3:uid="{3261BAC6-4E6F-479D-8C89-32ED92EB4CDC}" name="Column5366" dataDxfId="10988"/>
    <tableColumn id="5415" xr3:uid="{A2DA318C-EDD6-490A-BFA0-FEFD20738557}" name="Column5367" dataDxfId="10987"/>
    <tableColumn id="5416" xr3:uid="{C2815620-E15E-431D-B2A1-6CAE277C3D3A}" name="Column5368" dataDxfId="10986"/>
    <tableColumn id="5417" xr3:uid="{4E0123CA-DD18-40B8-8FCC-3ABCF346DD95}" name="Column5369" dataDxfId="10985"/>
    <tableColumn id="5418" xr3:uid="{8A5E7C39-A671-49EA-A453-0CC1D09C2F5E}" name="Column5370" dataDxfId="10984"/>
    <tableColumn id="5419" xr3:uid="{64DC3790-1427-4842-A800-BA30823010F2}" name="Column5371" dataDxfId="10983"/>
    <tableColumn id="5420" xr3:uid="{F3DBA63E-03E9-4B38-A107-09AC70E75806}" name="Column5372" dataDxfId="10982"/>
    <tableColumn id="5421" xr3:uid="{258C7E6D-18EA-42B7-AAEA-42118518205D}" name="Column5373" dataDxfId="10981"/>
    <tableColumn id="5422" xr3:uid="{8A0B6A5A-9638-4490-B16B-1028497D1018}" name="Column5374" dataDxfId="10980"/>
    <tableColumn id="5423" xr3:uid="{2A98CA66-74A3-47F5-BE65-19DE69FB8220}" name="Column5375" dataDxfId="10979"/>
    <tableColumn id="5424" xr3:uid="{A51FB1BA-BBA0-44AC-ACD2-572B3548ADC9}" name="Column5376" dataDxfId="10978"/>
    <tableColumn id="5425" xr3:uid="{2E42A046-3FFE-44B5-8417-EF694A1F8262}" name="Column5377" dataDxfId="10977"/>
    <tableColumn id="5426" xr3:uid="{6F19A30E-79E5-4513-AD61-00BB21D930C1}" name="Column5378" dataDxfId="10976"/>
    <tableColumn id="5427" xr3:uid="{1F3A82E3-AA4D-4151-8C0B-5A9186E13CA9}" name="Column5379" dataDxfId="10975"/>
    <tableColumn id="5428" xr3:uid="{F0C95C5D-87CC-4EA2-9BD1-027277A2E608}" name="Column5380" dataDxfId="10974"/>
    <tableColumn id="5429" xr3:uid="{9CFD8E5D-2F72-4263-9381-B1D7C517A383}" name="Column5381" dataDxfId="10973"/>
    <tableColumn id="5430" xr3:uid="{EE47CCD9-399A-4D5C-813D-45DD4E9CDECE}" name="Column5382" dataDxfId="10972"/>
    <tableColumn id="5431" xr3:uid="{F405DBD2-3395-4A43-AF32-83915A099A1F}" name="Column5383" dataDxfId="10971"/>
    <tableColumn id="5432" xr3:uid="{2AEB508C-43C9-4759-97FC-B1A9BE013B0A}" name="Column5384" dataDxfId="10970"/>
    <tableColumn id="5433" xr3:uid="{D60AAF1A-3E68-4A37-80B4-12E39E2964D2}" name="Column5385" dataDxfId="10969"/>
    <tableColumn id="5434" xr3:uid="{F1E223B4-5C54-4C09-B9CE-A6B95E7C92A7}" name="Column5386" dataDxfId="10968"/>
    <tableColumn id="5435" xr3:uid="{2CCCCF70-403E-4169-9A4B-96A86322C8D3}" name="Column5387" dataDxfId="10967"/>
    <tableColumn id="5436" xr3:uid="{286F2D96-A009-4104-B2F7-5A35C3400757}" name="Column5388" dataDxfId="10966"/>
    <tableColumn id="5437" xr3:uid="{8A9C0818-FABB-42EE-9A35-A48C959AFB69}" name="Column5389" dataDxfId="10965"/>
    <tableColumn id="5438" xr3:uid="{6D3FCFBC-6997-4DF9-93EC-82BDBF35D906}" name="Column5390" dataDxfId="10964"/>
    <tableColumn id="5439" xr3:uid="{16205E23-9457-4C35-B055-5027F3D92E99}" name="Column5391" dataDxfId="10963"/>
    <tableColumn id="5440" xr3:uid="{1610E4A5-D5DF-484C-A4CD-1AC0D34CA08B}" name="Column5392" dataDxfId="10962"/>
    <tableColumn id="5441" xr3:uid="{D594D0C4-524F-4D14-902A-9F9601F9E287}" name="Column5393" dataDxfId="10961"/>
    <tableColumn id="5442" xr3:uid="{AEE2316F-FF1C-4619-A255-8201860C62CE}" name="Column5394" dataDxfId="10960"/>
    <tableColumn id="5443" xr3:uid="{1D3F2DD7-4090-4F74-A7E3-94244901A8D9}" name="Column5395" dataDxfId="10959"/>
    <tableColumn id="5444" xr3:uid="{7331340B-09D4-468B-BA95-96D046F86491}" name="Column5396" dataDxfId="10958"/>
    <tableColumn id="5445" xr3:uid="{047BBD04-01F4-4B93-8CA5-ACC19DDECA8C}" name="Column5397" dataDxfId="10957"/>
    <tableColumn id="5446" xr3:uid="{69818183-23B8-4977-8302-D77A91148D2B}" name="Column5398" dataDxfId="10956"/>
    <tableColumn id="5447" xr3:uid="{8D7D004D-1792-4C7B-95A0-A243733E0C9F}" name="Column5399" dataDxfId="10955"/>
    <tableColumn id="5448" xr3:uid="{652475E8-8326-4852-AEEB-20F303DF7870}" name="Column5400" dataDxfId="10954"/>
    <tableColumn id="5449" xr3:uid="{9828640A-A8B5-44A9-9FD1-02EAE07F1599}" name="Column5401" dataDxfId="10953"/>
    <tableColumn id="5450" xr3:uid="{90A8F7D8-88CB-41E5-8CC3-09ADEC464C74}" name="Column5402" dataDxfId="10952"/>
    <tableColumn id="5451" xr3:uid="{BD24CFEC-99E4-4D50-B16D-757BDF99D777}" name="Column5403" dataDxfId="10951"/>
    <tableColumn id="5452" xr3:uid="{8C6599A8-143A-4E10-B91C-63C1C4BDE323}" name="Column5404" dataDxfId="10950"/>
    <tableColumn id="5453" xr3:uid="{BF40DA9F-500E-45FB-8623-79EFD33F94E2}" name="Column5405" dataDxfId="10949"/>
    <tableColumn id="5454" xr3:uid="{5D71380E-4E81-4461-B778-D85C793008CE}" name="Column5406" dataDxfId="10948"/>
    <tableColumn id="5455" xr3:uid="{9A6EC64A-CAFE-42EF-8C3E-7468AE267FE5}" name="Column5407" dataDxfId="10947"/>
    <tableColumn id="5456" xr3:uid="{1E5956C0-14C8-4419-9A74-AF1AA04D14CD}" name="Column5408" dataDxfId="10946"/>
    <tableColumn id="5457" xr3:uid="{315BAD3B-DEB6-44B8-9D45-892C961A4BBF}" name="Column5409" dataDxfId="10945"/>
    <tableColumn id="5458" xr3:uid="{60AC0CEA-EA06-44F4-8E25-16CC8FD6FC27}" name="Column5410" dataDxfId="10944"/>
    <tableColumn id="5459" xr3:uid="{94C7BAFF-4F3C-4968-A29A-46124B9D6F8A}" name="Column5411" dataDxfId="10943"/>
    <tableColumn id="5460" xr3:uid="{C9583A85-B2D0-4A18-93C9-3A6F7B78EF8B}" name="Column5412" dataDxfId="10942"/>
    <tableColumn id="5461" xr3:uid="{B64C8B82-970C-45C2-96CE-6EFCA63459DB}" name="Column5413" dataDxfId="10941"/>
    <tableColumn id="5462" xr3:uid="{B3C946E0-F87E-4019-B7CB-05EBFD90BFCB}" name="Column5414" dataDxfId="10940"/>
    <tableColumn id="5463" xr3:uid="{39DFEAC5-07B5-499C-9190-D2042FFB698B}" name="Column5415" dataDxfId="10939"/>
    <tableColumn id="5464" xr3:uid="{55A1A366-6EE8-470E-9D69-E59415DC7CE2}" name="Column5416" dataDxfId="10938"/>
    <tableColumn id="5465" xr3:uid="{05339CAE-88AD-4583-ADFF-ED9AEC8FAB1C}" name="Column5417" dataDxfId="10937"/>
    <tableColumn id="5466" xr3:uid="{9B7C280F-EF0F-4E4E-9CC7-10498A0B6CD6}" name="Column5418" dataDxfId="10936"/>
    <tableColumn id="5467" xr3:uid="{50507BA3-C540-4417-A8EF-6789E057D924}" name="Column5419" dataDxfId="10935"/>
    <tableColumn id="5468" xr3:uid="{820E763E-FA5F-4A32-9362-BFBBB03DE553}" name="Column5420" dataDxfId="10934"/>
    <tableColumn id="5469" xr3:uid="{C526EDFA-98C9-4BB9-B52C-57BDA6DFA48F}" name="Column5421" dataDxfId="10933"/>
    <tableColumn id="5470" xr3:uid="{4C66A42E-8C7F-4368-A21A-376C0A695481}" name="Column5422" dataDxfId="10932"/>
    <tableColumn id="5471" xr3:uid="{B6E6F941-866E-4BFB-B933-37443C3A7543}" name="Column5423" dataDxfId="10931"/>
    <tableColumn id="5472" xr3:uid="{13D03C6B-8EDD-4453-B061-4C16C3192320}" name="Column5424" dataDxfId="10930"/>
    <tableColumn id="5473" xr3:uid="{88E0E48A-F147-410E-9D17-B5518403DAA6}" name="Column5425" dataDxfId="10929"/>
    <tableColumn id="5474" xr3:uid="{1CCCF35A-B736-4B0C-A5B7-285D2A6D3B18}" name="Column5426" dataDxfId="10928"/>
    <tableColumn id="5475" xr3:uid="{5B8C2619-ECDD-4E50-AD17-4062E8F9579B}" name="Column5427" dataDxfId="10927"/>
    <tableColumn id="5476" xr3:uid="{A915A43D-C16E-4C68-96B6-316B9C5C9191}" name="Column5428" dataDxfId="10926"/>
    <tableColumn id="5477" xr3:uid="{20420E07-1101-41FE-9872-799E449735BC}" name="Column5429" dataDxfId="10925"/>
    <tableColumn id="5478" xr3:uid="{6BBF262E-4B5C-4C8D-8F41-3ACF3A306954}" name="Column5430" dataDxfId="10924"/>
    <tableColumn id="5479" xr3:uid="{BF3C200C-90D0-472E-BAAD-D9C5847E22F7}" name="Column5431" dataDxfId="10923"/>
    <tableColumn id="5480" xr3:uid="{C463AE3B-D771-4E16-A368-4DF76A2960E7}" name="Column5432" dataDxfId="10922"/>
    <tableColumn id="5481" xr3:uid="{DA3DB39A-B540-467B-9E72-4992E164BEC8}" name="Column5433" dataDxfId="10921"/>
    <tableColumn id="5482" xr3:uid="{51C8E0C3-B41D-41B0-845F-34E42A3AC15C}" name="Column5434" dataDxfId="10920"/>
    <tableColumn id="5483" xr3:uid="{B9037B3C-7A75-4A9C-B7C7-B1575C0B9369}" name="Column5435" dataDxfId="10919"/>
    <tableColumn id="5484" xr3:uid="{75EA7424-9F01-490E-8784-AA4260FCA775}" name="Column5436" dataDxfId="10918"/>
    <tableColumn id="5485" xr3:uid="{438EC563-EAD8-4B15-8694-CCDA350AE810}" name="Column5437" dataDxfId="10917"/>
    <tableColumn id="5486" xr3:uid="{46726F56-49DA-431D-BF5B-B97EBB251EB7}" name="Column5438" dataDxfId="10916"/>
    <tableColumn id="5487" xr3:uid="{D0F5548C-CF11-4610-BB54-B44619A0F494}" name="Column5439" dataDxfId="10915"/>
    <tableColumn id="5488" xr3:uid="{74F1DAA4-2D12-499A-86EC-33995B70580C}" name="Column5440" dataDxfId="10914"/>
    <tableColumn id="5489" xr3:uid="{D2EB93D6-FAE3-4F2D-A59F-8DC14515388A}" name="Column5441" dataDxfId="10913"/>
    <tableColumn id="5490" xr3:uid="{DC2C63B4-7A35-4D23-8D6F-EC5604D10CC3}" name="Column5442" dataDxfId="10912"/>
    <tableColumn id="5491" xr3:uid="{5ABCB439-17BA-4777-BB83-7BBE3787AC15}" name="Column5443" dataDxfId="10911"/>
    <tableColumn id="5492" xr3:uid="{331B0AD7-DFAF-4697-BF84-8C4F062A622F}" name="Column5444" dataDxfId="10910"/>
    <tableColumn id="5493" xr3:uid="{E446A452-FAA1-4782-8F06-6D2DA4BBA97A}" name="Column5445" dataDxfId="10909"/>
    <tableColumn id="5494" xr3:uid="{8FF44681-5CAE-4326-A862-9947A5FA9CF2}" name="Column5446" dataDxfId="10908"/>
    <tableColumn id="5495" xr3:uid="{3193742C-3211-4A0F-8EE8-EF75C8EB0075}" name="Column5447" dataDxfId="10907"/>
    <tableColumn id="5496" xr3:uid="{617F9313-C3FB-4498-96CE-737ED0BD8D07}" name="Column5448" dataDxfId="10906"/>
    <tableColumn id="5497" xr3:uid="{15666E2B-4AAF-4B85-9C0B-03F614F7C52A}" name="Column5449" dataDxfId="10905"/>
    <tableColumn id="5498" xr3:uid="{0B78E906-2D1F-461D-B9B0-AF3E39A5D01D}" name="Column5450" dataDxfId="10904"/>
    <tableColumn id="5499" xr3:uid="{29CDA2B1-E25B-45D7-8342-B1CD4A9B69B0}" name="Column5451" dataDxfId="10903"/>
    <tableColumn id="5500" xr3:uid="{49B26CA6-9D6E-4B88-9BB0-844A8DB45B80}" name="Column5452" dataDxfId="10902"/>
    <tableColumn id="5501" xr3:uid="{FE29F156-987B-4DFE-BA08-6D157BA2AB77}" name="Column5453" dataDxfId="10901"/>
    <tableColumn id="5502" xr3:uid="{7853E844-8CA2-44FF-98E9-6E407AAE3518}" name="Column5454" dataDxfId="10900"/>
    <tableColumn id="5503" xr3:uid="{47AE2F82-F19D-46D2-9F91-B869A04A9847}" name="Column5455" dataDxfId="10899"/>
    <tableColumn id="5504" xr3:uid="{3BC63122-2BCE-4A10-8D47-3AE1BB81B768}" name="Column5456" dataDxfId="10898"/>
    <tableColumn id="5505" xr3:uid="{64E77A2D-D19A-47FC-BAD3-47B545285BD8}" name="Column5457" dataDxfId="10897"/>
    <tableColumn id="5506" xr3:uid="{EDEAF0BC-B20A-4C45-99CF-AAC9398DFDC3}" name="Column5458" dataDxfId="10896"/>
    <tableColumn id="5507" xr3:uid="{A3AC0533-0167-456F-AB5D-8F824B162B3D}" name="Column5459" dataDxfId="10895"/>
    <tableColumn id="5508" xr3:uid="{94F111EF-297C-40DB-9431-337B3E3E7847}" name="Column5460" dataDxfId="10894"/>
    <tableColumn id="5509" xr3:uid="{6DAA7DE8-E939-46BC-9563-2246B8186BB6}" name="Column5461" dataDxfId="10893"/>
    <tableColumn id="5510" xr3:uid="{FB62AECA-74B2-4D27-84EA-4EB6FD4F0ED5}" name="Column5462" dataDxfId="10892"/>
    <tableColumn id="5511" xr3:uid="{FA8D0009-D89D-4A24-B491-5863500C44EB}" name="Column5463" dataDxfId="10891"/>
    <tableColumn id="5512" xr3:uid="{064A0652-0251-4FD9-978E-3E26F10AC99B}" name="Column5464" dataDxfId="10890"/>
    <tableColumn id="5513" xr3:uid="{4811B1BD-4D09-407C-9D11-E2697B75D6B6}" name="Column5465" dataDxfId="10889"/>
    <tableColumn id="5514" xr3:uid="{A9C76823-2609-40E0-8D80-B6E81CFF4201}" name="Column5466" dataDxfId="10888"/>
    <tableColumn id="5515" xr3:uid="{F704DDDA-FD0C-4F84-A0A9-02FEE66E35CE}" name="Column5467" dataDxfId="10887"/>
    <tableColumn id="5516" xr3:uid="{A1098EF0-C5FB-4EA4-8114-8C6B7A5D008D}" name="Column5468" dataDxfId="10886"/>
    <tableColumn id="5517" xr3:uid="{043BDB0A-1F7A-4915-90F4-7A8A1607DA8C}" name="Column5469" dataDxfId="10885"/>
    <tableColumn id="5518" xr3:uid="{72D75982-284D-420F-BDB2-5447C90089DC}" name="Column5470" dataDxfId="10884"/>
    <tableColumn id="5519" xr3:uid="{05EAE836-7159-4F94-9D0F-2D3FDD4EB5C2}" name="Column5471" dataDxfId="10883"/>
    <tableColumn id="5520" xr3:uid="{7BD720EE-06F5-4B56-8815-2DB0C956A1B4}" name="Column5472" dataDxfId="10882"/>
    <tableColumn id="5521" xr3:uid="{20C3EDFB-FA4C-4749-9608-A21766E36189}" name="Column5473" dataDxfId="10881"/>
    <tableColumn id="5522" xr3:uid="{0C5FD6C9-D269-432C-8ED3-1A23FEB8F810}" name="Column5474" dataDxfId="10880"/>
    <tableColumn id="5523" xr3:uid="{F35A9BAA-8818-407A-A285-A00B66209FD9}" name="Column5475" dataDxfId="10879"/>
    <tableColumn id="5524" xr3:uid="{D2E7A0BD-5229-474D-845C-A92AC2C23A93}" name="Column5476" dataDxfId="10878"/>
    <tableColumn id="5525" xr3:uid="{6673246B-0F37-490C-B442-40D719676108}" name="Column5477" dataDxfId="10877"/>
    <tableColumn id="5526" xr3:uid="{DA9E8198-A21D-472C-995E-78386ED85418}" name="Column5478" dataDxfId="10876"/>
    <tableColumn id="5527" xr3:uid="{78B6C953-4424-4179-BF11-8B13623EDC0B}" name="Column5479" dataDxfId="10875"/>
    <tableColumn id="5528" xr3:uid="{792A4639-758B-413A-B08D-FC9BABCF52FD}" name="Column5480" dataDxfId="10874"/>
    <tableColumn id="5529" xr3:uid="{8541E407-0A96-4E61-ADD9-337807ACE3CC}" name="Column5481" dataDxfId="10873"/>
    <tableColumn id="5530" xr3:uid="{21265F98-74EC-4B08-9B55-1ACB3CAA8E97}" name="Column5482" dataDxfId="10872"/>
    <tableColumn id="5531" xr3:uid="{34AC0AB3-6465-466C-8C80-CF350A1E0D8B}" name="Column5483" dataDxfId="10871"/>
    <tableColumn id="5532" xr3:uid="{2A1BB7DB-A112-4DE8-A9AF-85007FAC74A9}" name="Column5484" dataDxfId="10870"/>
    <tableColumn id="5533" xr3:uid="{76C3823E-0D82-4C4F-8532-0BC90C4D1F64}" name="Column5485" dataDxfId="10869"/>
    <tableColumn id="5534" xr3:uid="{8C16A384-78C1-4FD0-8A38-AB0A0DAD961D}" name="Column5486" dataDxfId="10868"/>
    <tableColumn id="5535" xr3:uid="{6A8253E6-5AA9-4B22-A927-403C2E7C5D3B}" name="Column5487" dataDxfId="10867"/>
    <tableColumn id="5536" xr3:uid="{938D2CEE-4E83-4ED6-9D85-CCE883BFB7E4}" name="Column5488" dataDxfId="10866"/>
    <tableColumn id="5537" xr3:uid="{8602FD94-CD45-40DD-BBE9-E72FDE95F086}" name="Column5489" dataDxfId="10865"/>
    <tableColumn id="5538" xr3:uid="{4BF79632-EB91-4E5B-89F6-E8DF093E05B1}" name="Column5490" dataDxfId="10864"/>
    <tableColumn id="5539" xr3:uid="{803ACDA3-0613-488D-9326-E21739EABDF4}" name="Column5491" dataDxfId="10863"/>
    <tableColumn id="5540" xr3:uid="{AFDE0193-9EB2-4563-9C1C-AAD98003A9DC}" name="Column5492" dataDxfId="10862"/>
    <tableColumn id="5541" xr3:uid="{830E62D5-3E12-41F2-80BD-15DA7AB6793D}" name="Column5493" dataDxfId="10861"/>
    <tableColumn id="5542" xr3:uid="{A43DB932-82CA-4238-A350-4085428C96F2}" name="Column5494" dataDxfId="10860"/>
    <tableColumn id="5543" xr3:uid="{09331656-E7B7-4DBA-9574-D3A5FBA9E14D}" name="Column5495" dataDxfId="10859"/>
    <tableColumn id="5544" xr3:uid="{57243DA3-3C3E-420B-8373-E585BEA04B1F}" name="Column5496" dataDxfId="10858"/>
    <tableColumn id="5545" xr3:uid="{321DFDC4-D6AA-419D-9F44-EEA404F27F35}" name="Column5497" dataDxfId="10857"/>
    <tableColumn id="5546" xr3:uid="{DA0B2C9D-6219-45DE-89B0-713B4ABD238B}" name="Column5498" dataDxfId="10856"/>
    <tableColumn id="5547" xr3:uid="{26CEAE24-13ED-4C4D-A053-8ABDCE96A10C}" name="Column5499" dataDxfId="10855"/>
    <tableColumn id="5548" xr3:uid="{D8AC8EC9-4C78-4969-AB56-76BDC5DCF6AA}" name="Column5500" dataDxfId="10854"/>
    <tableColumn id="5549" xr3:uid="{10CC786F-223C-4E88-B776-CBC523A5CF87}" name="Column5501" dataDxfId="10853"/>
    <tableColumn id="5550" xr3:uid="{6660117E-CB20-473A-8C92-569E8D4DA3B7}" name="Column5502" dataDxfId="10852"/>
    <tableColumn id="5551" xr3:uid="{20D0FD17-D9C4-4910-877F-77FC58B061EA}" name="Column5503" dataDxfId="10851"/>
    <tableColumn id="5552" xr3:uid="{24BA1596-243F-4EB7-9E68-BD5D69754935}" name="Column5504" dataDxfId="10850"/>
    <tableColumn id="5553" xr3:uid="{F8884920-51C6-4DFB-B088-01284272D560}" name="Column5505" dataDxfId="10849"/>
    <tableColumn id="5554" xr3:uid="{F0AA901A-8AAB-4AEB-911C-92E739D9314B}" name="Column5506" dataDxfId="10848"/>
    <tableColumn id="5555" xr3:uid="{156851EB-1DCC-4142-A798-5924AEBAB78B}" name="Column5507" dataDxfId="10847"/>
    <tableColumn id="5556" xr3:uid="{304F2CD1-0C07-4009-BDD1-8C869144BC75}" name="Column5508" dataDxfId="10846"/>
    <tableColumn id="5557" xr3:uid="{4011D8D6-2511-4DEC-B097-1B99E7DEF477}" name="Column5509" dataDxfId="10845"/>
    <tableColumn id="5558" xr3:uid="{69001D07-E3BA-413B-8E27-186F10C8DBE6}" name="Column5510" dataDxfId="10844"/>
    <tableColumn id="5559" xr3:uid="{4F8648E7-D640-4E78-9AAA-8A673E51E536}" name="Column5511" dataDxfId="10843"/>
    <tableColumn id="5560" xr3:uid="{61D6E17E-53BE-48DC-B8E2-A4FFAABB2D2D}" name="Column5512" dataDxfId="10842"/>
    <tableColumn id="5561" xr3:uid="{4B6B3985-F0CB-43AD-AA4A-AD0EB77DE985}" name="Column5513" dataDxfId="10841"/>
    <tableColumn id="5562" xr3:uid="{6915CE01-ED97-4D37-8EDA-7C7409CA1061}" name="Column5514" dataDxfId="10840"/>
    <tableColumn id="5563" xr3:uid="{0B895A56-59C0-4FEB-9695-216BFB58CCE6}" name="Column5515" dataDxfId="10839"/>
    <tableColumn id="5564" xr3:uid="{94D4C6AB-CB6B-4B43-A660-7366CEE0DACE}" name="Column5516" dataDxfId="10838"/>
    <tableColumn id="5565" xr3:uid="{071FFF47-C65C-4936-BA04-06CC1CBFE1FB}" name="Column5517" dataDxfId="10837"/>
    <tableColumn id="5566" xr3:uid="{FD784DE5-E55B-40A1-B04C-35E934B94FDC}" name="Column5518" dataDxfId="10836"/>
    <tableColumn id="5567" xr3:uid="{B67A423E-5162-4077-8386-5BE66709167C}" name="Column5519" dataDxfId="10835"/>
    <tableColumn id="5568" xr3:uid="{6C51D424-C365-465D-997F-2B271F546EC2}" name="Column5520" dataDxfId="10834"/>
    <tableColumn id="5569" xr3:uid="{10746907-4072-452F-AB15-9D94CD15AA31}" name="Column5521" dataDxfId="10833"/>
    <tableColumn id="5570" xr3:uid="{2569B807-5AC4-480F-9FF8-3C6632A2C761}" name="Column5522" dataDxfId="10832"/>
    <tableColumn id="5571" xr3:uid="{64A764C2-5772-410F-A2A2-9274FFC2FB0C}" name="Column5523" dataDxfId="10831"/>
    <tableColumn id="5572" xr3:uid="{4560886E-9284-4E30-B3F3-3C79D5BAF3E8}" name="Column5524" dataDxfId="10830"/>
    <tableColumn id="5573" xr3:uid="{5E424104-C157-4A03-B333-9D1E6DE13117}" name="Column5525" dataDxfId="10829"/>
    <tableColumn id="5574" xr3:uid="{F487EADC-D552-4090-99E8-CCAD231A7904}" name="Column5526" dataDxfId="10828"/>
    <tableColumn id="5575" xr3:uid="{18AF49EC-E6BC-4693-A317-2DCC824DE157}" name="Column5527" dataDxfId="10827"/>
    <tableColumn id="5576" xr3:uid="{FBCB493D-CFF6-49B4-B4AF-E52D9F7AA266}" name="Column5528" dataDxfId="10826"/>
    <tableColumn id="5577" xr3:uid="{FA2B8B80-F06D-408A-92AA-FF68797F89D5}" name="Column5529" dataDxfId="10825"/>
    <tableColumn id="5578" xr3:uid="{4181578E-DF74-469B-AE20-B7136019F3F5}" name="Column5530" dataDxfId="10824"/>
    <tableColumn id="5579" xr3:uid="{6D82F08E-27B6-4B46-8A2F-7BB16B338F13}" name="Column5531" dataDxfId="10823"/>
    <tableColumn id="5580" xr3:uid="{9DD322B2-9886-483E-B120-A7950CA451DF}" name="Column5532" dataDxfId="10822"/>
    <tableColumn id="5581" xr3:uid="{9779295D-8D7F-4590-8805-2CB033B6AFE7}" name="Column5533" dataDxfId="10821"/>
    <tableColumn id="5582" xr3:uid="{13B01083-127C-43C1-9E1B-F3D56E35C4E4}" name="Column5534" dataDxfId="10820"/>
    <tableColumn id="5583" xr3:uid="{9AE9C94C-0F05-43B3-94E1-5CEE28BE23DC}" name="Column5535" dataDxfId="10819"/>
    <tableColumn id="5584" xr3:uid="{9019C144-9B7E-4D00-BB0E-DE636081F5F5}" name="Column5536" dataDxfId="10818"/>
    <tableColumn id="5585" xr3:uid="{1CED0A45-2567-4B49-A2F4-694083CE0C1C}" name="Column5537" dataDxfId="10817"/>
    <tableColumn id="5586" xr3:uid="{672BF42B-0618-460F-9240-BDD4AC4E969F}" name="Column5538" dataDxfId="10816"/>
    <tableColumn id="5587" xr3:uid="{25386960-B251-43D6-B784-697B5DD70E30}" name="Column5539" dataDxfId="10815"/>
    <tableColumn id="5588" xr3:uid="{AE22F6E4-EC9A-4FC5-A920-C0AD48E54908}" name="Column5540" dataDxfId="10814"/>
    <tableColumn id="5589" xr3:uid="{88E7D314-6C3F-47A1-A924-C78BADBC1D06}" name="Column5541" dataDxfId="10813"/>
    <tableColumn id="5590" xr3:uid="{915B79C3-06E3-4A08-902B-827A8FCA0979}" name="Column5542" dataDxfId="10812"/>
    <tableColumn id="5591" xr3:uid="{A6DAA219-553D-4A6F-A5A6-83F89E99A359}" name="Column5543" dataDxfId="10811"/>
    <tableColumn id="5592" xr3:uid="{99ADC3D9-ED8A-4FE8-8B01-83EAA6A04E1C}" name="Column5544" dataDxfId="10810"/>
    <tableColumn id="5593" xr3:uid="{1105C412-FD9B-42C8-BE17-30E5CFAC6B62}" name="Column5545" dataDxfId="10809"/>
    <tableColumn id="5594" xr3:uid="{6627EF0A-FFBC-4723-951E-0B690A71BEFE}" name="Column5546" dataDxfId="10808"/>
    <tableColumn id="5595" xr3:uid="{BAA2F198-136B-411A-9159-8F0695951B94}" name="Column5547" dataDxfId="10807"/>
    <tableColumn id="5596" xr3:uid="{0D922800-0FA7-4884-964E-E0B5A6B4D4EC}" name="Column5548" dataDxfId="10806"/>
    <tableColumn id="5597" xr3:uid="{0D46AC19-042D-4223-9F87-BCDF0F379567}" name="Column5549" dataDxfId="10805"/>
    <tableColumn id="5598" xr3:uid="{EDBA66A5-2E1C-463E-B0E2-AFB142DEE78B}" name="Column5550" dataDxfId="10804"/>
    <tableColumn id="5599" xr3:uid="{3C60A3AF-0E30-4070-8C8C-78487DC1FF8C}" name="Column5551" dataDxfId="10803"/>
    <tableColumn id="5600" xr3:uid="{6D60CE56-112D-4264-8D01-33803FDB498C}" name="Column5552" dataDxfId="10802"/>
    <tableColumn id="5601" xr3:uid="{EC3108EC-EBA3-43EF-82A5-C00917D3F54E}" name="Column5553" dataDxfId="10801"/>
    <tableColumn id="5602" xr3:uid="{7C4F85B7-D21D-4BDD-94E2-30266C47DB84}" name="Column5554" dataDxfId="10800"/>
    <tableColumn id="5603" xr3:uid="{CEABF2A3-BFAB-413A-BF25-3B6B03ECB5A5}" name="Column5555" dataDxfId="10799"/>
    <tableColumn id="5604" xr3:uid="{1F485C52-B919-460A-8B76-1EE696348107}" name="Column5556" dataDxfId="10798"/>
    <tableColumn id="5605" xr3:uid="{7ED62916-91B7-4F6A-8BAC-A3650DBFD1EE}" name="Column5557" dataDxfId="10797"/>
    <tableColumn id="5606" xr3:uid="{9E1C7533-054E-418A-A23B-93C138CD06F9}" name="Column5558" dataDxfId="10796"/>
    <tableColumn id="5607" xr3:uid="{D703E574-AAD1-497E-A4AD-CF916AF5A84F}" name="Column5559" dataDxfId="10795"/>
    <tableColumn id="5608" xr3:uid="{AEAF78BB-9359-42B1-B3DF-60C19B3AFEB3}" name="Column5560" dataDxfId="10794"/>
    <tableColumn id="5609" xr3:uid="{7BD88F51-6C07-4BE4-B31C-D2DD9D8FD383}" name="Column5561" dataDxfId="10793"/>
    <tableColumn id="5610" xr3:uid="{59B9B4A0-0E77-46C2-9563-62C828DCC7FC}" name="Column5562" dataDxfId="10792"/>
    <tableColumn id="5611" xr3:uid="{198AC1C8-9D32-4CD4-8856-9D34B70DDAB6}" name="Column5563" dataDxfId="10791"/>
    <tableColumn id="5612" xr3:uid="{DC22AEEC-5583-4322-9702-C9CC93651882}" name="Column5564" dataDxfId="10790"/>
    <tableColumn id="5613" xr3:uid="{A075493B-4870-4ACC-99AC-C8CEB5DF8270}" name="Column5565" dataDxfId="10789"/>
    <tableColumn id="5614" xr3:uid="{241FB26E-2C93-4886-81F0-C3998C711EE6}" name="Column5566" dataDxfId="10788"/>
    <tableColumn id="5615" xr3:uid="{ED55D9D2-F912-4439-B182-902D0FC34B40}" name="Column5567" dataDxfId="10787"/>
    <tableColumn id="5616" xr3:uid="{0B00A5B4-A7ED-4594-8105-CEE6B8A6CBBC}" name="Column5568" dataDxfId="10786"/>
    <tableColumn id="5617" xr3:uid="{B55F0190-C5FD-443E-806D-5945EE459F86}" name="Column5569" dataDxfId="10785"/>
    <tableColumn id="5618" xr3:uid="{A4321CCE-C240-4F49-980E-3FCA52FDF6DB}" name="Column5570" dataDxfId="10784"/>
    <tableColumn id="5619" xr3:uid="{517D4A8C-3378-4BD8-AC4B-7D1049A8958E}" name="Column5571" dataDxfId="10783"/>
    <tableColumn id="5620" xr3:uid="{C4A75AED-9886-45CD-85E0-15C82A522161}" name="Column5572" dataDxfId="10782"/>
    <tableColumn id="5621" xr3:uid="{C8FC365C-CAD8-465A-9150-2ADCB5CCA098}" name="Column5573" dataDxfId="10781"/>
    <tableColumn id="5622" xr3:uid="{07BFAEDD-E230-431D-B1C5-A29AD6779877}" name="Column5574" dataDxfId="10780"/>
    <tableColumn id="5623" xr3:uid="{A6E68CD1-3810-40A1-8AEF-660346844178}" name="Column5575" dataDxfId="10779"/>
    <tableColumn id="5624" xr3:uid="{D7096114-6BB9-46AA-9622-FB654C6A2299}" name="Column5576" dataDxfId="10778"/>
    <tableColumn id="5625" xr3:uid="{380B9E24-28A9-4FE2-99F5-A85D7334997C}" name="Column5577" dataDxfId="10777"/>
    <tableColumn id="5626" xr3:uid="{9C5EA93A-309E-466C-A6CD-3548BA2E0BDE}" name="Column5578" dataDxfId="10776"/>
    <tableColumn id="5627" xr3:uid="{B422BD25-AF23-4CF6-8FCB-7C66AFCB0349}" name="Column5579" dataDxfId="10775"/>
    <tableColumn id="5628" xr3:uid="{2CA45617-C6C2-4F6F-8E12-ACB76E2E5E8D}" name="Column5580" dataDxfId="10774"/>
    <tableColumn id="5629" xr3:uid="{5F6B7753-2294-4CB4-AD55-302614444677}" name="Column5581" dataDxfId="10773"/>
    <tableColumn id="5630" xr3:uid="{FF805799-0383-45B8-917E-CF832E7BDDD0}" name="Column5582" dataDxfId="10772"/>
    <tableColumn id="5631" xr3:uid="{44F5702A-2193-4C0F-8733-EDBB236805F8}" name="Column5583" dataDxfId="10771"/>
    <tableColumn id="5632" xr3:uid="{2E2229D0-71E2-4629-BC2F-A8B4D64E3FFE}" name="Column5584" dataDxfId="10770"/>
    <tableColumn id="5633" xr3:uid="{17E90859-BF60-4B71-9B89-4265ADB52694}" name="Column5585" dataDxfId="10769"/>
    <tableColumn id="5634" xr3:uid="{CFDE199F-4E1F-4E54-9AD0-53EBBA7467D1}" name="Column5586" dataDxfId="10768"/>
    <tableColumn id="5635" xr3:uid="{4B369F95-8841-41E5-B97C-CE7A6717A740}" name="Column5587" dataDxfId="10767"/>
    <tableColumn id="5636" xr3:uid="{50FCE18A-E766-4580-A5C8-7217047D5431}" name="Column5588" dataDxfId="10766"/>
    <tableColumn id="5637" xr3:uid="{BC6F4154-810C-49D6-AF7A-489180D87071}" name="Column5589" dataDxfId="10765"/>
    <tableColumn id="5638" xr3:uid="{73E58AF4-F42A-4954-853E-40CEF0285851}" name="Column5590" dataDxfId="10764"/>
    <tableColumn id="5639" xr3:uid="{514EB244-A8E7-4BA3-BBFB-E25C37005A46}" name="Column5591" dataDxfId="10763"/>
    <tableColumn id="5640" xr3:uid="{A78F9BA0-0096-424C-A2FD-AA345B30FC6C}" name="Column5592" dataDxfId="10762"/>
    <tableColumn id="5641" xr3:uid="{E035913C-27DB-4543-9072-02E3138F17BC}" name="Column5593" dataDxfId="10761"/>
    <tableColumn id="5642" xr3:uid="{6E24B337-2BC9-4967-86D8-E64F91137D97}" name="Column5594" dataDxfId="10760"/>
    <tableColumn id="5643" xr3:uid="{E19FC4F7-C783-49CA-BCD5-716D965A5A5F}" name="Column5595" dataDxfId="10759"/>
    <tableColumn id="5644" xr3:uid="{C59CAF15-3E33-487C-BD9B-BD069BB78F26}" name="Column5596" dataDxfId="10758"/>
    <tableColumn id="5645" xr3:uid="{AF1EBD91-752C-4A33-A692-513B26964966}" name="Column5597" dataDxfId="10757"/>
    <tableColumn id="5646" xr3:uid="{CE948A11-0B97-42F6-BA4F-68E87F98BB81}" name="Column5598" dataDxfId="10756"/>
    <tableColumn id="5647" xr3:uid="{850AEBA4-066E-4624-8EEC-13EE78814695}" name="Column5599" dataDxfId="10755"/>
    <tableColumn id="5648" xr3:uid="{FAE9CA2E-51E6-4BE2-834C-999E980D1819}" name="Column5600" dataDxfId="10754"/>
    <tableColumn id="5649" xr3:uid="{419DD0E3-4529-42DF-BC21-3881741584DC}" name="Column5601" dataDxfId="10753"/>
    <tableColumn id="5650" xr3:uid="{C0767BBA-7720-47B5-8587-D9912543B145}" name="Column5602" dataDxfId="10752"/>
    <tableColumn id="5651" xr3:uid="{750C0A9B-F606-4BE0-8CEB-7DA946EEAA50}" name="Column5603" dataDxfId="10751"/>
    <tableColumn id="5652" xr3:uid="{28B889B8-A21A-4D4D-AC05-B0534179E11A}" name="Column5604" dataDxfId="10750"/>
    <tableColumn id="5653" xr3:uid="{58B2F9E4-8392-4645-8213-BA4AC7DC8909}" name="Column5605" dataDxfId="10749"/>
    <tableColumn id="5654" xr3:uid="{090826E1-AA41-4EA1-B185-75A50D25FAD1}" name="Column5606" dataDxfId="10748"/>
    <tableColumn id="5655" xr3:uid="{E4D4EAE6-72CE-425F-9178-47C589C6FEFE}" name="Column5607" dataDxfId="10747"/>
    <tableColumn id="5656" xr3:uid="{798BA2C2-F619-400D-8F68-83ADA666E0DE}" name="Column5608" dataDxfId="10746"/>
    <tableColumn id="5657" xr3:uid="{6EED7372-C363-49C8-A70C-431C02CAC676}" name="Column5609" dataDxfId="10745"/>
    <tableColumn id="5658" xr3:uid="{3D1E10C9-2205-4A88-9A24-AF8122A44CFC}" name="Column5610" dataDxfId="10744"/>
    <tableColumn id="5659" xr3:uid="{CE6D16B0-0955-496A-8050-AFB32C58EA24}" name="Column5611" dataDxfId="10743"/>
    <tableColumn id="5660" xr3:uid="{F02C2B38-F059-491F-82AD-617D4C717E52}" name="Column5612" dataDxfId="10742"/>
    <tableColumn id="5661" xr3:uid="{ED69DA75-A0D8-4819-8A26-99BB0A0A4C62}" name="Column5613" dataDxfId="10741"/>
    <tableColumn id="5662" xr3:uid="{AF738A3E-84C7-4EFD-BFE3-28A648069DE4}" name="Column5614" dataDxfId="10740"/>
    <tableColumn id="5663" xr3:uid="{06F7A315-2094-41A4-947D-CF3FA37C2EBC}" name="Column5615" dataDxfId="10739"/>
    <tableColumn id="5664" xr3:uid="{99621ED1-16A5-42C2-8705-95D2CF152AFF}" name="Column5616" dataDxfId="10738"/>
    <tableColumn id="5665" xr3:uid="{8C50C394-8770-4AF4-8F2B-8B7451AAF72C}" name="Column5617" dataDxfId="10737"/>
    <tableColumn id="5666" xr3:uid="{02AFA9B7-A0BB-4A12-AECB-48EC1D31152F}" name="Column5618" dataDxfId="10736"/>
    <tableColumn id="5667" xr3:uid="{1B32330E-3BAC-479D-B220-F6A86F288056}" name="Column5619" dataDxfId="10735"/>
    <tableColumn id="5668" xr3:uid="{1B268E09-469B-459E-A36B-83383A2F2E5E}" name="Column5620" dataDxfId="10734"/>
    <tableColumn id="5669" xr3:uid="{D75C854E-8CBA-47B5-BB85-1369FBA5E99C}" name="Column5621" dataDxfId="10733"/>
    <tableColumn id="5670" xr3:uid="{CEE05435-11FF-4F16-927F-438B441CFF15}" name="Column5622" dataDxfId="10732"/>
    <tableColumn id="5671" xr3:uid="{C7461A0D-31A9-4406-9C64-DEA26DBE6A30}" name="Column5623" dataDxfId="10731"/>
    <tableColumn id="5672" xr3:uid="{AD82928C-4236-48CD-B4ED-4BE2709D0A62}" name="Column5624" dataDxfId="10730"/>
    <tableColumn id="5673" xr3:uid="{9C02F3E5-351C-4F5A-999D-DFF84DE6BE5C}" name="Column5625" dataDxfId="10729"/>
    <tableColumn id="5674" xr3:uid="{67F9D43F-F8A9-4FFE-8A93-4DAFAD4C3813}" name="Column5626" dataDxfId="10728"/>
    <tableColumn id="5675" xr3:uid="{1D2B1F0D-BEA5-4E76-A8B5-4BBF56610A17}" name="Column5627" dataDxfId="10727"/>
    <tableColumn id="5676" xr3:uid="{9393308B-E4E1-4C89-91AD-C30DFA9C3A1E}" name="Column5628" dataDxfId="10726"/>
    <tableColumn id="5677" xr3:uid="{9EFD2981-42A3-47A4-8ECA-9C9138ABAA26}" name="Column5629" dataDxfId="10725"/>
    <tableColumn id="5678" xr3:uid="{9C8E753C-2D16-403E-BEE5-C2879A12D7DC}" name="Column5630" dataDxfId="10724"/>
    <tableColumn id="5679" xr3:uid="{BB7212FB-59C5-4E40-8B1D-F53356AEC1E7}" name="Column5631" dataDxfId="10723"/>
    <tableColumn id="5680" xr3:uid="{FF95EF5A-0CFA-4FD0-A8AE-415B4E798F78}" name="Column5632" dataDxfId="10722"/>
    <tableColumn id="5681" xr3:uid="{EED242CF-9446-475A-997F-2A723A1A4715}" name="Column5633" dataDxfId="10721"/>
    <tableColumn id="5682" xr3:uid="{F9A61D7A-46DA-42D1-8025-594443002469}" name="Column5634" dataDxfId="10720"/>
    <tableColumn id="5683" xr3:uid="{C6B15A73-376F-42A4-BA56-58072CDF67EE}" name="Column5635" dataDxfId="10719"/>
    <tableColumn id="5684" xr3:uid="{6C5CF37E-62BA-45A2-9BD2-BFB3038367D1}" name="Column5636" dataDxfId="10718"/>
    <tableColumn id="5685" xr3:uid="{694B24E9-89DF-45B9-B742-D6A1D2D9640A}" name="Column5637" dataDxfId="10717"/>
    <tableColumn id="5686" xr3:uid="{D98925F3-170F-4A41-B254-7C61056B133E}" name="Column5638" dataDxfId="10716"/>
    <tableColumn id="5687" xr3:uid="{6117BCF1-1A90-4E9B-A4DB-F4C7BFAC94D4}" name="Column5639" dataDxfId="10715"/>
    <tableColumn id="5688" xr3:uid="{434FB7A9-5C14-4D18-AB1C-7F9039C7FDC3}" name="Column5640" dataDxfId="10714"/>
    <tableColumn id="5689" xr3:uid="{A84730E4-9FCF-40D3-9D36-4BF2E766BFAE}" name="Column5641" dataDxfId="10713"/>
    <tableColumn id="5690" xr3:uid="{550DDAA3-5B80-4147-93D3-DF9486FCBA34}" name="Column5642" dataDxfId="10712"/>
    <tableColumn id="5691" xr3:uid="{60014BC7-96AF-48A1-9C5C-F40AF08797FE}" name="Column5643" dataDxfId="10711"/>
    <tableColumn id="5692" xr3:uid="{BAE31EE8-053D-4406-BA16-9270EB1D1FE9}" name="Column5644" dataDxfId="10710"/>
    <tableColumn id="5693" xr3:uid="{4458790A-E460-4084-BFEF-E308B0C6163E}" name="Column5645" dataDxfId="10709"/>
    <tableColumn id="5694" xr3:uid="{FD47DB27-BE05-49B3-9588-8306E5506DAB}" name="Column5646" dataDxfId="10708"/>
    <tableColumn id="5695" xr3:uid="{26B29618-D538-4F30-8B98-9A0C0AE783DA}" name="Column5647" dataDxfId="10707"/>
    <tableColumn id="5696" xr3:uid="{B11B00F9-09EF-4921-AB9C-EECA8EB71F7B}" name="Column5648" dataDxfId="10706"/>
    <tableColumn id="5697" xr3:uid="{7CA82BCC-B46C-4107-8283-4DDFA0A5DD74}" name="Column5649" dataDxfId="10705"/>
    <tableColumn id="5698" xr3:uid="{8F4F6CF6-7318-40A5-955F-4642C19430B2}" name="Column5650" dataDxfId="10704"/>
    <tableColumn id="5699" xr3:uid="{68DECE76-B4D5-4176-BEDC-65F570DCA81B}" name="Column5651" dataDxfId="10703"/>
    <tableColumn id="5700" xr3:uid="{D1B20E75-580C-4F93-A820-4A139EAF99C0}" name="Column5652" dataDxfId="10702"/>
    <tableColumn id="5701" xr3:uid="{793D4346-390A-47BD-99E4-7907B24E348E}" name="Column5653" dataDxfId="10701"/>
    <tableColumn id="5702" xr3:uid="{1DD8BB92-0FD0-4D38-9374-B97DAB8DF2BA}" name="Column5654" dataDxfId="10700"/>
    <tableColumn id="5703" xr3:uid="{6CECC946-F3B1-4F58-989F-A6CAEA520736}" name="Column5655" dataDxfId="10699"/>
    <tableColumn id="5704" xr3:uid="{D5F2B16C-68AB-4564-8A3C-DAD81E631687}" name="Column5656" dataDxfId="10698"/>
    <tableColumn id="5705" xr3:uid="{354740CC-C3A3-4821-8646-44637D6A5440}" name="Column5657" dataDxfId="10697"/>
    <tableColumn id="5706" xr3:uid="{F0EFF465-1950-4879-AFAE-7B798092A458}" name="Column5658" dataDxfId="10696"/>
    <tableColumn id="5707" xr3:uid="{3E73B344-C308-49A5-973A-FFC180ABFE1A}" name="Column5659" dataDxfId="10695"/>
    <tableColumn id="5708" xr3:uid="{13D233BB-F2B5-402F-89B4-B530C0E2F482}" name="Column5660" dataDxfId="10694"/>
    <tableColumn id="5709" xr3:uid="{F8867515-1DD9-4C60-8DBF-E0B78BFB85B4}" name="Column5661" dataDxfId="10693"/>
    <tableColumn id="5710" xr3:uid="{4CABC173-6CDE-4D83-B93F-4640E28CCCEE}" name="Column5662" dataDxfId="10692"/>
    <tableColumn id="5711" xr3:uid="{42467EA5-2876-470C-84CC-69EE5E58BFC6}" name="Column5663" dataDxfId="10691"/>
    <tableColumn id="5712" xr3:uid="{0B62F172-8F6D-419B-80C4-72C9626B8AF5}" name="Column5664" dataDxfId="10690"/>
    <tableColumn id="5713" xr3:uid="{D59FE6A2-EFE2-43B8-99B3-6DC583563774}" name="Column5665" dataDxfId="10689"/>
    <tableColumn id="5714" xr3:uid="{19BA6519-3F34-484B-A54A-BF2A6ACAA7DC}" name="Column5666" dataDxfId="10688"/>
    <tableColumn id="5715" xr3:uid="{AA8947AC-44B7-43FF-B70D-BE121584A6B6}" name="Column5667" dataDxfId="10687"/>
    <tableColumn id="5716" xr3:uid="{D07AADFC-64E1-4D38-A84D-15E59DF42524}" name="Column5668" dataDxfId="10686"/>
    <tableColumn id="5717" xr3:uid="{23769BA9-0372-4444-84EA-DC87F8E7A90F}" name="Column5669" dataDxfId="10685"/>
    <tableColumn id="5718" xr3:uid="{B3E22EDA-2D14-400D-B358-9F0BBDDB97E1}" name="Column5670" dataDxfId="10684"/>
    <tableColumn id="5719" xr3:uid="{B70747CC-52AD-4EEC-9BF3-280192EB5A4E}" name="Column5671" dataDxfId="10683"/>
    <tableColumn id="5720" xr3:uid="{5248ABBD-D415-4866-8932-FA4442F42E9B}" name="Column5672" dataDxfId="10682"/>
    <tableColumn id="5721" xr3:uid="{3A66A22B-47AD-4DE9-A545-9F5882324BC3}" name="Column5673" dataDxfId="10681"/>
    <tableColumn id="5722" xr3:uid="{6341E290-A647-4BB6-9C07-E70E4FBAAFD1}" name="Column5674" dataDxfId="10680"/>
    <tableColumn id="5723" xr3:uid="{AD5B3FB8-CA6E-442C-86AF-F52675CD173F}" name="Column5675" dataDxfId="10679"/>
    <tableColumn id="5724" xr3:uid="{36CB8CF7-05CA-4A9E-827C-9BFD78C9F296}" name="Column5676" dataDxfId="10678"/>
    <tableColumn id="5725" xr3:uid="{D70B3F4F-D1FD-4C84-A88D-8E66258392AA}" name="Column5677" dataDxfId="10677"/>
    <tableColumn id="5726" xr3:uid="{4CDA44E2-357F-47F8-A6F1-AE5CB9656E7B}" name="Column5678" dataDxfId="10676"/>
    <tableColumn id="5727" xr3:uid="{878D4B23-4F49-457F-9E45-4D4242E65C90}" name="Column5679" dataDxfId="10675"/>
    <tableColumn id="5728" xr3:uid="{0DFE8EA3-D402-4A1D-A369-F85199A43638}" name="Column5680" dataDxfId="10674"/>
    <tableColumn id="5729" xr3:uid="{E41CBFAD-BAC0-4FA0-A118-1E10FF30B150}" name="Column5681" dataDxfId="10673"/>
    <tableColumn id="5730" xr3:uid="{4123664E-F528-46A2-98FB-0630CA05DF63}" name="Column5682" dataDxfId="10672"/>
    <tableColumn id="5731" xr3:uid="{CAE836D4-4BFE-43D6-8B41-8AFC0AF84696}" name="Column5683" dataDxfId="10671"/>
    <tableColumn id="5732" xr3:uid="{CDB4FC4F-5C6F-4A0E-A2F6-6B983894274A}" name="Column5684" dataDxfId="10670"/>
    <tableColumn id="5733" xr3:uid="{78E12641-981C-4548-A55A-24016A29517F}" name="Column5685" dataDxfId="10669"/>
    <tableColumn id="5734" xr3:uid="{06C47A29-6902-4952-AD9A-7172E6780DDD}" name="Column5686" dataDxfId="10668"/>
    <tableColumn id="5735" xr3:uid="{4953A894-3984-483E-82C9-BC1438A1AAFF}" name="Column5687" dataDxfId="10667"/>
    <tableColumn id="5736" xr3:uid="{FE31CB81-CC11-41A0-A2FD-6DEE541C3191}" name="Column5688" dataDxfId="10666"/>
    <tableColumn id="5737" xr3:uid="{AF8D9EC0-51C2-4BAC-8345-E638CDA23105}" name="Column5689" dataDxfId="10665"/>
    <tableColumn id="5738" xr3:uid="{A4D23F36-F527-4067-BA4E-38B67B36187C}" name="Column5690" dataDxfId="10664"/>
    <tableColumn id="5739" xr3:uid="{ADF6A11E-0655-4F0D-B58D-66EB9E330AF8}" name="Column5691" dataDxfId="10663"/>
    <tableColumn id="5740" xr3:uid="{19CB7105-B9FB-497D-97B0-6E3565CFAA26}" name="Column5692" dataDxfId="10662"/>
    <tableColumn id="5741" xr3:uid="{1307CF6D-0BFC-442C-9B47-800F8C43EB40}" name="Column5693" dataDxfId="10661"/>
    <tableColumn id="5742" xr3:uid="{041CAF8F-7870-4C68-BBA5-03ED3C675B06}" name="Column5694" dataDxfId="10660"/>
    <tableColumn id="5743" xr3:uid="{86FD83E3-CF56-4E9E-8265-35051DD6FB8D}" name="Column5695" dataDxfId="10659"/>
    <tableColumn id="5744" xr3:uid="{9F6B2DD9-7071-4804-A7D9-9CF9E50183A0}" name="Column5696" dataDxfId="10658"/>
    <tableColumn id="5745" xr3:uid="{F6DFDA8A-8D21-4FAA-9F2C-02A9EB1AB439}" name="Column5697" dataDxfId="10657"/>
    <tableColumn id="5746" xr3:uid="{5F2B8771-6A1C-4A9C-BD13-A476A2EE2211}" name="Column5698" dataDxfId="10656"/>
    <tableColumn id="5747" xr3:uid="{8CC5D80F-ED07-4307-B8EA-BE03D95B1239}" name="Column5699" dataDxfId="10655"/>
    <tableColumn id="5748" xr3:uid="{870407FC-F11F-4262-88AF-9224BB66400B}" name="Column5700" dataDxfId="10654"/>
    <tableColumn id="5749" xr3:uid="{C897C785-5853-45DD-BE13-7E95C4B4B747}" name="Column5701" dataDxfId="10653"/>
    <tableColumn id="5750" xr3:uid="{AA4BB731-2126-4672-8988-2EC2428EFF78}" name="Column5702" dataDxfId="10652"/>
    <tableColumn id="5751" xr3:uid="{A948B9CF-10F3-4DCE-BA7C-C80722DF2377}" name="Column5703" dataDxfId="10651"/>
    <tableColumn id="5752" xr3:uid="{F388F48F-3DCA-49AA-9050-A136749E4566}" name="Column5704" dataDxfId="10650"/>
    <tableColumn id="5753" xr3:uid="{ECAB31B1-8937-4984-AC3E-63C3F53A19CB}" name="Column5705" dataDxfId="10649"/>
    <tableColumn id="5754" xr3:uid="{E68F36BF-8E56-4CBC-AF4A-D7CA0CC63B27}" name="Column5706" dataDxfId="10648"/>
    <tableColumn id="5755" xr3:uid="{890BEC13-5230-4B35-B4D8-97228C6CEC53}" name="Column5707" dataDxfId="10647"/>
    <tableColumn id="5756" xr3:uid="{CA535F49-64E3-4E0B-9A0B-03D13619C39D}" name="Column5708" dataDxfId="10646"/>
    <tableColumn id="5757" xr3:uid="{EE972C6C-BA2F-4A86-BFBC-C38D80A19E24}" name="Column5709" dataDxfId="10645"/>
    <tableColumn id="5758" xr3:uid="{B1E512A0-7DF7-42C5-98A6-73A8371E1989}" name="Column5710" dataDxfId="10644"/>
    <tableColumn id="5759" xr3:uid="{A80C9AEA-E717-4B34-BA2B-E26AF70A9E4D}" name="Column5711" dataDxfId="10643"/>
    <tableColumn id="5760" xr3:uid="{6715623F-64D5-4CA1-941F-7AF1B1C354F5}" name="Column5712" dataDxfId="10642"/>
    <tableColumn id="5761" xr3:uid="{EAB54673-E7B7-4667-9D8A-39FF9347B99E}" name="Column5713" dataDxfId="10641"/>
    <tableColumn id="5762" xr3:uid="{B142CA80-385A-475A-8E0C-999DAB9107F4}" name="Column5714" dataDxfId="10640"/>
    <tableColumn id="5763" xr3:uid="{A3CEA408-0F6B-409B-945B-A1AF040999C8}" name="Column5715" dataDxfId="10639"/>
    <tableColumn id="5764" xr3:uid="{E2490026-4691-4DCF-8D5D-20D49A9C93DB}" name="Column5716" dataDxfId="10638"/>
    <tableColumn id="5765" xr3:uid="{DFA00BEF-299B-423E-B584-EA23857364EC}" name="Column5717" dataDxfId="10637"/>
    <tableColumn id="5766" xr3:uid="{E7357EF8-830A-4D36-9AA7-7827A88AD415}" name="Column5718" dataDxfId="10636"/>
    <tableColumn id="5767" xr3:uid="{B0809D37-5484-4BF3-976B-EA3060C83ABF}" name="Column5719" dataDxfId="10635"/>
    <tableColumn id="5768" xr3:uid="{6B834017-4708-456C-AE04-99A002BDFA3F}" name="Column5720" dataDxfId="10634"/>
    <tableColumn id="5769" xr3:uid="{8B1A5AAD-5E63-46D7-B163-43524F42C8D4}" name="Column5721" dataDxfId="10633"/>
    <tableColumn id="5770" xr3:uid="{E15BAB0D-391A-472D-8FF9-D2B66868D7B0}" name="Column5722" dataDxfId="10632"/>
    <tableColumn id="5771" xr3:uid="{2D4D6E96-0D2A-4DF4-94A7-3C7BBECAED44}" name="Column5723" dataDxfId="10631"/>
    <tableColumn id="5772" xr3:uid="{96143355-6400-48EF-AC59-0EE7695B2928}" name="Column5724" dataDxfId="10630"/>
    <tableColumn id="5773" xr3:uid="{BC5F27B7-E25E-4EC7-BC14-75F795B97D70}" name="Column5725" dataDxfId="10629"/>
    <tableColumn id="5774" xr3:uid="{6CCA0132-AEA1-4585-956D-270D91AB5BE3}" name="Column5726" dataDxfId="10628"/>
    <tableColumn id="5775" xr3:uid="{6F21DDAC-03DA-4FA5-A995-E2E70D75D873}" name="Column5727" dataDxfId="10627"/>
    <tableColumn id="5776" xr3:uid="{07E9324C-8869-4570-B14B-056575B51C27}" name="Column5728" dataDxfId="10626"/>
    <tableColumn id="5777" xr3:uid="{E05D3F06-DF4F-49CA-A8C3-672BF8063D36}" name="Column5729" dataDxfId="10625"/>
    <tableColumn id="5778" xr3:uid="{F7061EBD-820A-4492-8E2E-63CC12F4E326}" name="Column5730" dataDxfId="10624"/>
    <tableColumn id="5779" xr3:uid="{10FCD93E-2E8B-424B-9069-683407B36958}" name="Column5731" dataDxfId="10623"/>
    <tableColumn id="5780" xr3:uid="{04235DB8-CED2-4CF0-A45A-963E207F5B54}" name="Column5732" dataDxfId="10622"/>
    <tableColumn id="5781" xr3:uid="{06C29EE0-08AB-4463-9ECD-C3F48515343D}" name="Column5733" dataDxfId="10621"/>
    <tableColumn id="5782" xr3:uid="{1D179B0B-AA4A-4FD5-A556-1273CC9BEFFA}" name="Column5734" dataDxfId="10620"/>
    <tableColumn id="5783" xr3:uid="{96B0EE46-B5E1-4C68-AE99-6AED2D8EED79}" name="Column5735" dataDxfId="10619"/>
    <tableColumn id="5784" xr3:uid="{D2900173-DEBA-4048-AB08-EA6CBB5F27BA}" name="Column5736" dataDxfId="10618"/>
    <tableColumn id="5785" xr3:uid="{307F9915-58FE-450C-802A-ACFB63D72BC4}" name="Column5737" dataDxfId="10617"/>
    <tableColumn id="5786" xr3:uid="{0AD95395-7328-4AF0-AE28-FEE90EB75E61}" name="Column5738" dataDxfId="10616"/>
    <tableColumn id="5787" xr3:uid="{BCBD5218-648E-445E-99E2-9B4365874924}" name="Column5739" dataDxfId="10615"/>
    <tableColumn id="5788" xr3:uid="{492C429C-0B27-4EE4-9992-0A4D21895801}" name="Column5740" dataDxfId="10614"/>
    <tableColumn id="5789" xr3:uid="{D3B23587-F2A2-4D0A-91D7-6EF1F4368BFE}" name="Column5741" dataDxfId="10613"/>
    <tableColumn id="5790" xr3:uid="{24510231-5144-40FA-AA9D-11E31D9506EE}" name="Column5742" dataDxfId="10612"/>
    <tableColumn id="5791" xr3:uid="{D853F74D-A94C-4E03-9880-AEED97F573EA}" name="Column5743" dataDxfId="10611"/>
    <tableColumn id="5792" xr3:uid="{19F01E2E-8D8D-4ADD-AF8F-CAF2A2E14796}" name="Column5744" dataDxfId="10610"/>
    <tableColumn id="5793" xr3:uid="{A8DB9A47-EF23-45D8-9565-78D5D2728195}" name="Column5745" dataDxfId="10609"/>
    <tableColumn id="5794" xr3:uid="{2B5D46A9-D74D-407F-80A8-71F85CE8A9E3}" name="Column5746" dataDxfId="10608"/>
    <tableColumn id="5795" xr3:uid="{1C81F9E1-2C04-422C-A801-E0DEE9C8A05D}" name="Column5747" dataDxfId="10607"/>
    <tableColumn id="5796" xr3:uid="{110F45E4-CE97-487C-9DCA-FA4363A5CCBF}" name="Column5748" dataDxfId="10606"/>
    <tableColumn id="5797" xr3:uid="{F6A39BF8-BF43-40EC-A2FC-31753F553A8E}" name="Column5749" dataDxfId="10605"/>
    <tableColumn id="5798" xr3:uid="{0D1B45CE-8A33-47E2-BD4A-1F3744C8CA08}" name="Column5750" dataDxfId="10604"/>
    <tableColumn id="5799" xr3:uid="{4A2E3420-C335-4279-8C66-EF5431EAF6A0}" name="Column5751" dataDxfId="10603"/>
    <tableColumn id="5800" xr3:uid="{B72AF3F8-CA90-4CAB-8EEB-20EC890086DF}" name="Column5752" dataDxfId="10602"/>
    <tableColumn id="5801" xr3:uid="{DBF14229-195F-44F4-88F0-BCB41F8F3075}" name="Column5753" dataDxfId="10601"/>
    <tableColumn id="5802" xr3:uid="{0475ACB6-E0DD-49D1-8D4B-0853C0D52157}" name="Column5754" dataDxfId="10600"/>
    <tableColumn id="5803" xr3:uid="{AEE348D2-6F69-4874-A2E8-578B3418E686}" name="Column5755" dataDxfId="10599"/>
    <tableColumn id="5804" xr3:uid="{197C9D8F-DA1A-4E2A-850D-E4405CB1FC53}" name="Column5756" dataDxfId="10598"/>
    <tableColumn id="5805" xr3:uid="{B1A34D85-6563-4D3E-9D7C-22EA0B6EB8AA}" name="Column5757" dataDxfId="10597"/>
    <tableColumn id="5806" xr3:uid="{6BEAEF04-179B-47D8-A4F9-C2725379E588}" name="Column5758" dataDxfId="10596"/>
    <tableColumn id="5807" xr3:uid="{1D2E3118-413C-420C-A71A-162445732677}" name="Column5759" dataDxfId="10595"/>
    <tableColumn id="5808" xr3:uid="{0D8C783D-3571-49B0-AECA-3D44F91FC9F1}" name="Column5760" dataDxfId="10594"/>
    <tableColumn id="5809" xr3:uid="{CFD9E7C9-11E1-48E4-B6A8-16EEABE7B229}" name="Column5761" dataDxfId="10593"/>
    <tableColumn id="5810" xr3:uid="{14C4C48E-1A3C-4DCD-959C-5ADBBC4EFA86}" name="Column5762" dataDxfId="10592"/>
    <tableColumn id="5811" xr3:uid="{9542DC93-C34B-4AF8-94A9-A42B6EEC432A}" name="Column5763" dataDxfId="10591"/>
    <tableColumn id="5812" xr3:uid="{95717C35-B8BD-4B8C-B70C-DF3CCD607C50}" name="Column5764" dataDxfId="10590"/>
    <tableColumn id="5813" xr3:uid="{DE56918F-4267-4B0D-B105-8B2260374921}" name="Column5765" dataDxfId="10589"/>
    <tableColumn id="5814" xr3:uid="{2239A490-8A3D-437D-AB97-2C505556D192}" name="Column5766" dataDxfId="10588"/>
    <tableColumn id="5815" xr3:uid="{E498436A-8FDF-41DB-8E03-4409D3A19CD2}" name="Column5767" dataDxfId="10587"/>
    <tableColumn id="5816" xr3:uid="{B88638D2-5227-4F40-8DDB-6BD3CF913A64}" name="Column5768" dataDxfId="10586"/>
    <tableColumn id="5817" xr3:uid="{57B55179-7252-4504-9F01-3A84A1194F5A}" name="Column5769" dataDxfId="10585"/>
    <tableColumn id="5818" xr3:uid="{EF88614C-7395-41D4-880D-A70BBFD3682B}" name="Column5770" dataDxfId="10584"/>
    <tableColumn id="5819" xr3:uid="{9923C1C5-E6D2-43B4-9781-797350E32275}" name="Column5771" dataDxfId="10583"/>
    <tableColumn id="5820" xr3:uid="{8742923F-AFBF-48C7-B828-F38E261083BD}" name="Column5772" dataDxfId="10582"/>
    <tableColumn id="5821" xr3:uid="{4856A7A4-A460-429C-84BD-C94F8B97AA8F}" name="Column5773" dataDxfId="10581"/>
    <tableColumn id="5822" xr3:uid="{37B68315-1249-4F8B-B6F6-4FEDCD26CB99}" name="Column5774" dataDxfId="10580"/>
    <tableColumn id="5823" xr3:uid="{0F319CEE-5397-4596-A8B7-8C1C93510034}" name="Column5775" dataDxfId="10579"/>
    <tableColumn id="5824" xr3:uid="{0CDDF814-CA0A-435E-90CB-50F9C4C1C381}" name="Column5776" dataDxfId="10578"/>
    <tableColumn id="5825" xr3:uid="{89B18FB2-D73D-456F-80A3-558BAA914234}" name="Column5777" dataDxfId="10577"/>
    <tableColumn id="5826" xr3:uid="{3D73511F-CAA6-45FF-9EB0-82F7D4336496}" name="Column5778" dataDxfId="10576"/>
    <tableColumn id="5827" xr3:uid="{DD34A0C3-0A72-46D1-93AE-585AE33F3A56}" name="Column5779" dataDxfId="10575"/>
    <tableColumn id="5828" xr3:uid="{F6AEF52C-6B4F-46E5-B983-62C492B5B712}" name="Column5780" dataDxfId="10574"/>
    <tableColumn id="5829" xr3:uid="{2C9D3DA5-2256-4087-9367-ADBBDA8B28D3}" name="Column5781" dataDxfId="10573"/>
    <tableColumn id="5830" xr3:uid="{73E8B146-6955-47DD-B51B-640FBBF5AFC6}" name="Column5782" dataDxfId="10572"/>
    <tableColumn id="5831" xr3:uid="{2F6D77EB-932C-4EB4-9A46-0A714C98E4B9}" name="Column5783" dataDxfId="10571"/>
    <tableColumn id="5832" xr3:uid="{77348A89-9D94-49F9-A353-F05140F79632}" name="Column5784" dataDxfId="10570"/>
    <tableColumn id="5833" xr3:uid="{7D83657E-1839-4840-989D-CF663E32A0B6}" name="Column5785" dataDxfId="10569"/>
    <tableColumn id="5834" xr3:uid="{6E378E29-FC41-484B-8E5F-9BA464C417F7}" name="Column5786" dataDxfId="10568"/>
    <tableColumn id="5835" xr3:uid="{4C14D4CF-2031-4019-97D9-AAB3687044F1}" name="Column5787" dataDxfId="10567"/>
    <tableColumn id="5836" xr3:uid="{B597489D-34EE-49B4-80F7-947F841D6D90}" name="Column5788" dataDxfId="10566"/>
    <tableColumn id="5837" xr3:uid="{6E0F5FFA-F8BC-45C1-9F4F-6A22E2FA4971}" name="Column5789" dataDxfId="10565"/>
    <tableColumn id="5838" xr3:uid="{9DB97910-2D13-4190-B16D-1E286585CC18}" name="Column5790" dataDxfId="10564"/>
    <tableColumn id="5839" xr3:uid="{0D4E0C5E-F8DC-48A1-8241-0D2F58A7AED9}" name="Column5791" dataDxfId="10563"/>
    <tableColumn id="5840" xr3:uid="{AD8B92E7-D997-4808-9080-9F383EB4A31C}" name="Column5792" dataDxfId="10562"/>
    <tableColumn id="5841" xr3:uid="{37DCCEE4-EB34-49F4-821E-4C5B5E4042E5}" name="Column5793" dataDxfId="10561"/>
    <tableColumn id="5842" xr3:uid="{DB34DAF6-E685-4EEB-9D9A-653FFDB5CD14}" name="Column5794" dataDxfId="10560"/>
    <tableColumn id="5843" xr3:uid="{A1E7AE91-48B5-4120-B3DB-0BD84F50AAA8}" name="Column5795" dataDxfId="10559"/>
    <tableColumn id="5844" xr3:uid="{69CCEFD5-05A7-4B4B-8EC5-E2B43596523D}" name="Column5796" dataDxfId="10558"/>
    <tableColumn id="5845" xr3:uid="{B68EDDA2-4B82-4E39-8BAC-B0A61800F5BF}" name="Column5797" dataDxfId="10557"/>
    <tableColumn id="5846" xr3:uid="{B7A4A0E7-AE17-4DB7-9040-85800080C26A}" name="Column5798" dataDxfId="10556"/>
    <tableColumn id="5847" xr3:uid="{F080891E-A587-43D6-87B0-35E23E2EB552}" name="Column5799" dataDxfId="10555"/>
    <tableColumn id="5848" xr3:uid="{142C3CE0-424B-48C3-A903-001A5A02F15E}" name="Column5800" dataDxfId="10554"/>
    <tableColumn id="5849" xr3:uid="{06980970-B1A5-404B-9FD3-2A6862F7E51E}" name="Column5801" dataDxfId="10553"/>
    <tableColumn id="5850" xr3:uid="{4EC4F4EF-403A-4C00-B419-ADAB880AB047}" name="Column5802" dataDxfId="10552"/>
    <tableColumn id="5851" xr3:uid="{B18B900D-1582-4A7D-B46F-351B8BE51FCF}" name="Column5803" dataDxfId="10551"/>
    <tableColumn id="5852" xr3:uid="{5803310F-5139-4017-BAA9-3ACCF4A10435}" name="Column5804" dataDxfId="10550"/>
    <tableColumn id="5853" xr3:uid="{C2830D0B-279F-417B-ACB2-47095D7F8FE0}" name="Column5805" dataDxfId="10549"/>
    <tableColumn id="5854" xr3:uid="{E7DD3F2E-CF61-48BA-8961-0E7517574CF1}" name="Column5806" dataDxfId="10548"/>
    <tableColumn id="5855" xr3:uid="{E87D68B2-8D3D-4E18-ACDA-95933E7A5142}" name="Column5807" dataDxfId="10547"/>
    <tableColumn id="5856" xr3:uid="{7D616963-8B16-43B8-9B91-E2B8FE5ACD5E}" name="Column5808" dataDxfId="10546"/>
    <tableColumn id="5857" xr3:uid="{C6B4216B-DA75-4BC7-AD2E-68B7355264A2}" name="Column5809" dataDxfId="10545"/>
    <tableColumn id="5858" xr3:uid="{2D15C111-06DE-469A-9D2F-0AA5AA501AEA}" name="Column5810" dataDxfId="10544"/>
    <tableColumn id="5859" xr3:uid="{7F7B6C56-8F7A-481D-B08A-21914CBBCF4B}" name="Column5811" dataDxfId="10543"/>
    <tableColumn id="5860" xr3:uid="{5FD37F4C-2D6B-4112-9ACE-D17D7404BD4D}" name="Column5812" dataDxfId="10542"/>
    <tableColumn id="5861" xr3:uid="{22712757-21A6-4EB7-AFB2-A20CB9C6679B}" name="Column5813" dataDxfId="10541"/>
    <tableColumn id="5862" xr3:uid="{1F59C1DF-CB35-4B88-B3ED-18ABE059EF49}" name="Column5814" dataDxfId="10540"/>
    <tableColumn id="5863" xr3:uid="{DE6CC613-0BD8-4EDE-94C5-9B4C7597C4C9}" name="Column5815" dataDxfId="10539"/>
    <tableColumn id="5864" xr3:uid="{79180BC4-750F-4D33-9BD4-0EB28DF2657D}" name="Column5816" dataDxfId="10538"/>
    <tableColumn id="5865" xr3:uid="{31CA70A2-D905-4748-ACC2-6CE51061D0AC}" name="Column5817" dataDxfId="10537"/>
    <tableColumn id="5866" xr3:uid="{25CE00A6-579F-424E-8947-8CB27FDB035E}" name="Column5818" dataDxfId="10536"/>
    <tableColumn id="5867" xr3:uid="{6DCFBB81-C1E4-4C91-8D92-83BAF67122B4}" name="Column5819" dataDxfId="10535"/>
    <tableColumn id="5868" xr3:uid="{CBEAFC4E-D807-458F-B582-A9F3662BDB7B}" name="Column5820" dataDxfId="10534"/>
    <tableColumn id="5869" xr3:uid="{CE779F39-CBE5-42B5-8A02-0B9B0ECD4C55}" name="Column5821" dataDxfId="10533"/>
    <tableColumn id="5870" xr3:uid="{52D66766-6462-4484-BDBA-8AF27549E143}" name="Column5822" dataDxfId="10532"/>
    <tableColumn id="5871" xr3:uid="{BB52E165-4E7A-4A74-9ABA-974F5EE5D25B}" name="Column5823" dataDxfId="10531"/>
    <tableColumn id="5872" xr3:uid="{3D3517F6-3C93-46CA-BFE3-A3CCE2E10BA9}" name="Column5824" dataDxfId="10530"/>
    <tableColumn id="5873" xr3:uid="{2F9D4367-A022-4B2E-B5F6-F464210E2896}" name="Column5825" dataDxfId="10529"/>
    <tableColumn id="5874" xr3:uid="{D9CD50F4-B44F-4E5F-B11E-52D1CE91EF4F}" name="Column5826" dataDxfId="10528"/>
    <tableColumn id="5875" xr3:uid="{C72FB114-C5EF-48EE-91C8-A339CC392E10}" name="Column5827" dataDxfId="10527"/>
    <tableColumn id="5876" xr3:uid="{FCECB048-B579-4075-BB7F-C3999D519A3E}" name="Column5828" dataDxfId="10526"/>
    <tableColumn id="5877" xr3:uid="{E23D52F9-C5A1-4A20-9666-41C1E9F1CD91}" name="Column5829" dataDxfId="10525"/>
    <tableColumn id="5878" xr3:uid="{A13FAA3B-D366-45C6-A6A8-8EA450D13AC1}" name="Column5830" dataDxfId="10524"/>
    <tableColumn id="5879" xr3:uid="{147DF342-F8DC-4429-9D0F-5E05D097EDE8}" name="Column5831" dataDxfId="10523"/>
    <tableColumn id="5880" xr3:uid="{33458FA0-33E3-4A93-8877-E1295515ED99}" name="Column5832" dataDxfId="10522"/>
    <tableColumn id="5881" xr3:uid="{11A42832-9CFA-4525-9475-A7D9D8E6D277}" name="Column5833" dataDxfId="10521"/>
    <tableColumn id="5882" xr3:uid="{FC93D7B6-31E0-4FC7-ACAD-E564A2C36BF9}" name="Column5834" dataDxfId="10520"/>
    <tableColumn id="5883" xr3:uid="{5D3B8EDA-3563-44AA-AC76-7042B333745C}" name="Column5835" dataDxfId="10519"/>
    <tableColumn id="5884" xr3:uid="{72C60CD4-37A1-4F1B-B1F0-18133BEE67BB}" name="Column5836" dataDxfId="10518"/>
    <tableColumn id="5885" xr3:uid="{B1FC169E-58B9-410E-8FA0-D5082DFF1E5B}" name="Column5837" dataDxfId="10517"/>
    <tableColumn id="5886" xr3:uid="{69152DCD-7B9D-4D0A-94BE-4F6FE3982C3A}" name="Column5838" dataDxfId="10516"/>
    <tableColumn id="5887" xr3:uid="{D5926994-C446-4BA9-A310-53FBCE691820}" name="Column5839" dataDxfId="10515"/>
    <tableColumn id="5888" xr3:uid="{812B8A3B-9AC0-4790-BE09-E32024DFD403}" name="Column5840" dataDxfId="10514"/>
    <tableColumn id="5889" xr3:uid="{2DF1EB1A-AABB-472A-9F57-D8FFD60F0847}" name="Column5841" dataDxfId="10513"/>
    <tableColumn id="5890" xr3:uid="{5D828962-76C5-4BA0-8530-7D79C98BBA02}" name="Column5842" dataDxfId="10512"/>
    <tableColumn id="5891" xr3:uid="{FA63C26C-1AD4-43ED-B1F3-2A6B9B355A43}" name="Column5843" dataDxfId="10511"/>
    <tableColumn id="5892" xr3:uid="{1D9F2DFC-A9ED-406E-8CC4-208A1C84FDC5}" name="Column5844" dataDxfId="10510"/>
    <tableColumn id="5893" xr3:uid="{68D5BEA2-A54C-4F5B-BE77-7F388E6C3B50}" name="Column5845" dataDxfId="10509"/>
    <tableColumn id="5894" xr3:uid="{6E06148A-3BFD-4D1D-8030-CE5BDC631F2E}" name="Column5846" dataDxfId="10508"/>
    <tableColumn id="5895" xr3:uid="{84D81E5A-3940-4ED7-B5DA-6ABD04306847}" name="Column5847" dataDxfId="10507"/>
    <tableColumn id="5896" xr3:uid="{DD051579-1AED-4152-9FE2-0BCB9C49607F}" name="Column5848" dataDxfId="10506"/>
    <tableColumn id="5897" xr3:uid="{1EBE14C2-9CDC-437F-8EA4-504B1F6AE21D}" name="Column5849" dataDxfId="10505"/>
    <tableColumn id="5898" xr3:uid="{5A8F98F9-6D1C-4AB7-93D8-E5B56852E4E4}" name="Column5850" dataDxfId="10504"/>
    <tableColumn id="5899" xr3:uid="{0F135D1F-C1DC-4698-AE01-030559B9E125}" name="Column5851" dataDxfId="10503"/>
    <tableColumn id="5900" xr3:uid="{1E119543-D340-40C8-B133-B16E6DD7E503}" name="Column5852" dataDxfId="10502"/>
    <tableColumn id="5901" xr3:uid="{49809D17-3B6D-4B4C-9E79-19228DDF9269}" name="Column5853" dataDxfId="10501"/>
    <tableColumn id="5902" xr3:uid="{9AFA1C57-294A-4697-A694-4ECC1FF7D15B}" name="Column5854" dataDxfId="10500"/>
    <tableColumn id="5903" xr3:uid="{BBFA9D32-1F04-4EDE-9F66-D91E1B7075F2}" name="Column5855" dataDxfId="10499"/>
    <tableColumn id="5904" xr3:uid="{230ABEB4-741E-49F1-9FBD-A169B22C7C2C}" name="Column5856" dataDxfId="10498"/>
    <tableColumn id="5905" xr3:uid="{1CB23B15-A212-47C1-AFF7-3FB53E786F54}" name="Column5857" dataDxfId="10497"/>
    <tableColumn id="5906" xr3:uid="{F0279CC4-29CF-4F93-8793-91A94BA9E6E0}" name="Column5858" dataDxfId="10496"/>
    <tableColumn id="5907" xr3:uid="{6BCDC4FE-6FC6-4231-A2E6-5455F508B39C}" name="Column5859" dataDxfId="10495"/>
    <tableColumn id="5908" xr3:uid="{BDC376A9-E6F4-4EB5-9420-F749BA2DDECB}" name="Column5860" dataDxfId="10494"/>
    <tableColumn id="5909" xr3:uid="{25C6D22A-0BCB-46DA-BBC3-EE078DD35D8E}" name="Column5861" dataDxfId="10493"/>
    <tableColumn id="5910" xr3:uid="{0B12F72D-6468-433F-A28F-2A4EE7AC6988}" name="Column5862" dataDxfId="10492"/>
    <tableColumn id="5911" xr3:uid="{56144116-6F69-457A-8EC6-B13C24DA1DE3}" name="Column5863" dataDxfId="10491"/>
    <tableColumn id="5912" xr3:uid="{E396FF4C-275F-4806-B9A0-F846E8C9E224}" name="Column5864" dataDxfId="10490"/>
    <tableColumn id="5913" xr3:uid="{B288B31B-2D17-42FE-B5BA-98FC590DFB4E}" name="Column5865" dataDxfId="10489"/>
    <tableColumn id="5914" xr3:uid="{946DE948-B514-401A-BBAA-D5F5DB5C5DF0}" name="Column5866" dataDxfId="10488"/>
    <tableColumn id="5915" xr3:uid="{675AB363-C327-4DE7-B283-1940AD21DBBF}" name="Column5867" dataDxfId="10487"/>
    <tableColumn id="5916" xr3:uid="{D378C38C-93FA-491E-BA48-2A5874FD5132}" name="Column5868" dataDxfId="10486"/>
    <tableColumn id="5917" xr3:uid="{72B701EC-302A-4CCD-850D-B8560CAC3AE4}" name="Column5869" dataDxfId="10485"/>
    <tableColumn id="5918" xr3:uid="{7F919049-EA2D-4CD0-AB5D-D5B46CC213FC}" name="Column5870" dataDxfId="10484"/>
    <tableColumn id="5919" xr3:uid="{CB45CE6D-0C8F-49D5-8305-609E519A1A49}" name="Column5871" dataDxfId="10483"/>
    <tableColumn id="5920" xr3:uid="{9BDE576C-7E34-4B6F-8F1F-F4FCCB55EA94}" name="Column5872" dataDxfId="10482"/>
    <tableColumn id="5921" xr3:uid="{069EB3E3-8C08-47C9-A190-CC38D091BD0B}" name="Column5873" dataDxfId="10481"/>
    <tableColumn id="5922" xr3:uid="{464BCA6C-6521-4195-B42C-E2E47C0FC3F4}" name="Column5874" dataDxfId="10480"/>
    <tableColumn id="5923" xr3:uid="{F8928A27-0144-4D25-B7B7-FE337D57C65F}" name="Column5875" dataDxfId="10479"/>
    <tableColumn id="5924" xr3:uid="{6F473D8E-51B6-4B9C-95C3-A64020A5DBDD}" name="Column5876" dataDxfId="10478"/>
    <tableColumn id="5925" xr3:uid="{5EADF140-68E8-4287-9D0B-82C139DE7A2E}" name="Column5877" dataDxfId="10477"/>
    <tableColumn id="5926" xr3:uid="{A8944F80-F414-47E4-AE82-30F50DAF4BB8}" name="Column5878" dataDxfId="10476"/>
    <tableColumn id="5927" xr3:uid="{16AD3C08-30DF-407A-994B-E7A58ADFD411}" name="Column5879" dataDxfId="10475"/>
    <tableColumn id="5928" xr3:uid="{C2A94025-7989-4973-8C70-AE9533CA3512}" name="Column5880" dataDxfId="10474"/>
    <tableColumn id="5929" xr3:uid="{820BE223-0C98-41BF-A507-38A9C3D1EBC2}" name="Column5881" dataDxfId="10473"/>
    <tableColumn id="5930" xr3:uid="{6387312B-A4CB-4A6A-AB3E-043695E96A5B}" name="Column5882" dataDxfId="10472"/>
    <tableColumn id="5931" xr3:uid="{BB67F836-B6F1-41D7-B07E-6A394F44E995}" name="Column5883" dataDxfId="10471"/>
    <tableColumn id="5932" xr3:uid="{F4289A61-B63F-4861-BC04-6AD8149B404E}" name="Column5884" dataDxfId="10470"/>
    <tableColumn id="5933" xr3:uid="{3113B8A4-66FA-431B-BD83-BFC717E36537}" name="Column5885" dataDxfId="10469"/>
    <tableColumn id="5934" xr3:uid="{2F26FA33-437A-408A-A782-814289901269}" name="Column5886" dataDxfId="10468"/>
    <tableColumn id="5935" xr3:uid="{4AEA536E-4CB6-4AB1-B982-4B2AD4C0B632}" name="Column5887" dataDxfId="10467"/>
    <tableColumn id="5936" xr3:uid="{B15E13CE-4C8C-43EF-8616-0C8950AF694A}" name="Column5888" dataDxfId="10466"/>
    <tableColumn id="5937" xr3:uid="{98027709-C03B-4165-806F-E2B084358570}" name="Column5889" dataDxfId="10465"/>
    <tableColumn id="5938" xr3:uid="{39CF9E43-FE56-43BF-9EB2-C3FCC992061B}" name="Column5890" dataDxfId="10464"/>
    <tableColumn id="5939" xr3:uid="{D437FF94-5CD1-4DF7-BEB8-D98BC29D00F9}" name="Column5891" dataDxfId="10463"/>
    <tableColumn id="5940" xr3:uid="{888BD21C-DDF3-47BD-80E7-91BECC221B77}" name="Column5892" dataDxfId="10462"/>
    <tableColumn id="5941" xr3:uid="{9EECF0FE-8A91-426C-ABE8-A185EAC0710C}" name="Column5893" dataDxfId="10461"/>
    <tableColumn id="5942" xr3:uid="{D1E6331A-E9A3-455B-A29E-230ADA6CE728}" name="Column5894" dataDxfId="10460"/>
    <tableColumn id="5943" xr3:uid="{480F4C68-CC5A-4D8D-8AFA-3F7ECA034C34}" name="Column5895" dataDxfId="10459"/>
    <tableColumn id="5944" xr3:uid="{87BB740F-A6E3-4F26-ABBA-5680B78EAD4E}" name="Column5896" dataDxfId="10458"/>
    <tableColumn id="5945" xr3:uid="{C3042616-22FD-4018-BF7A-DFAA1AF0779E}" name="Column5897" dataDxfId="10457"/>
    <tableColumn id="5946" xr3:uid="{06DF6908-F127-41E3-9D78-E249DE6E4F54}" name="Column5898" dataDxfId="10456"/>
    <tableColumn id="5947" xr3:uid="{11509697-A832-4A4B-A755-204B8ABC4D3F}" name="Column5899" dataDxfId="10455"/>
    <tableColumn id="5948" xr3:uid="{8707F085-6D1E-4C40-B213-92F3F69146CE}" name="Column5900" dataDxfId="10454"/>
    <tableColumn id="5949" xr3:uid="{2BF45783-FD59-4CA5-B524-2E8730FCE0E9}" name="Column5901" dataDxfId="10453"/>
    <tableColumn id="5950" xr3:uid="{E61A43C4-B383-43AC-B3B5-AE0CE81BD615}" name="Column5902" dataDxfId="10452"/>
    <tableColumn id="5951" xr3:uid="{6074C404-1FBE-46D5-AF52-197F2F158D17}" name="Column5903" dataDxfId="10451"/>
    <tableColumn id="5952" xr3:uid="{90E8831B-ED20-4BEE-92F5-535351FA81BB}" name="Column5904" dataDxfId="10450"/>
    <tableColumn id="5953" xr3:uid="{9C58A4BB-F1B3-4423-B5ED-4019D7B7E44C}" name="Column5905" dataDxfId="10449"/>
    <tableColumn id="5954" xr3:uid="{0D78FCD6-9296-4213-88E9-D5C85356F94C}" name="Column5906" dataDxfId="10448"/>
    <tableColumn id="5955" xr3:uid="{333CF89D-D6E1-4855-B169-3FDC33F035DB}" name="Column5907" dataDxfId="10447"/>
    <tableColumn id="5956" xr3:uid="{F9686C90-E166-42BC-B632-8E1DAEFF407E}" name="Column5908" dataDxfId="10446"/>
    <tableColumn id="5957" xr3:uid="{13020416-EBB4-4532-9160-037A08768CA0}" name="Column5909" dataDxfId="10445"/>
    <tableColumn id="5958" xr3:uid="{EEBDE988-1E6E-4283-BF1B-5EEEC195B8F8}" name="Column5910" dataDxfId="10444"/>
    <tableColumn id="5959" xr3:uid="{FFCEAEFF-EFD5-4905-9E9D-CE551F557D36}" name="Column5911" dataDxfId="10443"/>
    <tableColumn id="5960" xr3:uid="{50495F4A-2BE3-4049-9995-510E9B0E64B2}" name="Column5912" dataDxfId="10442"/>
    <tableColumn id="5961" xr3:uid="{D5C32C27-3509-4715-AEA3-5B646D94C4FE}" name="Column5913" dataDxfId="10441"/>
    <tableColumn id="5962" xr3:uid="{B350F410-598E-44AE-B4B9-D1DA85111262}" name="Column5914" dataDxfId="10440"/>
    <tableColumn id="5963" xr3:uid="{E83C3AA3-9B96-4F38-ACAE-6365AF3811EE}" name="Column5915" dataDxfId="10439"/>
    <tableColumn id="5964" xr3:uid="{572D8B4F-75C1-49B1-9D53-ACFE82B07D07}" name="Column5916" dataDxfId="10438"/>
    <tableColumn id="5965" xr3:uid="{A9CE7373-0ED6-41BC-ACAD-BDBF79D2205C}" name="Column5917" dataDxfId="10437"/>
    <tableColumn id="5966" xr3:uid="{BFF62AFD-2081-45C3-9784-D614C66B4036}" name="Column5918" dataDxfId="10436"/>
    <tableColumn id="5967" xr3:uid="{5E668F04-0535-414B-B262-A9A5B3B2F358}" name="Column5919" dataDxfId="10435"/>
    <tableColumn id="5968" xr3:uid="{08B0664D-9E68-45AA-9B83-2C10F38F8DCA}" name="Column5920" dataDxfId="10434"/>
    <tableColumn id="5969" xr3:uid="{21AB78C3-3B76-420E-A01F-799D48B9E856}" name="Column5921" dataDxfId="10433"/>
    <tableColumn id="5970" xr3:uid="{8032702C-0BE9-4BC4-900E-F9FFB434D092}" name="Column5922" dataDxfId="10432"/>
    <tableColumn id="5971" xr3:uid="{2856183F-999D-4E31-BF90-517311870C5C}" name="Column5923" dataDxfId="10431"/>
    <tableColumn id="5972" xr3:uid="{43FFF458-3AB7-4DD3-8AB8-264F0CCC82A4}" name="Column5924" dataDxfId="10430"/>
    <tableColumn id="5973" xr3:uid="{0964997B-276C-4355-97B8-9108EDF16A33}" name="Column5925" dataDxfId="10429"/>
    <tableColumn id="5974" xr3:uid="{B1FE16CA-158B-43AC-A3BF-638ECDE452C4}" name="Column5926" dataDxfId="10428"/>
    <tableColumn id="5975" xr3:uid="{E2F9FAA9-0D2D-4361-94D0-D1794F4A5868}" name="Column5927" dataDxfId="10427"/>
    <tableColumn id="5976" xr3:uid="{BF81D4E5-E870-4757-A3B4-1BA8E9D44C2A}" name="Column5928" dataDxfId="10426"/>
    <tableColumn id="5977" xr3:uid="{D8A95259-024C-4A0D-A3C1-ABBEA7053199}" name="Column5929" dataDxfId="10425"/>
    <tableColumn id="5978" xr3:uid="{E15DEF1E-1F7B-4F6D-A436-A4639487B91F}" name="Column5930" dataDxfId="10424"/>
    <tableColumn id="5979" xr3:uid="{0FC7A111-91B5-4BD3-8F0C-48CC23DEFCD4}" name="Column5931" dataDxfId="10423"/>
    <tableColumn id="5980" xr3:uid="{1DC53F80-72B1-445C-8597-A7A38B73E8C6}" name="Column5932" dataDxfId="10422"/>
    <tableColumn id="5981" xr3:uid="{942DFFDF-CA69-4E67-9F58-40C11FB700D2}" name="Column5933" dataDxfId="10421"/>
    <tableColumn id="5982" xr3:uid="{F160777A-4C43-45B4-9993-DB9A33C8BC64}" name="Column5934" dataDxfId="10420"/>
    <tableColumn id="5983" xr3:uid="{C4534114-64F0-46D1-9DA2-3A3B97C79DE0}" name="Column5935" dataDxfId="10419"/>
    <tableColumn id="5984" xr3:uid="{33D72125-41E6-42A3-84F9-EF6BFFD7BF8B}" name="Column5936" dataDxfId="10418"/>
    <tableColumn id="5985" xr3:uid="{2B34745C-AFA1-4071-8E84-8F888BC55076}" name="Column5937" dataDxfId="10417"/>
    <tableColumn id="5986" xr3:uid="{30AF550E-5FC5-45A1-9794-DE226A30B28F}" name="Column5938" dataDxfId="10416"/>
    <tableColumn id="5987" xr3:uid="{AC5CB36F-BEBD-48A7-85FB-DE1F93CF852C}" name="Column5939" dataDxfId="10415"/>
    <tableColumn id="5988" xr3:uid="{E88BFAB3-A5C4-4BF5-882C-B1B3757C1EED}" name="Column5940" dataDxfId="10414"/>
    <tableColumn id="5989" xr3:uid="{45459E0A-11E1-4710-8657-FE0AE0123EC3}" name="Column5941" dataDxfId="10413"/>
    <tableColumn id="5990" xr3:uid="{9F6100EB-EA56-49C7-8174-C847F7F88892}" name="Column5942" dataDxfId="10412"/>
    <tableColumn id="5991" xr3:uid="{CF3C4F1A-50C6-4AD8-8112-BF8D428B806B}" name="Column5943" dataDxfId="10411"/>
    <tableColumn id="5992" xr3:uid="{005AE2F8-5901-4517-9D01-5D1642070B0F}" name="Column5944" dataDxfId="10410"/>
    <tableColumn id="5993" xr3:uid="{47DD0E34-E635-40BC-B40A-FA2270FFE264}" name="Column5945" dataDxfId="10409"/>
    <tableColumn id="5994" xr3:uid="{2D20A26D-543C-4BA4-9CA8-4C36B2867A7C}" name="Column5946" dataDxfId="10408"/>
    <tableColumn id="5995" xr3:uid="{74BA1D87-9C7D-4656-BCE5-2B266176C697}" name="Column5947" dataDxfId="10407"/>
    <tableColumn id="5996" xr3:uid="{D1DEDB89-FB1F-4DB6-BAC5-A9E40485DAF2}" name="Column5948" dataDxfId="10406"/>
    <tableColumn id="5997" xr3:uid="{7411DC19-6A18-4D63-80BC-87F70C34E042}" name="Column5949" dataDxfId="10405"/>
    <tableColumn id="5998" xr3:uid="{5727FC4C-2625-4142-A0A1-E3521DB4A4E0}" name="Column5950" dataDxfId="10404"/>
    <tableColumn id="5999" xr3:uid="{F6B69E0C-C3EF-4A6E-8AEB-02D63F5BD647}" name="Column5951" dataDxfId="10403"/>
    <tableColumn id="6000" xr3:uid="{93AAEE56-5A29-4461-95E4-4C2A30C9B415}" name="Column5952" dataDxfId="10402"/>
    <tableColumn id="6001" xr3:uid="{03268934-D13F-461D-B5E2-6D46CBA59CE6}" name="Column5953" dataDxfId="10401"/>
    <tableColumn id="6002" xr3:uid="{C0E3F06E-DA1B-4C69-9BF7-BC01E500DF8D}" name="Column5954" dataDxfId="10400"/>
    <tableColumn id="6003" xr3:uid="{6810BD27-F61A-451C-8FAC-BEC3C142306B}" name="Column5955" dataDxfId="10399"/>
    <tableColumn id="6004" xr3:uid="{B127A456-613E-43B5-838C-032CF7C33E8E}" name="Column5956" dataDxfId="10398"/>
    <tableColumn id="6005" xr3:uid="{3231B649-9926-4313-93D8-3B1E68D6538D}" name="Column5957" dataDxfId="10397"/>
    <tableColumn id="6006" xr3:uid="{401F4517-DDB7-474C-B0FF-43AD17EB8103}" name="Column5958" dataDxfId="10396"/>
    <tableColumn id="6007" xr3:uid="{C90217A4-7751-461D-AF42-87112CE9E82D}" name="Column5959" dataDxfId="10395"/>
    <tableColumn id="6008" xr3:uid="{EC08A59A-6403-4BFF-BF94-EB7EF694C4BB}" name="Column5960" dataDxfId="10394"/>
    <tableColumn id="6009" xr3:uid="{1A2C1916-DFEA-4AC1-AD20-3164B9BF11B4}" name="Column5961" dataDxfId="10393"/>
    <tableColumn id="6010" xr3:uid="{EE25536D-4160-4757-9EE7-6DD292DF1D74}" name="Column5962" dataDxfId="10392"/>
    <tableColumn id="6011" xr3:uid="{91DEDE88-C092-444B-9B7B-E95BCF2690BC}" name="Column5963" dataDxfId="10391"/>
    <tableColumn id="6012" xr3:uid="{08F9CA3B-5B08-47A5-8F9F-EB16C74F8BAC}" name="Column5964" dataDxfId="10390"/>
    <tableColumn id="6013" xr3:uid="{A3BB9217-E9F2-4ABC-B4D1-1872077316B7}" name="Column5965" dataDxfId="10389"/>
    <tableColumn id="6014" xr3:uid="{8B466D9F-9EEA-488F-B945-886151EBE6BC}" name="Column5966" dataDxfId="10388"/>
    <tableColumn id="6015" xr3:uid="{60E439AD-68F2-48F2-B5DA-D2B9905D714A}" name="Column5967" dataDxfId="10387"/>
    <tableColumn id="6016" xr3:uid="{E829B621-E7A3-4149-AA72-7129C1C3864B}" name="Column5968" dataDxfId="10386"/>
    <tableColumn id="6017" xr3:uid="{1FEBCE5C-2667-48B5-8A8E-AE2F9F1B18EF}" name="Column5969" dataDxfId="10385"/>
    <tableColumn id="6018" xr3:uid="{F4288367-F957-459B-81D5-3C1B48D1F7A8}" name="Column5970" dataDxfId="10384"/>
    <tableColumn id="6019" xr3:uid="{ABF53FC8-96D6-40DA-84C6-EFFBAF711472}" name="Column5971" dataDxfId="10383"/>
    <tableColumn id="6020" xr3:uid="{2A878628-8A4E-43BF-BD35-7BC75B0E56F9}" name="Column5972" dataDxfId="10382"/>
    <tableColumn id="6021" xr3:uid="{ECF14150-DE90-46FD-9602-6247D53E65C1}" name="Column5973" dataDxfId="10381"/>
    <tableColumn id="6022" xr3:uid="{A23F4F57-5164-4849-8D82-E52005FAA267}" name="Column5974" dataDxfId="10380"/>
    <tableColumn id="6023" xr3:uid="{D93D03D5-26A1-49E4-955F-F62259339D84}" name="Column5975" dataDxfId="10379"/>
    <tableColumn id="6024" xr3:uid="{4751C499-ECE4-42E5-9E57-CCCA727F0092}" name="Column5976" dataDxfId="10378"/>
    <tableColumn id="6025" xr3:uid="{D83A653F-D353-4272-92DD-89A169DC3DCA}" name="Column5977" dataDxfId="10377"/>
    <tableColumn id="6026" xr3:uid="{92932CC1-7031-4A4B-B316-89525227A923}" name="Column5978" dataDxfId="10376"/>
    <tableColumn id="6027" xr3:uid="{2EBBC75B-E16B-44A6-838A-A05FFDFBA634}" name="Column5979" dataDxfId="10375"/>
    <tableColumn id="6028" xr3:uid="{84BA38AD-DCF1-42A3-A750-CD1CA624FEC9}" name="Column5980" dataDxfId="10374"/>
    <tableColumn id="6029" xr3:uid="{F9A109AF-8C86-402F-B85E-3A4BF45DFF2E}" name="Column5981" dataDxfId="10373"/>
    <tableColumn id="6030" xr3:uid="{EDE7081D-35C7-41B8-A557-2005DB5C3F33}" name="Column5982" dataDxfId="10372"/>
    <tableColumn id="6031" xr3:uid="{746B99D1-1255-439A-BC65-69089E13ECB6}" name="Column5983" dataDxfId="10371"/>
    <tableColumn id="6032" xr3:uid="{429ED217-D39B-4F95-ABDB-D734DAB147F8}" name="Column5984" dataDxfId="10370"/>
    <tableColumn id="6033" xr3:uid="{F695A0BF-CD38-41D5-9261-18961D483AD2}" name="Column5985" dataDxfId="10369"/>
    <tableColumn id="6034" xr3:uid="{CD6B5A88-9FC4-45A3-93C6-0725C13C352C}" name="Column5986" dataDxfId="10368"/>
    <tableColumn id="6035" xr3:uid="{F3CC2495-DB58-40C9-8189-CFE7E0E95921}" name="Column5987" dataDxfId="10367"/>
    <tableColumn id="6036" xr3:uid="{03E9C02B-91BE-4D4D-B89C-67912A036DB3}" name="Column5988" dataDxfId="10366"/>
    <tableColumn id="6037" xr3:uid="{60F0C3D4-A524-4D6C-8026-28E221EBE560}" name="Column5989" dataDxfId="10365"/>
    <tableColumn id="6038" xr3:uid="{ADB2835E-CAED-4F5D-BDFD-30A23D8A2993}" name="Column5990" dataDxfId="10364"/>
    <tableColumn id="6039" xr3:uid="{0773CA24-8AA9-4B6C-90D2-DD1E66172A2E}" name="Column5991" dataDxfId="10363"/>
    <tableColumn id="6040" xr3:uid="{D7ECC3F2-D9F6-4398-AD9C-538AB3B4754F}" name="Column5992" dataDxfId="10362"/>
    <tableColumn id="6041" xr3:uid="{42671778-6AB3-478D-A565-98AF13513300}" name="Column5993" dataDxfId="10361"/>
    <tableColumn id="6042" xr3:uid="{939BA081-18A7-45A7-A35A-AF583EBADEF4}" name="Column5994" dataDxfId="10360"/>
    <tableColumn id="6043" xr3:uid="{6D544FF0-CA4A-4D25-8A09-1130501A636B}" name="Column5995" dataDxfId="10359"/>
    <tableColumn id="6044" xr3:uid="{F6BAA50C-12D6-4580-98DA-C18B6C3D1E49}" name="Column5996" dataDxfId="10358"/>
    <tableColumn id="6045" xr3:uid="{CEECAE23-107E-4678-8FA6-8717909C9D42}" name="Column5997" dataDxfId="10357"/>
    <tableColumn id="6046" xr3:uid="{203AE43E-08CA-4F57-9A74-255FD825B9EE}" name="Column5998" dataDxfId="10356"/>
    <tableColumn id="6047" xr3:uid="{527499BB-DD0A-4CA6-9A1B-15DB1CA3B24B}" name="Column5999" dataDxfId="10355"/>
    <tableColumn id="6048" xr3:uid="{B52B64BA-BD2D-4D8E-A3FB-5DD283240942}" name="Column6000" dataDxfId="10354"/>
    <tableColumn id="6049" xr3:uid="{35ECCEC1-7C4F-4380-A13E-8DD5CA5E9F19}" name="Column6001" dataDxfId="10353"/>
    <tableColumn id="6050" xr3:uid="{26CFAABF-5152-4A78-B2CC-99FC5528D604}" name="Column6002" dataDxfId="10352"/>
    <tableColumn id="6051" xr3:uid="{F2341156-F39D-40FF-8673-4B40D7F22FE7}" name="Column6003" dataDxfId="10351"/>
    <tableColumn id="6052" xr3:uid="{51747DB3-8B36-48F8-869C-04969BFFAF29}" name="Column6004" dataDxfId="10350"/>
    <tableColumn id="6053" xr3:uid="{054C8BB0-0A57-4619-9FF5-ECEA539C5F20}" name="Column6005" dataDxfId="10349"/>
    <tableColumn id="6054" xr3:uid="{0B0AA1BE-0017-45AA-85CF-2942D5C67364}" name="Column6006" dataDxfId="10348"/>
    <tableColumn id="6055" xr3:uid="{E1AE0C9D-69A3-4ED0-A9DB-11DBC5BBDF3C}" name="Column6007" dataDxfId="10347"/>
    <tableColumn id="6056" xr3:uid="{3CEE3F11-32BE-4167-9502-CF13E83574F0}" name="Column6008" dataDxfId="10346"/>
    <tableColumn id="6057" xr3:uid="{98142A55-C279-45E2-A16F-EDDBF2EBC413}" name="Column6009" dataDxfId="10345"/>
    <tableColumn id="6058" xr3:uid="{62DD4C6B-00F2-4E80-B439-948DAF90B913}" name="Column6010" dataDxfId="10344"/>
    <tableColumn id="6059" xr3:uid="{67A04FBA-95B2-4DDE-861B-F8043C60B1FD}" name="Column6011" dataDxfId="10343"/>
    <tableColumn id="6060" xr3:uid="{B36E6CC6-EB71-4A51-BD58-60BB80A47839}" name="Column6012" dataDxfId="10342"/>
    <tableColumn id="6061" xr3:uid="{7DC0F90C-2739-46D7-AD9E-12BE078636EC}" name="Column6013" dataDxfId="10341"/>
    <tableColumn id="6062" xr3:uid="{74DF4471-8674-4049-87B0-CB0702792832}" name="Column6014" dataDxfId="10340"/>
    <tableColumn id="6063" xr3:uid="{6939E101-2C84-4EED-86A3-5417F2B37A87}" name="Column6015" dataDxfId="10339"/>
    <tableColumn id="6064" xr3:uid="{A1189E10-519F-4228-8838-8BF429C1F7E3}" name="Column6016" dataDxfId="10338"/>
    <tableColumn id="6065" xr3:uid="{B69F10EB-1268-4411-A805-190BAA76467C}" name="Column6017" dataDxfId="10337"/>
    <tableColumn id="6066" xr3:uid="{D14201B3-31F8-41D5-9610-EBFDF37241AA}" name="Column6018" dataDxfId="10336"/>
    <tableColumn id="6067" xr3:uid="{647DF759-6A7A-43FB-A331-EDD338269000}" name="Column6019" dataDxfId="10335"/>
    <tableColumn id="6068" xr3:uid="{7F33C2C6-7F2C-4FBD-B3AF-B1CEE37FDAE6}" name="Column6020" dataDxfId="10334"/>
    <tableColumn id="6069" xr3:uid="{59AF585A-8500-487B-89A8-4C14EE4AAEDF}" name="Column6021" dataDxfId="10333"/>
    <tableColumn id="6070" xr3:uid="{F9EF84BB-BFF4-4395-8AE2-7CA6A0E422B0}" name="Column6022" dataDxfId="10332"/>
    <tableColumn id="6071" xr3:uid="{DEF829E3-1451-40A3-8F9E-592BFB0BD9B1}" name="Column6023" dataDxfId="10331"/>
    <tableColumn id="6072" xr3:uid="{7068DE35-1565-4CD1-B1C9-B0C8AF875C64}" name="Column6024" dataDxfId="10330"/>
    <tableColumn id="6073" xr3:uid="{8E6FA37D-F1FC-4A12-BCB7-B1A17A0BD378}" name="Column6025" dataDxfId="10329"/>
    <tableColumn id="6074" xr3:uid="{A9AD946E-BED1-4C79-96B7-471CB05767D4}" name="Column6026" dataDxfId="10328"/>
    <tableColumn id="6075" xr3:uid="{BAB1A761-8674-4597-B37D-1F7ED41F25EA}" name="Column6027" dataDxfId="10327"/>
    <tableColumn id="6076" xr3:uid="{C07C46E7-6FCD-40E7-B952-D5BA18CE09C6}" name="Column6028" dataDxfId="10326"/>
    <tableColumn id="6077" xr3:uid="{D5A98856-1F55-42EF-A62A-CF68CDC76880}" name="Column6029" dataDxfId="10325"/>
    <tableColumn id="6078" xr3:uid="{93493AE5-E89A-41A5-A508-DC66240BB3B1}" name="Column6030" dataDxfId="10324"/>
    <tableColumn id="6079" xr3:uid="{A9505FBA-B5EC-4BC1-894D-18E3C53A7A92}" name="Column6031" dataDxfId="10323"/>
    <tableColumn id="6080" xr3:uid="{7D6CDD6A-7090-471A-AECF-822EBD0E289A}" name="Column6032" dataDxfId="10322"/>
    <tableColumn id="6081" xr3:uid="{DD116E5A-35B7-4994-BF61-DC352E1EF021}" name="Column6033" dataDxfId="10321"/>
    <tableColumn id="6082" xr3:uid="{8BFFE778-F9FA-4EE2-B89A-05F18E61391C}" name="Column6034" dataDxfId="10320"/>
    <tableColumn id="6083" xr3:uid="{1EF81460-1636-4A09-AF39-C44B0D300AE9}" name="Column6035" dataDxfId="10319"/>
    <tableColumn id="6084" xr3:uid="{48B924B8-2E3F-4650-BDC5-700CB48922A9}" name="Column6036" dataDxfId="10318"/>
    <tableColumn id="6085" xr3:uid="{08EDC1FE-0165-4D99-98AD-A95A8CB63E3A}" name="Column6037" dataDxfId="10317"/>
    <tableColumn id="6086" xr3:uid="{7F24017E-0EE6-4E30-893D-75FF6A4D1C07}" name="Column6038" dataDxfId="10316"/>
    <tableColumn id="6087" xr3:uid="{B812C21C-0F3D-4902-BD6D-78F8D3433DC8}" name="Column6039" dataDxfId="10315"/>
    <tableColumn id="6088" xr3:uid="{E246FE43-6953-4306-8353-89E265EFC273}" name="Column6040" dataDxfId="10314"/>
    <tableColumn id="6089" xr3:uid="{03D9D686-E340-4FED-91B1-02839E295B2F}" name="Column6041" dataDxfId="10313"/>
    <tableColumn id="6090" xr3:uid="{FDE0996D-091D-4EDD-944F-B1C9563FBE0E}" name="Column6042" dataDxfId="10312"/>
    <tableColumn id="6091" xr3:uid="{1B974F84-0B97-4EED-8462-5AB54465F043}" name="Column6043" dataDxfId="10311"/>
    <tableColumn id="6092" xr3:uid="{2ED617E0-BBFA-43F0-998E-745930CD28B6}" name="Column6044" dataDxfId="10310"/>
    <tableColumn id="6093" xr3:uid="{BE5A3790-74F3-4C23-ACA3-80E808F1E378}" name="Column6045" dataDxfId="10309"/>
    <tableColumn id="6094" xr3:uid="{C07F73AC-0D3D-4CA2-B179-11EA5A9412FC}" name="Column6046" dataDxfId="10308"/>
    <tableColumn id="6095" xr3:uid="{83AB49D6-CB5D-4967-BE0E-AD9F944AD685}" name="Column6047" dataDxfId="10307"/>
    <tableColumn id="6096" xr3:uid="{688B8E0E-1815-40C7-99E5-439FEC51491A}" name="Column6048" dataDxfId="10306"/>
    <tableColumn id="6097" xr3:uid="{4C852639-7194-4677-BBA8-F9C5531B440C}" name="Column6049" dataDxfId="10305"/>
    <tableColumn id="6098" xr3:uid="{E1F387CD-3D25-4EE6-849E-F5CD786C0059}" name="Column6050" dataDxfId="10304"/>
    <tableColumn id="6099" xr3:uid="{8DCDB8F4-7FBC-4E50-8891-6035582464FA}" name="Column6051" dataDxfId="10303"/>
    <tableColumn id="6100" xr3:uid="{CB75F688-A4FB-4649-B392-4CE4D683698F}" name="Column6052" dataDxfId="10302"/>
    <tableColumn id="6101" xr3:uid="{7D0DAB6F-A2D3-4054-B982-E8A08CE6FF01}" name="Column6053" dataDxfId="10301"/>
    <tableColumn id="6102" xr3:uid="{E7D46851-F9EE-43C5-8E92-472C7813FD7B}" name="Column6054" dataDxfId="10300"/>
    <tableColumn id="6103" xr3:uid="{420A5F3B-1FE3-4684-9159-7C838A3AF04D}" name="Column6055" dataDxfId="10299"/>
    <tableColumn id="6104" xr3:uid="{5C34C864-3394-4494-8397-7B086E9EA74F}" name="Column6056" dataDxfId="10298"/>
    <tableColumn id="6105" xr3:uid="{F4B60C75-5E5C-4948-87D1-5B85A58BF008}" name="Column6057" dataDxfId="10297"/>
    <tableColumn id="6106" xr3:uid="{3CEC53A9-6346-4F1A-AED1-FEA5D7978BED}" name="Column6058" dataDxfId="10296"/>
    <tableColumn id="6107" xr3:uid="{A04BA602-7787-4D6C-8C19-A67041D70552}" name="Column6059" dataDxfId="10295"/>
    <tableColumn id="6108" xr3:uid="{7522747B-E7C3-4188-9D47-FEAE1805B6A9}" name="Column6060" dataDxfId="10294"/>
    <tableColumn id="6109" xr3:uid="{E896EED4-C47E-4C2A-AA34-884F1533B2A4}" name="Column6061" dataDxfId="10293"/>
    <tableColumn id="6110" xr3:uid="{AF97A2EC-2043-4B1C-9F22-D7DB18FD0128}" name="Column6062" dataDxfId="10292"/>
    <tableColumn id="6111" xr3:uid="{EAE16982-9CC8-4E25-8F99-04862ED97459}" name="Column6063" dataDxfId="10291"/>
    <tableColumn id="6112" xr3:uid="{E93471E4-3430-4CC5-A46C-965D59D228D0}" name="Column6064" dataDxfId="10290"/>
    <tableColumn id="6113" xr3:uid="{F573855D-D627-4470-9890-C8CA9597D3D8}" name="Column6065" dataDxfId="10289"/>
    <tableColumn id="6114" xr3:uid="{7C3FFC4B-7D84-4628-8A5B-DA76666E8ABD}" name="Column6066" dataDxfId="10288"/>
    <tableColumn id="6115" xr3:uid="{2A465675-1A36-4FCC-8F5C-2E0CEED8A4F1}" name="Column6067" dataDxfId="10287"/>
    <tableColumn id="6116" xr3:uid="{366BEE9C-F737-4728-8C32-67CDD1C2D15C}" name="Column6068" dataDxfId="10286"/>
    <tableColumn id="6117" xr3:uid="{2D3EAA2D-CAEA-425C-A1D5-0A747251AE6A}" name="Column6069" dataDxfId="10285"/>
    <tableColumn id="6118" xr3:uid="{EEF4F1D3-23AA-4F1D-88A0-A4B5D1698144}" name="Column6070" dataDxfId="10284"/>
    <tableColumn id="6119" xr3:uid="{FAC0AEAC-3FB2-4CD5-A519-7E24D6F20AC3}" name="Column6071" dataDxfId="10283"/>
    <tableColumn id="6120" xr3:uid="{8C340CEA-56E3-4896-9C3E-67880A7A1451}" name="Column6072" dataDxfId="10282"/>
    <tableColumn id="6121" xr3:uid="{ACA53B0E-F594-42CB-B8B7-34A781233AC8}" name="Column6073" dataDxfId="10281"/>
    <tableColumn id="6122" xr3:uid="{7C42B1D9-CB01-4B5A-8873-CD9DB1516E75}" name="Column6074" dataDxfId="10280"/>
    <tableColumn id="6123" xr3:uid="{36915536-3F65-42D0-85A6-5CB8E8D9AEB7}" name="Column6075" dataDxfId="10279"/>
    <tableColumn id="6124" xr3:uid="{AA672002-E10E-4000-9F08-B8FC989ADA70}" name="Column6076" dataDxfId="10278"/>
    <tableColumn id="6125" xr3:uid="{CF1DCDBB-E217-461C-BE78-CCDD6BBCAA64}" name="Column6077" dataDxfId="10277"/>
    <tableColumn id="6126" xr3:uid="{E3C4B3DF-D0F2-4B61-ACED-4FBD97F53D6A}" name="Column6078" dataDxfId="10276"/>
    <tableColumn id="6127" xr3:uid="{3A624A39-5990-4D9B-BDB6-67847878D807}" name="Column6079" dataDxfId="10275"/>
    <tableColumn id="6128" xr3:uid="{D729C9FD-6EB2-45A8-8B62-2D7B0E6EAD04}" name="Column6080" dataDxfId="10274"/>
    <tableColumn id="6129" xr3:uid="{F0EBCC09-D7F9-40AE-985C-F767E7DE5B0B}" name="Column6081" dataDxfId="10273"/>
    <tableColumn id="6130" xr3:uid="{2EF24360-5450-49E8-ACC3-1EB35798E8D8}" name="Column6082" dataDxfId="10272"/>
    <tableColumn id="6131" xr3:uid="{F392F08D-716A-49AE-9593-6C466A7BAA9F}" name="Column6083" dataDxfId="10271"/>
    <tableColumn id="6132" xr3:uid="{82463470-CFF8-4A8A-BBAC-FB0BE24CEED5}" name="Column6084" dataDxfId="10270"/>
    <tableColumn id="6133" xr3:uid="{42A31ED5-7608-4FE0-8A53-A85C76E57099}" name="Column6085" dataDxfId="10269"/>
    <tableColumn id="6134" xr3:uid="{3DC37DA8-2272-42BC-BA97-0A51DF2D6D1C}" name="Column6086" dataDxfId="10268"/>
    <tableColumn id="6135" xr3:uid="{EF38EE2E-EAAA-45DF-890C-FEDFCE6061A9}" name="Column6087" dataDxfId="10267"/>
    <tableColumn id="6136" xr3:uid="{BA7F84CC-59B1-4CD4-AFAB-C6CFA69B8B08}" name="Column6088" dataDxfId="10266"/>
    <tableColumn id="6137" xr3:uid="{C2DA32D3-0297-4A32-A72B-D28AC85788C4}" name="Column6089" dataDxfId="10265"/>
    <tableColumn id="6138" xr3:uid="{DA682352-033A-42E7-9502-997BEC107AF3}" name="Column6090" dataDxfId="10264"/>
    <tableColumn id="6139" xr3:uid="{BA608357-E90A-43F1-8C2C-609E9B574145}" name="Column6091" dataDxfId="10263"/>
    <tableColumn id="6140" xr3:uid="{BA311361-5FCF-4F62-B856-EC6E6AF7ADA6}" name="Column6092" dataDxfId="10262"/>
    <tableColumn id="6141" xr3:uid="{80BFE728-C6EE-41B0-827E-466CCC06DC67}" name="Column6093" dataDxfId="10261"/>
    <tableColumn id="6142" xr3:uid="{A2F37A2D-C4BA-40BB-A521-A30368CE365F}" name="Column6094" dataDxfId="10260"/>
    <tableColumn id="6143" xr3:uid="{91BD75FE-A93F-4C70-AE41-9DE47AC52B04}" name="Column6095" dataDxfId="10259"/>
    <tableColumn id="6144" xr3:uid="{97C4AD1F-23CC-40F8-A347-C552B2431B0A}" name="Column6096" dataDxfId="10258"/>
    <tableColumn id="6145" xr3:uid="{005DD8CB-97B5-4ECC-A714-0CA4FBAFABB0}" name="Column6097" dataDxfId="10257"/>
    <tableColumn id="6146" xr3:uid="{2E1E9FD1-E773-443D-85CD-734B6ABFD060}" name="Column6098" dataDxfId="10256"/>
    <tableColumn id="6147" xr3:uid="{4CBE00CB-4015-48BE-936B-0003FAC189F7}" name="Column6099" dataDxfId="10255"/>
    <tableColumn id="6148" xr3:uid="{3D6C53A5-8DB0-4760-8028-375C715548F6}" name="Column6100" dataDxfId="10254"/>
    <tableColumn id="6149" xr3:uid="{009ED5B0-3730-4EC3-92A0-940346002538}" name="Column6101" dataDxfId="10253"/>
    <tableColumn id="6150" xr3:uid="{56A1A6BD-418F-43A6-A9FD-856122944C0E}" name="Column6102" dataDxfId="10252"/>
    <tableColumn id="6151" xr3:uid="{53C9B674-D414-41C7-B9DE-32A5F611E86D}" name="Column6103" dataDxfId="10251"/>
    <tableColumn id="6152" xr3:uid="{8C59AB16-7D4F-48E3-BCCE-2D6D05335989}" name="Column6104" dataDxfId="10250"/>
    <tableColumn id="6153" xr3:uid="{F51BBD21-EF51-42A5-AF11-10620405A3F7}" name="Column6105" dataDxfId="10249"/>
    <tableColumn id="6154" xr3:uid="{82B10DF9-1109-4005-B2E3-F05F23D5C129}" name="Column6106" dataDxfId="10248"/>
    <tableColumn id="6155" xr3:uid="{7D77A214-4164-4B32-9692-A9E81288615A}" name="Column6107" dataDxfId="10247"/>
    <tableColumn id="6156" xr3:uid="{E89195D8-FB7F-4F19-9FF6-EFA8C01D06D6}" name="Column6108" dataDxfId="10246"/>
    <tableColumn id="6157" xr3:uid="{7C0F96F1-A90C-4123-8AAF-BE232880D1CE}" name="Column6109" dataDxfId="10245"/>
    <tableColumn id="6158" xr3:uid="{30E6184B-D53A-4266-A6F7-650AE7D990AB}" name="Column6110" dataDxfId="10244"/>
    <tableColumn id="6159" xr3:uid="{BABA8F6E-837A-4F97-ABD6-D8483A48CEE2}" name="Column6111" dataDxfId="10243"/>
    <tableColumn id="6160" xr3:uid="{B6B34073-2417-46BA-A07E-19F7A1FE4D17}" name="Column6112" dataDxfId="10242"/>
    <tableColumn id="6161" xr3:uid="{A05DF16F-D531-4C86-8C11-002601AB9F93}" name="Column6113" dataDxfId="10241"/>
    <tableColumn id="6162" xr3:uid="{A368E68D-2AC0-4290-91FC-1DC4EE07E2B1}" name="Column6114" dataDxfId="10240"/>
    <tableColumn id="6163" xr3:uid="{555E2136-1123-4981-80F0-0382DC6C1D66}" name="Column6115" dataDxfId="10239"/>
    <tableColumn id="6164" xr3:uid="{C7FAFBDD-53B6-4C97-B6B5-1F5066E76E58}" name="Column6116" dataDxfId="10238"/>
    <tableColumn id="6165" xr3:uid="{F6C93872-9819-441A-B6CB-988ABBA1F964}" name="Column6117" dataDxfId="10237"/>
    <tableColumn id="6166" xr3:uid="{160F05A9-253E-4EC4-8A15-AF928851C8E6}" name="Column6118" dataDxfId="10236"/>
    <tableColumn id="6167" xr3:uid="{3A9FBE80-32C1-4782-9191-9DCCF7003DF8}" name="Column6119" dataDxfId="10235"/>
    <tableColumn id="6168" xr3:uid="{FBC582C4-6A0F-4669-A957-B5131BFD87BC}" name="Column6120" dataDxfId="10234"/>
    <tableColumn id="6169" xr3:uid="{293AECE1-9D7C-4BF0-9C9D-AF3AB017F54C}" name="Column6121" dataDxfId="10233"/>
    <tableColumn id="6170" xr3:uid="{9FC00FA0-29C7-4202-9067-66086F88E542}" name="Column6122" dataDxfId="10232"/>
    <tableColumn id="6171" xr3:uid="{2C74344E-16A8-4A85-814C-57E7E30F003F}" name="Column6123" dataDxfId="10231"/>
    <tableColumn id="6172" xr3:uid="{326E2BF5-2196-40CE-BDF8-923D3D9F9887}" name="Column6124" dataDxfId="10230"/>
    <tableColumn id="6173" xr3:uid="{E27969D8-B93E-4397-9671-045372BB8BE3}" name="Column6125" dataDxfId="10229"/>
    <tableColumn id="6174" xr3:uid="{C2599B20-EA5A-45EC-973B-93EF67C124B4}" name="Column6126" dataDxfId="10228"/>
    <tableColumn id="6175" xr3:uid="{38325155-244E-41FF-8E79-08DFD2D79E7E}" name="Column6127" dataDxfId="10227"/>
    <tableColumn id="6176" xr3:uid="{D1F8FE36-825F-4884-9164-69B901C1FE44}" name="Column6128" dataDxfId="10226"/>
    <tableColumn id="6177" xr3:uid="{249B271F-64E7-4CA0-A040-F21D14486F46}" name="Column6129" dataDxfId="10225"/>
    <tableColumn id="6178" xr3:uid="{9186083E-7891-46CB-92B5-50C6B27CCC67}" name="Column6130" dataDxfId="10224"/>
    <tableColumn id="6179" xr3:uid="{E26196A6-F3F3-4C8F-BD6A-29083FBBBA86}" name="Column6131" dataDxfId="10223"/>
    <tableColumn id="6180" xr3:uid="{D7E98D4B-DA2B-40F0-90C5-44B4091D97D5}" name="Column6132" dataDxfId="10222"/>
    <tableColumn id="6181" xr3:uid="{2630E349-6B7A-4C79-8AE5-5271B5F153AB}" name="Column6133" dataDxfId="10221"/>
    <tableColumn id="6182" xr3:uid="{027C88F9-3BB8-4814-9D64-0DCCBAD6D0BF}" name="Column6134" dataDxfId="10220"/>
    <tableColumn id="6183" xr3:uid="{3D641F7E-A0B7-4AE9-9911-EEA2383AD761}" name="Column6135" dataDxfId="10219"/>
    <tableColumn id="6184" xr3:uid="{33A46CB9-71A0-441B-ADEE-45E9620A524C}" name="Column6136" dataDxfId="10218"/>
    <tableColumn id="6185" xr3:uid="{FD6D0784-F649-4DB1-808E-33BEB85DEB9F}" name="Column6137" dataDxfId="10217"/>
    <tableColumn id="6186" xr3:uid="{E37320F2-9F27-4C00-8AB7-E03DD6C76F08}" name="Column6138" dataDxfId="10216"/>
    <tableColumn id="6187" xr3:uid="{0E74ACE3-70B7-451D-9DBB-C95C4215F97F}" name="Column6139" dataDxfId="10215"/>
    <tableColumn id="6188" xr3:uid="{1D3B6676-41C9-4A64-B7B7-9FB34EBE5A14}" name="Column6140" dataDxfId="10214"/>
    <tableColumn id="6189" xr3:uid="{6CE79DB0-BD2C-4538-A31E-5CCCF4077B0E}" name="Column6141" dataDxfId="10213"/>
    <tableColumn id="6190" xr3:uid="{B2C4428A-818B-449F-B26F-20267720D6F4}" name="Column6142" dataDxfId="10212"/>
    <tableColumn id="6191" xr3:uid="{021F9779-1593-4DCF-91D6-3FA0E8CF4350}" name="Column6143" dataDxfId="10211"/>
    <tableColumn id="6192" xr3:uid="{E85B9914-BB49-4F76-AB93-59058F9C9653}" name="Column6144" dataDxfId="10210"/>
    <tableColumn id="6193" xr3:uid="{32DF2AAC-628A-48FC-AA99-3D086F719F24}" name="Column6145" dataDxfId="10209"/>
    <tableColumn id="6194" xr3:uid="{6230ABE5-4F67-4B03-9028-2564479C030C}" name="Column6146" dataDxfId="10208"/>
    <tableColumn id="6195" xr3:uid="{0AB383D0-BDB8-4B24-97B9-94E9146EE057}" name="Column6147" dataDxfId="10207"/>
    <tableColumn id="6196" xr3:uid="{E6D389D8-E198-4AF7-98D6-8607AA0FBFAC}" name="Column6148" dataDxfId="10206"/>
    <tableColumn id="6197" xr3:uid="{85BA5372-990B-4538-B08F-4355E9DF51A1}" name="Column6149" dataDxfId="10205"/>
    <tableColumn id="6198" xr3:uid="{0137249E-1A81-429F-8907-85A8F64E3FCB}" name="Column6150" dataDxfId="10204"/>
    <tableColumn id="6199" xr3:uid="{953C83EA-396F-4B83-A4A2-EB0F1F914B43}" name="Column6151" dataDxfId="10203"/>
    <tableColumn id="6200" xr3:uid="{177EB98D-857F-47B0-9F26-9FF31C2C095C}" name="Column6152" dataDxfId="10202"/>
    <tableColumn id="6201" xr3:uid="{1F9DF012-2DD1-4587-A3D1-6E9DDDAA9A96}" name="Column6153" dataDxfId="10201"/>
    <tableColumn id="6202" xr3:uid="{573A68AC-A737-436C-A3A9-B76773B11C0F}" name="Column6154" dataDxfId="10200"/>
    <tableColumn id="6203" xr3:uid="{5CD511EE-5AFC-45DA-A4F0-60DDC7412E5E}" name="Column6155" dataDxfId="10199"/>
    <tableColumn id="6204" xr3:uid="{657D753D-1AB5-437B-84FD-F07AC12127EB}" name="Column6156" dataDxfId="10198"/>
    <tableColumn id="6205" xr3:uid="{093902C8-1C9C-4F86-BEF9-BBE9ADB7788B}" name="Column6157" dataDxfId="10197"/>
    <tableColumn id="6206" xr3:uid="{651953AD-91DB-4038-BE4E-4A90DEE6D40E}" name="Column6158" dataDxfId="10196"/>
    <tableColumn id="6207" xr3:uid="{B7516083-9459-4B66-9FF9-3023518EEDC8}" name="Column6159" dataDxfId="10195"/>
    <tableColumn id="6208" xr3:uid="{97481358-8146-4B60-8DBF-615F01E0F883}" name="Column6160" dataDxfId="10194"/>
    <tableColumn id="6209" xr3:uid="{33B4B519-21B5-43BD-A960-1C4FC8C0D9F6}" name="Column6161" dataDxfId="10193"/>
    <tableColumn id="6210" xr3:uid="{DD0DC182-B80C-4AE6-95E9-132412EA6A66}" name="Column6162" dataDxfId="10192"/>
    <tableColumn id="6211" xr3:uid="{ADE4192A-5A6A-4FB4-9AF6-3479FAC1930A}" name="Column6163" dataDxfId="10191"/>
    <tableColumn id="6212" xr3:uid="{7BFB5E7B-E580-4DAB-BDC1-80F643BD72DE}" name="Column6164" dataDxfId="10190"/>
    <tableColumn id="6213" xr3:uid="{7F3283CE-3B76-49FA-B77C-C17B47B0BE54}" name="Column6165" dataDxfId="10189"/>
    <tableColumn id="6214" xr3:uid="{B0717906-92D7-40FB-93DC-CBD4292F031E}" name="Column6166" dataDxfId="10188"/>
    <tableColumn id="6215" xr3:uid="{87BDBB9F-74EE-4006-8D14-E87999C7AD53}" name="Column6167" dataDxfId="10187"/>
    <tableColumn id="6216" xr3:uid="{0E81EAD2-2259-4F41-BBBC-4111A454FC44}" name="Column6168" dataDxfId="10186"/>
    <tableColumn id="6217" xr3:uid="{7AAEC21B-CFC7-4523-8878-E78451E6322D}" name="Column6169" dataDxfId="10185"/>
    <tableColumn id="6218" xr3:uid="{CC17C633-0809-4B4C-A30E-26C9F5213445}" name="Column6170" dataDxfId="10184"/>
    <tableColumn id="6219" xr3:uid="{CF869685-C98F-45A5-B37D-152BA2D4C867}" name="Column6171" dataDxfId="10183"/>
    <tableColumn id="6220" xr3:uid="{A74811C2-41B4-47E2-BE52-9B9E3AA2F2B4}" name="Column6172" dataDxfId="10182"/>
    <tableColumn id="6221" xr3:uid="{2EBD3E65-770E-432E-B117-0AC047F89F22}" name="Column6173" dataDxfId="10181"/>
    <tableColumn id="6222" xr3:uid="{F3996EEA-ED9E-4DD5-82A3-8BA89CC00F30}" name="Column6174" dataDxfId="10180"/>
    <tableColumn id="6223" xr3:uid="{5E4972FC-D2C4-4564-875D-294CFC18639A}" name="Column6175" dataDxfId="10179"/>
    <tableColumn id="6224" xr3:uid="{0DE977B7-03CC-465A-97B9-45273991CAF7}" name="Column6176" dataDxfId="10178"/>
    <tableColumn id="6225" xr3:uid="{7B7284E6-B588-4142-AC5C-432D26799803}" name="Column6177" dataDxfId="10177"/>
    <tableColumn id="6226" xr3:uid="{039B8828-BD8E-4E5A-AA3F-1EE669BCDADC}" name="Column6178" dataDxfId="10176"/>
    <tableColumn id="6227" xr3:uid="{D9EB4711-5B82-4370-8216-C0C74876ED0B}" name="Column6179" dataDxfId="10175"/>
    <tableColumn id="6228" xr3:uid="{75C86B9E-21E6-4C16-A0D5-B8B0676AD8F6}" name="Column6180" dataDxfId="10174"/>
    <tableColumn id="6229" xr3:uid="{AC36538C-E2D9-4F5C-9C72-9AB6E3E22B1F}" name="Column6181" dataDxfId="10173"/>
    <tableColumn id="6230" xr3:uid="{8B5E1A2B-AE14-4038-94C5-1C8649D0E5DF}" name="Column6182" dataDxfId="10172"/>
    <tableColumn id="6231" xr3:uid="{9F237436-819E-421D-BD24-365F0BF2939F}" name="Column6183" dataDxfId="10171"/>
    <tableColumn id="6232" xr3:uid="{CA2BD226-D341-4FEB-9134-EFE13A66FCB7}" name="Column6184" dataDxfId="10170"/>
    <tableColumn id="6233" xr3:uid="{31DA5F74-14AD-44E4-AEE5-8317A993168E}" name="Column6185" dataDxfId="10169"/>
    <tableColumn id="6234" xr3:uid="{659B2FE4-9764-4FC5-BA07-34C521B127E1}" name="Column6186" dataDxfId="10168"/>
    <tableColumn id="6235" xr3:uid="{50707A27-8EA4-4231-967A-BA1D27C1A9DF}" name="Column6187" dataDxfId="10167"/>
    <tableColumn id="6236" xr3:uid="{A9286BB0-83B5-46DE-923A-7D08F7D4658E}" name="Column6188" dataDxfId="10166"/>
    <tableColumn id="6237" xr3:uid="{6DA25FF8-A57F-4F91-B8D8-F81A935AB63D}" name="Column6189" dataDxfId="10165"/>
    <tableColumn id="6238" xr3:uid="{CD70CECA-9946-41F7-8A18-362C9B9718C7}" name="Column6190" dataDxfId="10164"/>
    <tableColumn id="6239" xr3:uid="{54433391-8230-4604-930A-395F19A68496}" name="Column6191" dataDxfId="10163"/>
    <tableColumn id="6240" xr3:uid="{BFC7122F-DD4B-4AFC-84B1-7A320060E38E}" name="Column6192" dataDxfId="10162"/>
    <tableColumn id="6241" xr3:uid="{8B1C5580-22A5-4A7C-A496-B85187599E07}" name="Column6193" dataDxfId="10161"/>
    <tableColumn id="6242" xr3:uid="{15C1EDA0-CAD9-47A2-BE31-88DE7679872A}" name="Column6194" dataDxfId="10160"/>
    <tableColumn id="6243" xr3:uid="{2411C8B5-E30F-479E-94AB-F0D68FC954A9}" name="Column6195" dataDxfId="10159"/>
    <tableColumn id="6244" xr3:uid="{B085CDC5-55BD-4C11-8CB5-FDA83C6EE9FB}" name="Column6196" dataDxfId="10158"/>
    <tableColumn id="6245" xr3:uid="{B88C95AF-6711-4F69-9E92-9816ACC71FC1}" name="Column6197" dataDxfId="10157"/>
    <tableColumn id="6246" xr3:uid="{2DC9F5BF-1982-487A-B3A9-2EF99972CB06}" name="Column6198" dataDxfId="10156"/>
    <tableColumn id="6247" xr3:uid="{7B14BFAD-E730-493B-AAF6-F7E57E4D7359}" name="Column6199" dataDxfId="10155"/>
    <tableColumn id="6248" xr3:uid="{A8449DE8-921E-4706-8822-B7A4A54F0A62}" name="Column6200" dataDxfId="10154"/>
    <tableColumn id="6249" xr3:uid="{DA383EC8-9270-4DB0-A93A-CAD198AEF565}" name="Column6201" dataDxfId="10153"/>
    <tableColumn id="6250" xr3:uid="{C16E84D7-FE38-4B1A-9614-2451B2931AD9}" name="Column6202" dataDxfId="10152"/>
    <tableColumn id="6251" xr3:uid="{8764DD71-6183-43F8-87ED-1A3F03DD66A9}" name="Column6203" dataDxfId="10151"/>
    <tableColumn id="6252" xr3:uid="{2E1CFA33-1D94-47C9-B0B7-04748C9D1C44}" name="Column6204" dataDxfId="10150"/>
    <tableColumn id="6253" xr3:uid="{54139A18-A4EF-442A-BE5D-95BAA56836C9}" name="Column6205" dataDxfId="10149"/>
    <tableColumn id="6254" xr3:uid="{9E78105A-8E52-4247-ADEB-F8FCCDAA01A5}" name="Column6206" dataDxfId="10148"/>
    <tableColumn id="6255" xr3:uid="{7D9F9D49-F390-4712-8017-B5D03FEEB22D}" name="Column6207" dataDxfId="10147"/>
    <tableColumn id="6256" xr3:uid="{5A633741-E60C-4554-8FEA-017D960DB8E2}" name="Column6208" dataDxfId="10146"/>
    <tableColumn id="6257" xr3:uid="{8F9FF8DF-13FC-492B-9F88-C34F0FE7ACEE}" name="Column6209" dataDxfId="10145"/>
    <tableColumn id="6258" xr3:uid="{84F3E877-76B7-4B59-B56D-82F5463197FE}" name="Column6210" dataDxfId="10144"/>
    <tableColumn id="6259" xr3:uid="{693DDC60-E404-46AF-AD16-40431DF4F499}" name="Column6211" dataDxfId="10143"/>
    <tableColumn id="6260" xr3:uid="{89751CFE-0069-4439-AE12-1B4FCD851D46}" name="Column6212" dataDxfId="10142"/>
    <tableColumn id="6261" xr3:uid="{B473D73A-26E8-4161-9F04-C75E2464504A}" name="Column6213" dataDxfId="10141"/>
    <tableColumn id="6262" xr3:uid="{EFF04DFB-7F7A-45BF-9F9E-BDC2848D245E}" name="Column6214" dataDxfId="10140"/>
    <tableColumn id="6263" xr3:uid="{41E4B94A-3C59-49E3-AD3B-FF9F33BC125B}" name="Column6215" dataDxfId="10139"/>
    <tableColumn id="6264" xr3:uid="{D83971C4-DB3C-49F0-A729-3822181166DE}" name="Column6216" dataDxfId="10138"/>
    <tableColumn id="6265" xr3:uid="{0F15B6D7-9EEE-4320-A429-88839C458E82}" name="Column6217" dataDxfId="10137"/>
    <tableColumn id="6266" xr3:uid="{CA3B24DC-A629-4167-8FA2-91D8DDEBAF97}" name="Column6218" dataDxfId="10136"/>
    <tableColumn id="6267" xr3:uid="{EF9E0E9B-8E30-4F9D-8AEC-D46AED3C16AC}" name="Column6219" dataDxfId="10135"/>
    <tableColumn id="6268" xr3:uid="{2507107C-7DC5-4129-9677-C99609BEF9DA}" name="Column6220" dataDxfId="10134"/>
    <tableColumn id="6269" xr3:uid="{03E31357-B27C-41EA-9B3E-CE767F976F3F}" name="Column6221" dataDxfId="10133"/>
    <tableColumn id="6270" xr3:uid="{37609B8C-DE83-485A-9369-96652C2A9E35}" name="Column6222" dataDxfId="10132"/>
    <tableColumn id="6271" xr3:uid="{34BF007D-F7B7-4DD0-9AC6-965C3EB57D85}" name="Column6223" dataDxfId="10131"/>
    <tableColumn id="6272" xr3:uid="{C1D14F55-6A02-42E8-A362-8F935CFE2C66}" name="Column6224" dataDxfId="10130"/>
    <tableColumn id="6273" xr3:uid="{E5ED6FFA-E01D-4CAF-80BD-0856D90E0CCA}" name="Column6225" dataDxfId="10129"/>
    <tableColumn id="6274" xr3:uid="{3B5F45EA-ABAF-4201-874B-98687E5E530B}" name="Column6226" dataDxfId="10128"/>
    <tableColumn id="6275" xr3:uid="{DA937906-007D-4D87-9EAE-91441A1737D1}" name="Column6227" dataDxfId="10127"/>
    <tableColumn id="6276" xr3:uid="{F30F1724-09B7-468E-8E79-D8132DE1D2E1}" name="Column6228" dataDxfId="10126"/>
    <tableColumn id="6277" xr3:uid="{D681262D-792F-45C2-A8FE-467F0D76862E}" name="Column6229" dataDxfId="10125"/>
    <tableColumn id="6278" xr3:uid="{4A572852-6ACB-491D-A047-40FE5AC321A0}" name="Column6230" dataDxfId="10124"/>
    <tableColumn id="6279" xr3:uid="{081F52F0-EF75-46AF-8EFE-3B44C30A6C5F}" name="Column6231" dataDxfId="10123"/>
    <tableColumn id="6280" xr3:uid="{7A107E38-746D-4786-A426-E8089F8ACAC4}" name="Column6232" dataDxfId="10122"/>
    <tableColumn id="6281" xr3:uid="{782D2959-DCCD-4FE3-BCBE-9888A1CD103A}" name="Column6233" dataDxfId="10121"/>
    <tableColumn id="6282" xr3:uid="{B333DDC6-183A-4F67-B701-67EA4D84BCCA}" name="Column6234" dataDxfId="10120"/>
    <tableColumn id="6283" xr3:uid="{810C08C8-848D-44B5-A848-D9A686649EBC}" name="Column6235" dataDxfId="10119"/>
    <tableColumn id="6284" xr3:uid="{A6328AAB-7C17-4DD8-A3B0-1FA11B5169FA}" name="Column6236" dataDxfId="10118"/>
    <tableColumn id="6285" xr3:uid="{B4BAE880-E8CC-49A5-8723-F2A8F2CC775F}" name="Column6237" dataDxfId="10117"/>
    <tableColumn id="6286" xr3:uid="{834FFBCB-02DD-4749-ADAF-B8E3F317070A}" name="Column6238" dataDxfId="10116"/>
    <tableColumn id="6287" xr3:uid="{4A5145F1-B514-4EAC-89E4-83BA3BF7EC53}" name="Column6239" dataDxfId="10115"/>
    <tableColumn id="6288" xr3:uid="{39D78C63-8A4B-492A-81F6-084371543996}" name="Column6240" dataDxfId="10114"/>
    <tableColumn id="6289" xr3:uid="{BE36BF77-1CAD-4EB2-849B-F44D48AF98C5}" name="Column6241" dataDxfId="10113"/>
    <tableColumn id="6290" xr3:uid="{CFC1242C-7676-4D53-8F50-9EC3A996C43D}" name="Column6242" dataDxfId="10112"/>
    <tableColumn id="6291" xr3:uid="{77F0CF9C-F546-4787-9EC3-E523AF7ABE8E}" name="Column6243" dataDxfId="10111"/>
    <tableColumn id="6292" xr3:uid="{29CBAF96-E07D-4F51-AA47-311445A992BB}" name="Column6244" dataDxfId="10110"/>
    <tableColumn id="6293" xr3:uid="{3C9BBBEC-EEFB-4295-9D5E-CA7EF847E07E}" name="Column6245" dataDxfId="10109"/>
    <tableColumn id="6294" xr3:uid="{035849BD-0373-4515-A443-FDE97DEC032B}" name="Column6246" dataDxfId="10108"/>
    <tableColumn id="6295" xr3:uid="{1EC9BC96-6707-4771-8EB9-7FB12122C6C3}" name="Column6247" dataDxfId="10107"/>
    <tableColumn id="6296" xr3:uid="{80018442-928D-47CA-B95E-9293A2B9CB9C}" name="Column6248" dataDxfId="10106"/>
    <tableColumn id="6297" xr3:uid="{E086C8B7-5E4A-405C-A33D-0F25925D93A1}" name="Column6249" dataDxfId="10105"/>
    <tableColumn id="6298" xr3:uid="{9A2BDA41-0C5E-47A2-AD36-97B5CF814E80}" name="Column6250" dataDxfId="10104"/>
    <tableColumn id="6299" xr3:uid="{C4197129-675C-42DD-8009-20952DBF93F6}" name="Column6251" dataDxfId="10103"/>
    <tableColumn id="6300" xr3:uid="{FFD71444-2FC4-481A-B1C1-E70B6E21CFF0}" name="Column6252" dataDxfId="10102"/>
    <tableColumn id="6301" xr3:uid="{13BAA668-63D8-4690-8E87-15AB63A8C8F8}" name="Column6253" dataDxfId="10101"/>
    <tableColumn id="6302" xr3:uid="{FA5BAC43-F995-4714-8345-4680F9890112}" name="Column6254" dataDxfId="10100"/>
    <tableColumn id="6303" xr3:uid="{C5589453-E46B-4825-B802-3A77202BC163}" name="Column6255" dataDxfId="10099"/>
    <tableColumn id="6304" xr3:uid="{5EBB4A9A-F0CD-4338-8AB2-816515193277}" name="Column6256" dataDxfId="10098"/>
    <tableColumn id="6305" xr3:uid="{EB3C7A7F-FC9F-4E33-B133-94D4D2D14384}" name="Column6257" dataDxfId="10097"/>
    <tableColumn id="6306" xr3:uid="{873359DF-F644-432E-98CB-1EEAA323A143}" name="Column6258" dataDxfId="10096"/>
    <tableColumn id="6307" xr3:uid="{983D8BC4-8772-4DA6-AD2C-852FE082AD79}" name="Column6259" dataDxfId="10095"/>
    <tableColumn id="6308" xr3:uid="{E5290C76-B092-4363-BA13-26B5EB99C5F8}" name="Column6260" dataDxfId="10094"/>
    <tableColumn id="6309" xr3:uid="{7CDC7F63-89F6-44B6-A754-3A4AF6D009D8}" name="Column6261" dataDxfId="10093"/>
    <tableColumn id="6310" xr3:uid="{54A8DD1A-BCB2-4259-A6ED-04AFEB4F7AD7}" name="Column6262" dataDxfId="10092"/>
    <tableColumn id="6311" xr3:uid="{DBA06922-D1B8-4709-81F0-7E2494F0492B}" name="Column6263" dataDxfId="10091"/>
    <tableColumn id="6312" xr3:uid="{50A16909-A264-4C26-A067-D0DCC3362C9D}" name="Column6264" dataDxfId="10090"/>
    <tableColumn id="6313" xr3:uid="{0D79F699-C359-4A61-B22F-BFEA48F28627}" name="Column6265" dataDxfId="10089"/>
    <tableColumn id="6314" xr3:uid="{1B8B18C2-84C9-4B08-9DC5-01C1D9BB3BFD}" name="Column6266" dataDxfId="10088"/>
    <tableColumn id="6315" xr3:uid="{AED2D2F7-CECC-48E9-A10C-E742BC4A8300}" name="Column6267" dataDxfId="10087"/>
    <tableColumn id="6316" xr3:uid="{61B94964-471C-46A2-814E-DB154419FFE5}" name="Column6268" dataDxfId="10086"/>
    <tableColumn id="6317" xr3:uid="{219926E9-DCF8-4322-BC88-0C1DA03BCEF2}" name="Column6269" dataDxfId="10085"/>
    <tableColumn id="6318" xr3:uid="{517AF3E8-B36D-4D9D-97D1-852361CA9F40}" name="Column6270" dataDxfId="10084"/>
    <tableColumn id="6319" xr3:uid="{9DCACA35-46FE-453A-85B9-B7594B321CC4}" name="Column6271" dataDxfId="10083"/>
    <tableColumn id="6320" xr3:uid="{CF00E457-FFDE-4ED6-8648-3673683B44C1}" name="Column6272" dataDxfId="10082"/>
    <tableColumn id="6321" xr3:uid="{F0E6B6A0-5F47-4D96-B983-743DDB763D58}" name="Column6273" dataDxfId="10081"/>
    <tableColumn id="6322" xr3:uid="{166E11E2-76AA-40B2-947A-113689FEC533}" name="Column6274" dataDxfId="10080"/>
    <tableColumn id="6323" xr3:uid="{9A6B6261-EE53-4A24-82C8-9F3F440EA53A}" name="Column6275" dataDxfId="10079"/>
    <tableColumn id="6324" xr3:uid="{4877CB5D-6575-4810-8EEB-00EA11B4315F}" name="Column6276" dataDxfId="10078"/>
    <tableColumn id="6325" xr3:uid="{42E5E572-4F83-4BF3-AFE9-EF3F3314040F}" name="Column6277" dataDxfId="10077"/>
    <tableColumn id="6326" xr3:uid="{00E104AA-0B4F-4FDB-BC63-EB929C2CB4FD}" name="Column6278" dataDxfId="10076"/>
    <tableColumn id="6327" xr3:uid="{111C1FCC-C246-434E-A202-6261006D1F92}" name="Column6279" dataDxfId="10075"/>
    <tableColumn id="6328" xr3:uid="{D666FF81-EDF6-48D4-B120-1649F15B962E}" name="Column6280" dataDxfId="10074"/>
    <tableColumn id="6329" xr3:uid="{BF7214A8-AE02-49DF-9481-3A0D2364D96F}" name="Column6281" dataDxfId="10073"/>
    <tableColumn id="6330" xr3:uid="{790AA063-9766-47A3-B62F-D1F79575B87A}" name="Column6282" dataDxfId="10072"/>
    <tableColumn id="6331" xr3:uid="{517E9924-A06F-477C-87EA-501A0A57773A}" name="Column6283" dataDxfId="10071"/>
    <tableColumn id="6332" xr3:uid="{4E3EAEAA-D56C-4E8C-A4F6-E39464143673}" name="Column6284" dataDxfId="10070"/>
    <tableColumn id="6333" xr3:uid="{5870D8CE-CD72-41EF-BC3D-A23ABED71661}" name="Column6285" dataDxfId="10069"/>
    <tableColumn id="6334" xr3:uid="{F80F3FDD-17BE-43C5-B45B-EC54F9512D39}" name="Column6286" dataDxfId="10068"/>
    <tableColumn id="6335" xr3:uid="{34104305-FE53-4A82-B300-6996FD0CEAF7}" name="Column6287" dataDxfId="10067"/>
    <tableColumn id="6336" xr3:uid="{08C2D46A-8461-4E69-ACA3-D62FBBD7D801}" name="Column6288" dataDxfId="10066"/>
    <tableColumn id="6337" xr3:uid="{393514A5-3D64-4034-A178-017CA215221C}" name="Column6289" dataDxfId="10065"/>
    <tableColumn id="6338" xr3:uid="{A8220E62-80F5-423C-BC65-4881ED95E010}" name="Column6290" dataDxfId="10064"/>
    <tableColumn id="6339" xr3:uid="{BF799206-1B82-49D5-922D-39B740B9B312}" name="Column6291" dataDxfId="10063"/>
    <tableColumn id="6340" xr3:uid="{FA4F116A-A2A6-4CAA-97D9-ACB81474825A}" name="Column6292" dataDxfId="10062"/>
    <tableColumn id="6341" xr3:uid="{74BCA30E-CE27-4F10-B3AC-B93EE7B3C6BA}" name="Column6293" dataDxfId="10061"/>
    <tableColumn id="6342" xr3:uid="{C2E78F09-BA96-4C9A-B50A-84F9149FB092}" name="Column6294" dataDxfId="10060"/>
    <tableColumn id="6343" xr3:uid="{F1986DC8-1124-4580-9502-2A2A752BCF3B}" name="Column6295" dataDxfId="10059"/>
    <tableColumn id="6344" xr3:uid="{4D68DFBA-6D03-4097-A1E3-95311B57A0FA}" name="Column6296" dataDxfId="10058"/>
    <tableColumn id="6345" xr3:uid="{7C49AEE9-CDFB-4A31-B5E6-027AEDEBD861}" name="Column6297" dataDxfId="10057"/>
    <tableColumn id="6346" xr3:uid="{99F0DA79-0CC2-4490-9BFC-0C044749E1B9}" name="Column6298" dataDxfId="10056"/>
    <tableColumn id="6347" xr3:uid="{09778C0F-AE8C-49CC-8DC7-3B948A4884C8}" name="Column6299" dataDxfId="10055"/>
    <tableColumn id="6348" xr3:uid="{AE72C2A8-8369-48C4-8B73-53FD6854A904}" name="Column6300" dataDxfId="10054"/>
    <tableColumn id="6349" xr3:uid="{AC83C2CB-8950-42F6-869A-BFBFFAE793AD}" name="Column6301" dataDxfId="10053"/>
    <tableColumn id="6350" xr3:uid="{15FA7ED7-EBE2-4BF3-AEB7-70D972044390}" name="Column6302" dataDxfId="10052"/>
    <tableColumn id="6351" xr3:uid="{4A6D2ABD-4DC6-45A5-BD79-D8ADB4C7B99F}" name="Column6303" dataDxfId="10051"/>
    <tableColumn id="6352" xr3:uid="{A1888A11-CD52-4EC9-A6A4-552B4D52E153}" name="Column6304" dataDxfId="10050"/>
    <tableColumn id="6353" xr3:uid="{2DD84FC1-1CA6-41E4-9DEE-A3528EC5C394}" name="Column6305" dataDxfId="10049"/>
    <tableColumn id="6354" xr3:uid="{19A0C5B7-D031-4DE5-AFE8-68CFB89399C9}" name="Column6306" dataDxfId="10048"/>
    <tableColumn id="6355" xr3:uid="{259A2A4B-0529-43C4-9FF0-7F33FC116D64}" name="Column6307" dataDxfId="10047"/>
    <tableColumn id="6356" xr3:uid="{584335DC-2A8B-4045-91D1-055DC68C8782}" name="Column6308" dataDxfId="10046"/>
    <tableColumn id="6357" xr3:uid="{6002E62F-C997-467D-9DDF-B7EBB020BB65}" name="Column6309" dataDxfId="10045"/>
    <tableColumn id="6358" xr3:uid="{83F42BA1-30AB-4FD2-851D-4803C5B4222F}" name="Column6310" dataDxfId="10044"/>
    <tableColumn id="6359" xr3:uid="{F3AC77A3-0C28-477D-90D7-5260A4925293}" name="Column6311" dataDxfId="10043"/>
    <tableColumn id="6360" xr3:uid="{D9D926B5-BFA2-42EF-A706-EE53E62D26B8}" name="Column6312" dataDxfId="10042"/>
    <tableColumn id="6361" xr3:uid="{03E6791D-C092-4A86-AB22-CFA8BE31C8D1}" name="Column6313" dataDxfId="10041"/>
    <tableColumn id="6362" xr3:uid="{778365EF-DD02-4C6F-AFC3-F2E82BF6449D}" name="Column6314" dataDxfId="10040"/>
    <tableColumn id="6363" xr3:uid="{FF94CCAF-9509-4485-9348-6C93016055C0}" name="Column6315" dataDxfId="10039"/>
    <tableColumn id="6364" xr3:uid="{B842D35A-2D91-48EB-9D3C-D924CCFD1EC3}" name="Column6316" dataDxfId="10038"/>
    <tableColumn id="6365" xr3:uid="{4D00807E-48FF-43D6-9E08-380422ADE7D4}" name="Column6317" dataDxfId="10037"/>
    <tableColumn id="6366" xr3:uid="{D0A0825A-BB54-4E98-9F0D-3C8FEC214B2F}" name="Column6318" dataDxfId="10036"/>
    <tableColumn id="6367" xr3:uid="{63CD2D83-4C0B-4E0B-B9F9-32DABB45FE74}" name="Column6319" dataDxfId="10035"/>
    <tableColumn id="6368" xr3:uid="{9AE33CDE-02D3-4485-BF62-F59E81CC019E}" name="Column6320" dataDxfId="10034"/>
    <tableColumn id="6369" xr3:uid="{67F38D95-8341-41CE-83C4-5B6ABCBF5ED5}" name="Column6321" dataDxfId="10033"/>
    <tableColumn id="6370" xr3:uid="{3C0C474A-30A1-43DB-BDF2-BFAF92306162}" name="Column6322" dataDxfId="10032"/>
    <tableColumn id="6371" xr3:uid="{2AB875F1-F42F-4B6D-B3DD-EDC19451C752}" name="Column6323" dataDxfId="10031"/>
    <tableColumn id="6372" xr3:uid="{E61E1B3A-A994-4BC6-8132-44C2C998E172}" name="Column6324" dataDxfId="10030"/>
    <tableColumn id="6373" xr3:uid="{29181265-D964-40B2-AF9C-B154E0AC5ED3}" name="Column6325" dataDxfId="10029"/>
    <tableColumn id="6374" xr3:uid="{C51AAA7F-9F65-4BEE-BF6B-9BBEA667D4A8}" name="Column6326" dataDxfId="10028"/>
    <tableColumn id="6375" xr3:uid="{4D00454B-FE33-40F7-88A9-62E45F0EE3E6}" name="Column6327" dataDxfId="10027"/>
    <tableColumn id="6376" xr3:uid="{04440967-6DE1-4C79-900B-D79CE5728E5F}" name="Column6328" dataDxfId="10026"/>
    <tableColumn id="6377" xr3:uid="{7E87759A-42D9-4979-BB50-60D04FBCBE4D}" name="Column6329" dataDxfId="10025"/>
    <tableColumn id="6378" xr3:uid="{8AE76D2A-7314-45F1-8615-35180496445F}" name="Column6330" dataDxfId="10024"/>
    <tableColumn id="6379" xr3:uid="{79A3EC2A-0EDF-4F8B-B7BF-CB3B386CD9ED}" name="Column6331" dataDxfId="10023"/>
    <tableColumn id="6380" xr3:uid="{65038DBB-35B4-4A03-B572-C94AEAA651B7}" name="Column6332" dataDxfId="10022"/>
    <tableColumn id="6381" xr3:uid="{CC19036E-9126-43DE-9638-81ACC8D8CBDA}" name="Column6333" dataDxfId="10021"/>
    <tableColumn id="6382" xr3:uid="{FCF7F5D9-8868-4395-B300-90A76676C745}" name="Column6334" dataDxfId="10020"/>
    <tableColumn id="6383" xr3:uid="{E5480A4C-05A0-422E-9C77-634A46B8CE42}" name="Column6335" dataDxfId="10019"/>
    <tableColumn id="6384" xr3:uid="{17F83FF4-13E9-43C0-B0B1-29F649647080}" name="Column6336" dataDxfId="10018"/>
    <tableColumn id="6385" xr3:uid="{DA7994D2-B359-497D-A866-D287D3969F91}" name="Column6337" dataDxfId="10017"/>
    <tableColumn id="6386" xr3:uid="{F8EBF828-8D42-49A0-B3AC-9BD8A961A266}" name="Column6338" dataDxfId="10016"/>
    <tableColumn id="6387" xr3:uid="{4676E963-5CCE-4269-B616-7D4D5EA2246E}" name="Column6339" dataDxfId="10015"/>
    <tableColumn id="6388" xr3:uid="{4F3EF8A0-BDF0-4F39-B74F-5A7654CA7B4F}" name="Column6340" dataDxfId="10014"/>
    <tableColumn id="6389" xr3:uid="{2B618ECC-D7EF-4228-951D-50A664005EDC}" name="Column6341" dataDxfId="10013"/>
    <tableColumn id="6390" xr3:uid="{E4B89B0A-E00C-45C3-8250-4C1D61551D7C}" name="Column6342" dataDxfId="10012"/>
    <tableColumn id="6391" xr3:uid="{5EEFF012-6102-4F89-9017-08AC94560219}" name="Column6343" dataDxfId="10011"/>
    <tableColumn id="6392" xr3:uid="{B837385E-C1C6-4EA0-874C-8364B8184510}" name="Column6344" dataDxfId="10010"/>
    <tableColumn id="6393" xr3:uid="{5251F4D6-5D01-4ED9-9BFF-1EE0684F26C2}" name="Column6345" dataDxfId="10009"/>
    <tableColumn id="6394" xr3:uid="{5185BFFF-3465-4F8F-83E6-1561324B30F7}" name="Column6346" dataDxfId="10008"/>
    <tableColumn id="6395" xr3:uid="{ED1C1635-16F0-4A7A-BD0C-F6093035DD4C}" name="Column6347" dataDxfId="10007"/>
    <tableColumn id="6396" xr3:uid="{94B1BD9A-FE52-415C-BEFB-C8B554051911}" name="Column6348" dataDxfId="10006"/>
    <tableColumn id="6397" xr3:uid="{BCA02C44-5194-4ED1-9E2E-D25154AFC743}" name="Column6349" dataDxfId="10005"/>
    <tableColumn id="6398" xr3:uid="{20A738D4-419D-4134-9F13-B41B2538C12B}" name="Column6350" dataDxfId="10004"/>
    <tableColumn id="6399" xr3:uid="{A35CA01F-B5A1-4090-A854-6DC54A6D40A9}" name="Column6351" dataDxfId="10003"/>
    <tableColumn id="6400" xr3:uid="{EE1B4610-1CBC-4B9B-BA7E-A7B56A3F7E68}" name="Column6352" dataDxfId="10002"/>
    <tableColumn id="6401" xr3:uid="{B3A7A4A8-53F6-48DC-A10D-2F79F645D5BC}" name="Column6353" dataDxfId="10001"/>
    <tableColumn id="6402" xr3:uid="{E7B2C270-BC1B-43B8-9E73-2E469ED46AA2}" name="Column6354" dataDxfId="10000"/>
    <tableColumn id="6403" xr3:uid="{29494136-A489-44B2-86E1-EB5C1E467B8B}" name="Column6355" dataDxfId="9999"/>
    <tableColumn id="6404" xr3:uid="{47517E8E-C9E4-487A-9565-D54E9EAE6D13}" name="Column6356" dataDxfId="9998"/>
    <tableColumn id="6405" xr3:uid="{72B3CC35-1E9A-4376-8BF6-46F4778AD3C8}" name="Column6357" dataDxfId="9997"/>
    <tableColumn id="6406" xr3:uid="{E95DAB6A-01FE-4EDD-B7FD-033B80EF3D65}" name="Column6358" dataDxfId="9996"/>
    <tableColumn id="6407" xr3:uid="{9D8BCF00-930C-4504-993C-366B072F9572}" name="Column6359" dataDxfId="9995"/>
    <tableColumn id="6408" xr3:uid="{A4C559E4-29CC-4CED-A950-EE536A93520A}" name="Column6360" dataDxfId="9994"/>
    <tableColumn id="6409" xr3:uid="{F107D29A-2C14-44D8-BF53-13D525E9505B}" name="Column6361" dataDxfId="9993"/>
    <tableColumn id="6410" xr3:uid="{99904962-4CB2-4CCD-8C16-2405B4126BDB}" name="Column6362" dataDxfId="9992"/>
    <tableColumn id="6411" xr3:uid="{D262774E-E935-465B-A142-ECF8782229C7}" name="Column6363" dataDxfId="9991"/>
    <tableColumn id="6412" xr3:uid="{802E7E28-CCA9-478B-A592-9A0A0675C11B}" name="Column6364" dataDxfId="9990"/>
    <tableColumn id="6413" xr3:uid="{120EDDBE-CC2D-4A72-B6D7-3F4AFB6F7764}" name="Column6365" dataDxfId="9989"/>
    <tableColumn id="6414" xr3:uid="{B28712C0-3252-49BB-9686-237C0190F5D5}" name="Column6366" dataDxfId="9988"/>
    <tableColumn id="6415" xr3:uid="{C274F444-834B-4958-A759-85755F3DE617}" name="Column6367" dataDxfId="9987"/>
    <tableColumn id="6416" xr3:uid="{12DF161D-997F-4521-BC0A-DC14F72DDD49}" name="Column6368" dataDxfId="9986"/>
    <tableColumn id="6417" xr3:uid="{4BE04258-29A1-4F9A-AEAB-55046C78D7D6}" name="Column6369" dataDxfId="9985"/>
    <tableColumn id="6418" xr3:uid="{BF096962-CE97-4076-BAA1-93FA264387FC}" name="Column6370" dataDxfId="9984"/>
    <tableColumn id="6419" xr3:uid="{28194D6E-93BB-48BE-AB4A-906A34BF6E60}" name="Column6371" dataDxfId="9983"/>
    <tableColumn id="6420" xr3:uid="{8126B73F-532E-4F30-8FA3-D996C08F081B}" name="Column6372" dataDxfId="9982"/>
    <tableColumn id="6421" xr3:uid="{51D14E3B-5A91-42D9-A691-82D3CED9687D}" name="Column6373" dataDxfId="9981"/>
    <tableColumn id="6422" xr3:uid="{CA71912A-B90D-4323-B028-4979BFF182CB}" name="Column6374" dataDxfId="9980"/>
    <tableColumn id="6423" xr3:uid="{73BA9AB1-060E-4008-B192-07D7BE5B49F7}" name="Column6375" dataDxfId="9979"/>
    <tableColumn id="6424" xr3:uid="{D3848E80-1BEB-45C3-B8CD-089308A3A7F6}" name="Column6376" dataDxfId="9978"/>
    <tableColumn id="6425" xr3:uid="{2A79D28A-9356-4B40-83BE-863E0BB704B3}" name="Column6377" dataDxfId="9977"/>
    <tableColumn id="6426" xr3:uid="{93AD9FE5-6C99-4A1C-AFF2-C24E1A610850}" name="Column6378" dataDxfId="9976"/>
    <tableColumn id="6427" xr3:uid="{56E76486-968A-429A-B408-9C24FE2F43C8}" name="Column6379" dataDxfId="9975"/>
    <tableColumn id="6428" xr3:uid="{12235A0D-416B-42E6-AB0D-C1BCD1B17A71}" name="Column6380" dataDxfId="9974"/>
    <tableColumn id="6429" xr3:uid="{80758625-9640-4401-8838-DD901D435F06}" name="Column6381" dataDxfId="9973"/>
    <tableColumn id="6430" xr3:uid="{0C38955E-C5AE-49F1-A268-05A3B187AFE2}" name="Column6382" dataDxfId="9972"/>
    <tableColumn id="6431" xr3:uid="{AADA0C28-D8DA-4CC8-86BA-7F7223B4139D}" name="Column6383" dataDxfId="9971"/>
    <tableColumn id="6432" xr3:uid="{1A6692E8-57A3-424B-B864-141C00DB970E}" name="Column6384" dataDxfId="9970"/>
    <tableColumn id="6433" xr3:uid="{CAFCE11C-7CDD-4E57-931F-1A46143C37DB}" name="Column6385" dataDxfId="9969"/>
    <tableColumn id="6434" xr3:uid="{6848D1E5-7515-460D-BDAD-4B6FE9D7277D}" name="Column6386" dataDxfId="9968"/>
    <tableColumn id="6435" xr3:uid="{91C7927D-4B9B-4F99-B13A-7DB77FBFDA46}" name="Column6387" dataDxfId="9967"/>
    <tableColumn id="6436" xr3:uid="{F852949F-3687-4300-8276-86E531E1F307}" name="Column6388" dataDxfId="9966"/>
    <tableColumn id="6437" xr3:uid="{0FF3FD91-0EBE-48F3-9D63-2CD4F959F79A}" name="Column6389" dataDxfId="9965"/>
    <tableColumn id="6438" xr3:uid="{372FE689-CE04-4E6A-85BC-880A7B9E574F}" name="Column6390" dataDxfId="9964"/>
    <tableColumn id="6439" xr3:uid="{F4B1E9A1-B2D5-4A06-BB7E-70E64C35779D}" name="Column6391" dataDxfId="9963"/>
    <tableColumn id="6440" xr3:uid="{7B67F824-D50B-41D1-A35F-D1ECAC979D3B}" name="Column6392" dataDxfId="9962"/>
    <tableColumn id="6441" xr3:uid="{68685B87-D11E-4E86-A141-0569945A3C42}" name="Column6393" dataDxfId="9961"/>
    <tableColumn id="6442" xr3:uid="{4288A8C6-5715-4FAB-91EA-A968AC9605DB}" name="Column6394" dataDxfId="9960"/>
    <tableColumn id="6443" xr3:uid="{BEA7A754-8D32-48BC-8334-669B80C50D65}" name="Column6395" dataDxfId="9959"/>
    <tableColumn id="6444" xr3:uid="{E8106BCB-EC13-4DF7-BA23-7377D1402E23}" name="Column6396" dataDxfId="9958"/>
    <tableColumn id="6445" xr3:uid="{96A2EDD3-0AFC-4D1E-BCC2-2B2CDC33B157}" name="Column6397" dataDxfId="9957"/>
    <tableColumn id="6446" xr3:uid="{47A75D72-D4A9-497C-95F1-9EC8F12775D0}" name="Column6398" dataDxfId="9956"/>
    <tableColumn id="6447" xr3:uid="{7291E93F-AEE7-4949-B982-D3C7AC8426FA}" name="Column6399" dataDxfId="9955"/>
    <tableColumn id="6448" xr3:uid="{8BF593F3-D2E8-4141-99A2-063A8B386A44}" name="Column6400" dataDxfId="9954"/>
    <tableColumn id="6449" xr3:uid="{DA7318AC-FE65-4B24-BA94-B9476B6D88DA}" name="Column6401" dataDxfId="9953"/>
    <tableColumn id="6450" xr3:uid="{69ED34DD-2F44-4141-A9AF-8C75AA195A64}" name="Column6402" dataDxfId="9952"/>
    <tableColumn id="6451" xr3:uid="{19A29342-E1B1-4CC4-9A07-944C7FF4764C}" name="Column6403" dataDxfId="9951"/>
    <tableColumn id="6452" xr3:uid="{1D18740C-2C66-4950-81A4-783BE5F9D505}" name="Column6404" dataDxfId="9950"/>
    <tableColumn id="6453" xr3:uid="{A2B6996F-2B82-4036-B3C5-4D8C86E7D58F}" name="Column6405" dataDxfId="9949"/>
    <tableColumn id="6454" xr3:uid="{DE4C2E7B-76A9-4405-86C3-25DC3A1CD143}" name="Column6406" dataDxfId="9948"/>
    <tableColumn id="6455" xr3:uid="{01CF3CE3-CA17-45E7-8BF7-EE363BD68C42}" name="Column6407" dataDxfId="9947"/>
    <tableColumn id="6456" xr3:uid="{943917EB-D0A2-431C-BF54-6C9CD9302854}" name="Column6408" dataDxfId="9946"/>
    <tableColumn id="6457" xr3:uid="{5C7A540E-1116-4D27-80A3-46EE95C079B3}" name="Column6409" dataDxfId="9945"/>
    <tableColumn id="6458" xr3:uid="{140A79E6-6166-4BE6-8817-769F4D6EF739}" name="Column6410" dataDxfId="9944"/>
    <tableColumn id="6459" xr3:uid="{7D8DA9DA-FFAC-4E28-B21C-BDDD3E34C82D}" name="Column6411" dataDxfId="9943"/>
    <tableColumn id="6460" xr3:uid="{061C3394-D218-4299-ABF5-3A2CE8F6DC1F}" name="Column6412" dataDxfId="9942"/>
    <tableColumn id="6461" xr3:uid="{5059EB74-17C2-45C6-A809-A489F4EFC72B}" name="Column6413" dataDxfId="9941"/>
    <tableColumn id="6462" xr3:uid="{3E07AD46-7C92-47C3-8DA9-1F4C4B8C1E55}" name="Column6414" dataDxfId="9940"/>
    <tableColumn id="6463" xr3:uid="{EDDDBF07-661C-418B-A761-C1E4B830DBD1}" name="Column6415" dataDxfId="9939"/>
    <tableColumn id="6464" xr3:uid="{E571F44B-7801-40F8-962C-693AF0F662AB}" name="Column6416" dataDxfId="9938"/>
    <tableColumn id="6465" xr3:uid="{3A344744-FDC4-4343-AC7C-55417EE3250B}" name="Column6417" dataDxfId="9937"/>
    <tableColumn id="6466" xr3:uid="{E63F1081-D0D1-4045-9C9E-E2709E71DB7D}" name="Column6418" dataDxfId="9936"/>
    <tableColumn id="6467" xr3:uid="{9010D722-C520-4625-8FEC-DE8FAEF8CD1B}" name="Column6419" dataDxfId="9935"/>
    <tableColumn id="6468" xr3:uid="{B967B14E-ADBE-4ADE-8A24-62FD66ED0ABE}" name="Column6420" dataDxfId="9934"/>
    <tableColumn id="6469" xr3:uid="{06F2860E-9529-466F-8FE2-100D1D849DFA}" name="Column6421" dataDxfId="9933"/>
    <tableColumn id="6470" xr3:uid="{DDF20AB8-1825-4E7A-9408-62B6D39F6801}" name="Column6422" dataDxfId="9932"/>
    <tableColumn id="6471" xr3:uid="{336D460D-1686-4633-B708-CD3D812B7880}" name="Column6423" dataDxfId="9931"/>
    <tableColumn id="6472" xr3:uid="{D6D7C55B-4E02-4B36-894A-92C6EED73525}" name="Column6424" dataDxfId="9930"/>
    <tableColumn id="6473" xr3:uid="{A9592F0C-86BD-45D8-9092-748230D19ED5}" name="Column6425" dataDxfId="9929"/>
    <tableColumn id="6474" xr3:uid="{40BDB080-833C-4830-AEA3-57B4ABC9A4E1}" name="Column6426" dataDxfId="9928"/>
    <tableColumn id="6475" xr3:uid="{3A64DD59-59C8-4548-8278-F2E7283AE19C}" name="Column6427" dataDxfId="9927"/>
    <tableColumn id="6476" xr3:uid="{9F7889E8-A0CB-42DA-8E1C-C45AD04B82E9}" name="Column6428" dataDxfId="9926"/>
    <tableColumn id="6477" xr3:uid="{4C0C4C07-9331-499F-8F38-865DDE4826C1}" name="Column6429" dataDxfId="9925"/>
    <tableColumn id="6478" xr3:uid="{E56CEAB5-CE5F-4CF4-8392-099F96288B71}" name="Column6430" dataDxfId="9924"/>
    <tableColumn id="6479" xr3:uid="{76F52261-FC25-401D-9CD3-0B9003E7390E}" name="Column6431" dataDxfId="9923"/>
    <tableColumn id="6480" xr3:uid="{592A147E-F21E-4A91-8F6A-A64E520FCB00}" name="Column6432" dataDxfId="9922"/>
    <tableColumn id="6481" xr3:uid="{53CC2F80-2AFE-4D1A-BA31-845953B69322}" name="Column6433" dataDxfId="9921"/>
    <tableColumn id="6482" xr3:uid="{9D4403ED-992C-4087-8FFA-1132D5EE0FAB}" name="Column6434" dataDxfId="9920"/>
    <tableColumn id="6483" xr3:uid="{90917040-09E4-46DA-9F82-F3C3B54753D6}" name="Column6435" dataDxfId="9919"/>
    <tableColumn id="6484" xr3:uid="{7B10992A-0657-4B47-9752-00BAB516E044}" name="Column6436" dataDxfId="9918"/>
    <tableColumn id="6485" xr3:uid="{A94B10FF-1956-474F-B86D-B121151BAFC3}" name="Column6437" dataDxfId="9917"/>
    <tableColumn id="6486" xr3:uid="{8EDDED3A-9AB6-482D-8238-58ECD2456F11}" name="Column6438" dataDxfId="9916"/>
    <tableColumn id="6487" xr3:uid="{E928BE94-5571-4733-BCB7-A4348110D128}" name="Column6439" dataDxfId="9915"/>
    <tableColumn id="6488" xr3:uid="{C4E0CD1A-A71D-4A7C-BA35-173B69E9E1C9}" name="Column6440" dataDxfId="9914"/>
    <tableColumn id="6489" xr3:uid="{22210E64-55A4-4C42-B90F-0CCA24A054E9}" name="Column6441" dataDxfId="9913"/>
    <tableColumn id="6490" xr3:uid="{515ED916-3CF5-4CE9-919F-69A74E299696}" name="Column6442" dataDxfId="9912"/>
    <tableColumn id="6491" xr3:uid="{F2805AB9-A109-42DF-B667-093FC780F48C}" name="Column6443" dataDxfId="9911"/>
    <tableColumn id="6492" xr3:uid="{1A2B2280-AE6D-4434-B3EE-1256673385AA}" name="Column6444" dataDxfId="9910"/>
    <tableColumn id="6493" xr3:uid="{DB0491C4-D207-4E00-B717-5B758541A09F}" name="Column6445" dataDxfId="9909"/>
    <tableColumn id="6494" xr3:uid="{3F6B4BAC-2C1D-4ACF-AF9C-CD04482F1D8B}" name="Column6446" dataDxfId="9908"/>
    <tableColumn id="6495" xr3:uid="{A455001A-07BD-4A87-9982-957651D727BA}" name="Column6447" dataDxfId="9907"/>
    <tableColumn id="6496" xr3:uid="{D43465F4-24DA-442C-8D16-53A9A1D43EEC}" name="Column6448" dataDxfId="9906"/>
    <tableColumn id="6497" xr3:uid="{5FEAFC1D-3D4C-452F-A4F0-58FAE6EB24F2}" name="Column6449" dataDxfId="9905"/>
    <tableColumn id="6498" xr3:uid="{D19303CD-D1DE-43AA-8510-A22BC148EE25}" name="Column6450" dataDxfId="9904"/>
    <tableColumn id="6499" xr3:uid="{FCCD2E80-A830-4311-A846-557F1322D2C4}" name="Column6451" dataDxfId="9903"/>
    <tableColumn id="6500" xr3:uid="{4E5FDF8A-159F-43D0-B29E-A4BF63483B6C}" name="Column6452" dataDxfId="9902"/>
    <tableColumn id="6501" xr3:uid="{59219525-6F9F-4543-B763-5B049CB0A390}" name="Column6453" dataDxfId="9901"/>
    <tableColumn id="6502" xr3:uid="{8E96A31C-9CD1-4472-9352-486B504C1966}" name="Column6454" dataDxfId="9900"/>
    <tableColumn id="6503" xr3:uid="{D4C7D3FD-FA16-4519-9839-018832AC5D6A}" name="Column6455" dataDxfId="9899"/>
    <tableColumn id="6504" xr3:uid="{D0B87130-FF6E-4910-9528-EE2FB79FF381}" name="Column6456" dataDxfId="9898"/>
    <tableColumn id="6505" xr3:uid="{540E11BE-947F-49B5-AF55-FA1A011159C9}" name="Column6457" dataDxfId="9897"/>
    <tableColumn id="6506" xr3:uid="{A5E5A6E7-B772-4DDE-BE97-EB7F2D465063}" name="Column6458" dataDxfId="9896"/>
    <tableColumn id="6507" xr3:uid="{F115F09C-F79B-4813-9B27-9A9AB3FC4D03}" name="Column6459" dataDxfId="9895"/>
    <tableColumn id="6508" xr3:uid="{37FCAFA4-3D31-4EA3-8108-7FB1E0F7F672}" name="Column6460" dataDxfId="9894"/>
    <tableColumn id="6509" xr3:uid="{6B57840F-B19C-464A-BB40-5D2A3CC9C607}" name="Column6461" dataDxfId="9893"/>
    <tableColumn id="6510" xr3:uid="{5434085B-E0E7-4E9A-93DE-FFF8CC6643F4}" name="Column6462" dataDxfId="9892"/>
    <tableColumn id="6511" xr3:uid="{AA60095B-9566-42D4-9713-3903167F30A3}" name="Column6463" dataDxfId="9891"/>
    <tableColumn id="6512" xr3:uid="{DD07F99D-1491-446F-82B6-E15D7EB069FC}" name="Column6464" dataDxfId="9890"/>
    <tableColumn id="6513" xr3:uid="{EF58F932-9E1A-4303-8A8F-9ADF29E98968}" name="Column6465" dataDxfId="9889"/>
    <tableColumn id="6514" xr3:uid="{2D36B1D0-0E12-4CE3-8462-69D192C1BDB6}" name="Column6466" dataDxfId="9888"/>
    <tableColumn id="6515" xr3:uid="{F9C4940D-2F5C-4D18-A85B-E9DC681AD683}" name="Column6467" dataDxfId="9887"/>
    <tableColumn id="6516" xr3:uid="{EF5976C9-603F-411A-8BE8-96BF46BDFBA8}" name="Column6468" dataDxfId="9886"/>
    <tableColumn id="6517" xr3:uid="{9154A0F5-A59C-4359-B60D-F17637947C8B}" name="Column6469" dataDxfId="9885"/>
    <tableColumn id="6518" xr3:uid="{04964858-384D-40C3-AED7-12E6B6B530B1}" name="Column6470" dataDxfId="9884"/>
    <tableColumn id="6519" xr3:uid="{D9A9B183-A09B-4CA1-98BD-93778879461A}" name="Column6471" dataDxfId="9883"/>
    <tableColumn id="6520" xr3:uid="{ED4321D3-2B39-411E-A1F0-2383AFA61921}" name="Column6472" dataDxfId="9882"/>
    <tableColumn id="6521" xr3:uid="{8039E137-B851-43FC-9A5E-4B8BAA7E1891}" name="Column6473" dataDxfId="9881"/>
    <tableColumn id="6522" xr3:uid="{688BE7BC-10D3-4D35-B3BA-B6BF7C296FFC}" name="Column6474" dataDxfId="9880"/>
    <tableColumn id="6523" xr3:uid="{92F7DB38-ECEF-4715-B0F5-2AF4A6FD5773}" name="Column6475" dataDxfId="9879"/>
    <tableColumn id="6524" xr3:uid="{4A0CB8F9-91AB-4963-8743-EC7B092E47F3}" name="Column6476" dataDxfId="9878"/>
    <tableColumn id="6525" xr3:uid="{881761F2-AD00-4E1A-83C6-2FB523F7EDDC}" name="Column6477" dataDxfId="9877"/>
    <tableColumn id="6526" xr3:uid="{2DACBE3B-4E4B-4C31-8244-7025F5B07A70}" name="Column6478" dataDxfId="9876"/>
    <tableColumn id="6527" xr3:uid="{C80F8769-ABDB-49F6-8E6A-C77D0E156C94}" name="Column6479" dataDxfId="9875"/>
    <tableColumn id="6528" xr3:uid="{B051F015-C8D1-4F74-AF76-D7345A27CEA8}" name="Column6480" dataDxfId="9874"/>
    <tableColumn id="6529" xr3:uid="{97EA5C88-2F24-4AB4-AFDC-24937F2B9B1B}" name="Column6481" dataDxfId="9873"/>
    <tableColumn id="6530" xr3:uid="{E56154AE-A6BC-4CC8-890B-EE6C7F1E15C2}" name="Column6482" dataDxfId="9872"/>
    <tableColumn id="6531" xr3:uid="{2E19133E-038A-4E0D-A74D-8BC673FDD727}" name="Column6483" dataDxfId="9871"/>
    <tableColumn id="6532" xr3:uid="{9DF4CB03-FBC1-4699-9BD4-63E421806432}" name="Column6484" dataDxfId="9870"/>
    <tableColumn id="6533" xr3:uid="{32D7F35C-605F-4A29-A44E-0E20E2571EBB}" name="Column6485" dataDxfId="9869"/>
    <tableColumn id="6534" xr3:uid="{5689BECF-F47B-4D8A-B3EF-A1EEA381733A}" name="Column6486" dataDxfId="9868"/>
    <tableColumn id="6535" xr3:uid="{F2D54909-A194-40DC-9F5D-4B07DC3FAF3F}" name="Column6487" dataDxfId="9867"/>
    <tableColumn id="6536" xr3:uid="{BB3C76D5-A546-400E-803F-2AE4DABE5BEF}" name="Column6488" dataDxfId="9866"/>
    <tableColumn id="6537" xr3:uid="{94446D87-31FD-42B7-B0F7-BB68C1ADC8BC}" name="Column6489" dataDxfId="9865"/>
    <tableColumn id="6538" xr3:uid="{457567A8-2FE6-4803-AA14-9121FD250976}" name="Column6490" dataDxfId="9864"/>
    <tableColumn id="6539" xr3:uid="{665CEE12-8F73-4B89-8B3A-2E1BAFD16D6F}" name="Column6491" dataDxfId="9863"/>
    <tableColumn id="6540" xr3:uid="{B9EC7161-3A0F-4F70-9D26-F2DFE03E77CB}" name="Column6492" dataDxfId="9862"/>
    <tableColumn id="6541" xr3:uid="{2DC52310-E279-4129-B48B-F2BBF1144DB7}" name="Column6493" dataDxfId="9861"/>
    <tableColumn id="6542" xr3:uid="{C675CC95-3E59-4FEB-BDD9-D2A3C5A939D2}" name="Column6494" dataDxfId="9860"/>
    <tableColumn id="6543" xr3:uid="{4CF775F4-CECB-4CB6-B24B-F1F33B23C1F1}" name="Column6495" dataDxfId="9859"/>
    <tableColumn id="6544" xr3:uid="{82B782A4-B90B-44C9-B370-5B560AD3E307}" name="Column6496" dataDxfId="9858"/>
    <tableColumn id="6545" xr3:uid="{7596B882-5542-4E52-88D2-B84D176D2F64}" name="Column6497" dataDxfId="9857"/>
    <tableColumn id="6546" xr3:uid="{0B8B7388-D349-4A3E-8CAF-E9A650E6CCB3}" name="Column6498" dataDxfId="9856"/>
    <tableColumn id="6547" xr3:uid="{5084E034-AA49-4107-8ABE-23C4EFE99ACD}" name="Column6499" dataDxfId="9855"/>
    <tableColumn id="6548" xr3:uid="{065502FC-B8FD-474B-8DC4-DCA3C0036454}" name="Column6500" dataDxfId="9854"/>
    <tableColumn id="6549" xr3:uid="{82277CB1-DF55-472C-A3C1-5D75A31CCEF7}" name="Column6501" dataDxfId="9853"/>
    <tableColumn id="6550" xr3:uid="{569384D5-4D3F-440A-AECA-38633328C151}" name="Column6502" dataDxfId="9852"/>
    <tableColumn id="6551" xr3:uid="{AC9DA9BC-A88F-40F2-8C46-97086CD2B350}" name="Column6503" dataDxfId="9851"/>
    <tableColumn id="6552" xr3:uid="{E9F15B2C-BE31-406E-8B3B-3A0651F347C3}" name="Column6504" dataDxfId="9850"/>
    <tableColumn id="6553" xr3:uid="{EF1FA50D-8A88-493E-B27A-09630FF98659}" name="Column6505" dataDxfId="9849"/>
    <tableColumn id="6554" xr3:uid="{E3A631DD-7BCD-408E-BEAB-E54754D12903}" name="Column6506" dataDxfId="9848"/>
    <tableColumn id="6555" xr3:uid="{309F27EB-932E-49DE-909B-19BDB20C4666}" name="Column6507" dataDxfId="9847"/>
    <tableColumn id="6556" xr3:uid="{A04C79AD-8745-4860-ADD9-4B7115C871BA}" name="Column6508" dataDxfId="9846"/>
    <tableColumn id="6557" xr3:uid="{5225987F-70F7-4C94-BF83-1D497C2D18A2}" name="Column6509" dataDxfId="9845"/>
    <tableColumn id="6558" xr3:uid="{F9915CCE-680F-407E-8274-EB82409A3C99}" name="Column6510" dataDxfId="9844"/>
    <tableColumn id="6559" xr3:uid="{FCB0EF46-F3BE-46CA-A458-BC3A71444EA3}" name="Column6511" dataDxfId="9843"/>
    <tableColumn id="6560" xr3:uid="{BFF32255-A8D1-4498-867C-11C98E1C36D5}" name="Column6512" dataDxfId="9842"/>
    <tableColumn id="6561" xr3:uid="{99313C13-A103-4304-83F5-E39C17143EC4}" name="Column6513" dataDxfId="9841"/>
    <tableColumn id="6562" xr3:uid="{2FD6B67C-FDF9-4727-8A49-80EF0A0FB286}" name="Column6514" dataDxfId="9840"/>
    <tableColumn id="6563" xr3:uid="{22A59B37-BEEC-4462-A329-F918F2672B29}" name="Column6515" dataDxfId="9839"/>
    <tableColumn id="6564" xr3:uid="{0382B861-563A-462F-A313-68643686E2F9}" name="Column6516" dataDxfId="9838"/>
    <tableColumn id="6565" xr3:uid="{AFA67739-ADDD-40A6-B49C-7D02F74E93EC}" name="Column6517" dataDxfId="9837"/>
    <tableColumn id="6566" xr3:uid="{63308E05-B996-4DE0-81F8-53C3BF775366}" name="Column6518" dataDxfId="9836"/>
    <tableColumn id="6567" xr3:uid="{045B459C-FDCE-4EC1-B11C-79FC93550AEE}" name="Column6519" dataDxfId="9835"/>
    <tableColumn id="6568" xr3:uid="{A16F11E6-7A52-4E7E-96AD-BF1893C3A4F5}" name="Column6520" dataDxfId="9834"/>
    <tableColumn id="6569" xr3:uid="{B906E59E-8AAD-4B79-B638-9D8F8F33B7A5}" name="Column6521" dataDxfId="9833"/>
    <tableColumn id="6570" xr3:uid="{A597947A-9D01-4560-AD68-DD8890EDB896}" name="Column6522" dataDxfId="9832"/>
    <tableColumn id="6571" xr3:uid="{02461BA6-1319-4ABC-97C2-7E2C0F0BCF39}" name="Column6523" dataDxfId="9831"/>
    <tableColumn id="6572" xr3:uid="{228B71E3-964F-47FB-9318-19DFDF8E74DD}" name="Column6524" dataDxfId="9830"/>
    <tableColumn id="6573" xr3:uid="{587E8360-D9CE-46EC-B852-537DA13CA599}" name="Column6525" dataDxfId="9829"/>
    <tableColumn id="6574" xr3:uid="{511DA713-CF6A-4FBD-9824-B12E89ECB397}" name="Column6526" dataDxfId="9828"/>
    <tableColumn id="6575" xr3:uid="{26D486BC-87D5-4FA4-ABAC-6A80EA35D8D5}" name="Column6527" dataDxfId="9827"/>
    <tableColumn id="6576" xr3:uid="{E3B6C1EA-580B-4301-A464-EC1B29710BDE}" name="Column6528" dataDxfId="9826"/>
    <tableColumn id="6577" xr3:uid="{7C50CFE9-C5EE-4FA3-8F21-D8D0CBF5E846}" name="Column6529" dataDxfId="9825"/>
    <tableColumn id="6578" xr3:uid="{203B3AA0-1467-46FD-94BC-8A43D18543FD}" name="Column6530" dataDxfId="9824"/>
    <tableColumn id="6579" xr3:uid="{18C3589D-41A0-4700-B987-9BD3B70C0ECD}" name="Column6531" dataDxfId="9823"/>
    <tableColumn id="6580" xr3:uid="{048DA013-6CBE-4654-AD7A-1C21847EDDA1}" name="Column6532" dataDxfId="9822"/>
    <tableColumn id="6581" xr3:uid="{C4BAF43B-25B6-4983-9BFF-CB87D4BEC335}" name="Column6533" dataDxfId="9821"/>
    <tableColumn id="6582" xr3:uid="{B88E97AE-272C-4807-B3FF-D978ABFDD5D2}" name="Column6534" dataDxfId="9820"/>
    <tableColumn id="6583" xr3:uid="{B57377E0-AC4F-43D8-BAA2-A6237A31137C}" name="Column6535" dataDxfId="9819"/>
    <tableColumn id="6584" xr3:uid="{C451AE48-FDFF-4305-ABFA-7C648D531C4A}" name="Column6536" dataDxfId="9818"/>
    <tableColumn id="6585" xr3:uid="{00E711BF-2F4C-4116-9A3A-B1A9B993F7FA}" name="Column6537" dataDxfId="9817"/>
    <tableColumn id="6586" xr3:uid="{31F93FCF-7C29-4479-BF9C-117F4C889FA9}" name="Column6538" dataDxfId="9816"/>
    <tableColumn id="6587" xr3:uid="{A041F00C-6F0D-48A2-A173-C06F077AEC5E}" name="Column6539" dataDxfId="9815"/>
    <tableColumn id="6588" xr3:uid="{14DCF3ED-2BCE-4531-B810-0591862F56CE}" name="Column6540" dataDxfId="9814"/>
    <tableColumn id="6589" xr3:uid="{6B97F774-6066-4202-AAE0-661DC19407FA}" name="Column6541" dataDxfId="9813"/>
    <tableColumn id="6590" xr3:uid="{B81059DF-0ADB-49F5-BEFE-96057528F5FE}" name="Column6542" dataDxfId="9812"/>
    <tableColumn id="6591" xr3:uid="{7E6B0C2A-7922-454C-B104-AAD1AEF6D4E8}" name="Column6543" dataDxfId="9811"/>
    <tableColumn id="6592" xr3:uid="{51132A13-04CA-4A7C-ACEA-03F06612E7BD}" name="Column6544" dataDxfId="9810"/>
    <tableColumn id="6593" xr3:uid="{C5990D8A-B5D6-49CA-9029-221B84A370FC}" name="Column6545" dataDxfId="9809"/>
    <tableColumn id="6594" xr3:uid="{8C6E7F76-A4C0-46D2-88DE-7A28D5CB30D0}" name="Column6546" dataDxfId="9808"/>
    <tableColumn id="6595" xr3:uid="{DCE95D7F-0C73-44BE-9CA7-C7636655AD2F}" name="Column6547" dataDxfId="9807"/>
    <tableColumn id="6596" xr3:uid="{4785D099-48CA-41F1-989E-BB3EAFDF4245}" name="Column6548" dataDxfId="9806"/>
    <tableColumn id="6597" xr3:uid="{11823281-FB23-487C-BDE8-8C587E57B4AD}" name="Column6549" dataDxfId="9805"/>
    <tableColumn id="6598" xr3:uid="{661A5F90-1CA3-4452-82AE-97B2F02850FC}" name="Column6550" dataDxfId="9804"/>
    <tableColumn id="6599" xr3:uid="{D73C0BC1-8B87-42E5-A7D2-1ACBFC6DDFB0}" name="Column6551" dataDxfId="9803"/>
    <tableColumn id="6600" xr3:uid="{4C4FE884-05B9-436F-BD3B-6348645D1345}" name="Column6552" dataDxfId="9802"/>
    <tableColumn id="6601" xr3:uid="{B8A11BE3-12B1-4559-AB50-E7C3E0EE6124}" name="Column6553" dataDxfId="9801"/>
    <tableColumn id="6602" xr3:uid="{2413D7E1-08CC-48D8-84A5-82A8682D45AD}" name="Column6554" dataDxfId="9800"/>
    <tableColumn id="6603" xr3:uid="{4C19E833-7165-4048-84E0-21425571BF02}" name="Column6555" dataDxfId="9799"/>
    <tableColumn id="6604" xr3:uid="{8448A719-DCB2-4474-A0E4-050D9C9DF34C}" name="Column6556" dataDxfId="9798"/>
    <tableColumn id="6605" xr3:uid="{3B6C8E44-0321-430A-8E05-B33534039FE6}" name="Column6557" dataDxfId="9797"/>
    <tableColumn id="6606" xr3:uid="{4665E704-2CB1-4CCA-AAA1-8D1D868574C4}" name="Column6558" dataDxfId="9796"/>
    <tableColumn id="6607" xr3:uid="{CD84F943-9A5F-4B10-8846-997509955615}" name="Column6559" dataDxfId="9795"/>
    <tableColumn id="6608" xr3:uid="{ED971D91-C7F1-4BCE-8EE8-D5F71038DEF0}" name="Column6560" dataDxfId="9794"/>
    <tableColumn id="6609" xr3:uid="{A2A8662D-E5C6-4712-BE69-601DB42102AB}" name="Column6561" dataDxfId="9793"/>
    <tableColumn id="6610" xr3:uid="{553C20BD-8E4A-40C3-9DE2-501806A7A811}" name="Column6562" dataDxfId="9792"/>
    <tableColumn id="6611" xr3:uid="{86A237CA-2520-4947-92C6-BB9EFDB308F0}" name="Column6563" dataDxfId="9791"/>
    <tableColumn id="6612" xr3:uid="{49273711-5096-4888-9C87-4C2CEFCFDCFD}" name="Column6564" dataDxfId="9790"/>
    <tableColumn id="6613" xr3:uid="{3384345D-96D1-4C88-8CB6-C16DEAD49EBC}" name="Column6565" dataDxfId="9789"/>
    <tableColumn id="6614" xr3:uid="{DE5963B4-01E1-45BA-8CB8-5EA2509AE396}" name="Column6566" dataDxfId="9788"/>
    <tableColumn id="6615" xr3:uid="{CC576B1D-F7AD-48E8-997B-EDC7F4F323DF}" name="Column6567" dataDxfId="9787"/>
    <tableColumn id="6616" xr3:uid="{6F5C5E96-A210-47C8-8D40-E78398665CD2}" name="Column6568" dataDxfId="9786"/>
    <tableColumn id="6617" xr3:uid="{CF702D78-CB70-4396-9091-D55E0C84241A}" name="Column6569" dataDxfId="9785"/>
    <tableColumn id="6618" xr3:uid="{0B0D02F2-BB44-483C-B5F0-219F337D3340}" name="Column6570" dataDxfId="9784"/>
    <tableColumn id="6619" xr3:uid="{39E5960B-0B64-42E3-A5AA-6FA43F70C40E}" name="Column6571" dataDxfId="9783"/>
    <tableColumn id="6620" xr3:uid="{E0C48F01-9297-42FB-9EA2-92D78204336A}" name="Column6572" dataDxfId="9782"/>
    <tableColumn id="6621" xr3:uid="{12D69F24-53CB-4EAF-B259-869FBBDF8EA3}" name="Column6573" dataDxfId="9781"/>
    <tableColumn id="6622" xr3:uid="{25C91A47-60A2-4BEE-B137-4BC23BFC0C2E}" name="Column6574" dataDxfId="9780"/>
    <tableColumn id="6623" xr3:uid="{4DF18954-D3B2-435C-BACC-EC6F7966D292}" name="Column6575" dataDxfId="9779"/>
    <tableColumn id="6624" xr3:uid="{697A109E-4968-45F0-AD3D-1935B2DA8281}" name="Column6576" dataDxfId="9778"/>
    <tableColumn id="6625" xr3:uid="{5DA4E68E-5A97-4A88-A810-BF30C8464B27}" name="Column6577" dataDxfId="9777"/>
    <tableColumn id="6626" xr3:uid="{74DE2D8E-941B-45A3-9ADA-C5F73029E3B9}" name="Column6578" dataDxfId="9776"/>
    <tableColumn id="6627" xr3:uid="{EBDB6ED3-E03A-4714-9AD5-F07A16E268F0}" name="Column6579" dataDxfId="9775"/>
    <tableColumn id="6628" xr3:uid="{8C97663B-DB01-453F-8FD4-0AFF8E3C3203}" name="Column6580" dataDxfId="9774"/>
    <tableColumn id="6629" xr3:uid="{00CB88BF-2002-41DD-91B5-9923715E15C2}" name="Column6581" dataDxfId="9773"/>
    <tableColumn id="6630" xr3:uid="{92348AAE-4975-495A-A80C-6286B626F39A}" name="Column6582" dataDxfId="9772"/>
    <tableColumn id="6631" xr3:uid="{6EC44BE7-59E9-4017-90F4-B0DF634FE3E0}" name="Column6583" dataDxfId="9771"/>
    <tableColumn id="6632" xr3:uid="{AFCC4EF1-9F74-43C2-9774-EB6783F8E89E}" name="Column6584" dataDxfId="9770"/>
    <tableColumn id="6633" xr3:uid="{BC594415-D761-4BFF-B385-EB83B965CA69}" name="Column6585" dataDxfId="9769"/>
    <tableColumn id="6634" xr3:uid="{227A24FA-CC5E-4E8C-8FD5-C23A36554674}" name="Column6586" dataDxfId="9768"/>
    <tableColumn id="6635" xr3:uid="{3277AE1B-F780-42C5-9C87-818E5BA1BBB8}" name="Column6587" dataDxfId="9767"/>
    <tableColumn id="6636" xr3:uid="{2E8DF992-EE39-4948-9000-30A6CBAAAAC9}" name="Column6588" dataDxfId="9766"/>
    <tableColumn id="6637" xr3:uid="{F9C245CF-7661-4ADE-90E9-97919F80F61D}" name="Column6589" dataDxfId="9765"/>
    <tableColumn id="6638" xr3:uid="{E70FBACA-7310-4B39-9C57-CF74B6A2313B}" name="Column6590" dataDxfId="9764"/>
    <tableColumn id="6639" xr3:uid="{F4C2FB1A-43CC-45FD-8CB7-C6357ED61333}" name="Column6591" dataDxfId="9763"/>
    <tableColumn id="6640" xr3:uid="{CABADF56-D946-4ACA-BCA3-BA230C3792C6}" name="Column6592" dataDxfId="9762"/>
    <tableColumn id="6641" xr3:uid="{BDBB7E5C-6F02-4BD7-8217-2EFFCEA226A5}" name="Column6593" dataDxfId="9761"/>
    <tableColumn id="6642" xr3:uid="{46DC5219-E022-473F-A10A-B03D6F29E527}" name="Column6594" dataDxfId="9760"/>
    <tableColumn id="6643" xr3:uid="{15EBD3F7-6E5D-4B5E-B8C1-D433EA7C7B61}" name="Column6595" dataDxfId="9759"/>
    <tableColumn id="6644" xr3:uid="{2320A3B1-43DE-44D3-9CA1-FC62AE1CB1B1}" name="Column6596" dataDxfId="9758"/>
    <tableColumn id="6645" xr3:uid="{09E04F82-FEE9-483A-872C-3F72401AD030}" name="Column6597" dataDxfId="9757"/>
    <tableColumn id="6646" xr3:uid="{DB514F97-8B9A-42F1-AD8D-FC853E25439A}" name="Column6598" dataDxfId="9756"/>
    <tableColumn id="6647" xr3:uid="{5239776E-11D0-4834-9078-BEE8A05FBB35}" name="Column6599" dataDxfId="9755"/>
    <tableColumn id="6648" xr3:uid="{812BADAA-8CA7-47FA-8B7D-F99A9D37C56C}" name="Column6600" dataDxfId="9754"/>
    <tableColumn id="6649" xr3:uid="{038E7BEC-DB91-4550-803F-0F37A694670B}" name="Column6601" dataDxfId="9753"/>
    <tableColumn id="6650" xr3:uid="{57601CE4-6BAC-4F05-BEF6-3EE795284544}" name="Column6602" dataDxfId="9752"/>
    <tableColumn id="6651" xr3:uid="{9E023C17-B644-48ED-A66C-5BE57ADD641C}" name="Column6603" dataDxfId="9751"/>
    <tableColumn id="6652" xr3:uid="{DC881B2B-164F-4CE5-8B9E-BC51523F39AC}" name="Column6604" dataDxfId="9750"/>
    <tableColumn id="6653" xr3:uid="{4112718F-67C7-49EB-99AF-649710EE9EBC}" name="Column6605" dataDxfId="9749"/>
    <tableColumn id="6654" xr3:uid="{7D3D0B0C-F3DE-46BA-AE85-23975B2D499C}" name="Column6606" dataDxfId="9748"/>
    <tableColumn id="6655" xr3:uid="{2CEF35CC-68CC-43CA-BEFB-AAAA4D9303F4}" name="Column6607" dataDxfId="9747"/>
    <tableColumn id="6656" xr3:uid="{5A374502-D4AE-4A1E-8CB3-17B1257BFDD4}" name="Column6608" dataDxfId="9746"/>
    <tableColumn id="6657" xr3:uid="{BFB1E7B8-D4AA-443B-A584-B760291A66C7}" name="Column6609" dataDxfId="9745"/>
    <tableColumn id="6658" xr3:uid="{3D94B831-A83A-43BA-AA0D-FFAD9942C825}" name="Column6610" dataDxfId="9744"/>
    <tableColumn id="6659" xr3:uid="{F8A9C451-6EF6-49CA-A6AE-6F4D3E4558BC}" name="Column6611" dataDxfId="9743"/>
    <tableColumn id="6660" xr3:uid="{DECF77CB-6AB1-4DFD-8615-30409ED87100}" name="Column6612" dataDxfId="9742"/>
    <tableColumn id="6661" xr3:uid="{B543E4C4-00CF-4E57-ADF9-C7A8BF66E89F}" name="Column6613" dataDxfId="9741"/>
    <tableColumn id="6662" xr3:uid="{AA9EE095-6984-449B-A2E6-FA3999E426D4}" name="Column6614" dataDxfId="9740"/>
    <tableColumn id="6663" xr3:uid="{670AA948-2C86-4A1D-B9FE-7FD63F0077AD}" name="Column6615" dataDxfId="9739"/>
    <tableColumn id="6664" xr3:uid="{AE605E0D-4EB0-4EF3-B610-B505DE27D7DC}" name="Column6616" dataDxfId="9738"/>
    <tableColumn id="6665" xr3:uid="{A8A4DC30-DAF5-4109-B504-AB34E8A828DF}" name="Column6617" dataDxfId="9737"/>
    <tableColumn id="6666" xr3:uid="{B426C44D-EC8E-4BA1-B4D4-3CFE9D3C3C3E}" name="Column6618" dataDxfId="9736"/>
    <tableColumn id="6667" xr3:uid="{DBBADDA8-54BD-4C64-95FE-A493C82E2F88}" name="Column6619" dataDxfId="9735"/>
    <tableColumn id="6668" xr3:uid="{7CD7BF53-E107-4E28-8E74-EF2A9FD00DDB}" name="Column6620" dataDxfId="9734"/>
    <tableColumn id="6669" xr3:uid="{02D877D7-CC03-4BF9-8F8B-18B79FA982E6}" name="Column6621" dataDxfId="9733"/>
    <tableColumn id="6670" xr3:uid="{13C0FE26-64A6-480B-9750-1D652DC07591}" name="Column6622" dataDxfId="9732"/>
    <tableColumn id="6671" xr3:uid="{F31C404B-B27B-49F2-A2BE-601FCA176D88}" name="Column6623" dataDxfId="9731"/>
    <tableColumn id="6672" xr3:uid="{74DD30F8-AD13-4655-A0C5-6C113544D708}" name="Column6624" dataDxfId="9730"/>
    <tableColumn id="6673" xr3:uid="{630B50A5-C8E7-4C5B-A14D-D8D02F68A1A8}" name="Column6625" dataDxfId="9729"/>
    <tableColumn id="6674" xr3:uid="{C0C3B979-E3C3-4679-BD5F-13CC264513C8}" name="Column6626" dataDxfId="9728"/>
    <tableColumn id="6675" xr3:uid="{AD3F06CB-8DA7-4F24-84B3-43CCF3B0A382}" name="Column6627" dataDxfId="9727"/>
    <tableColumn id="6676" xr3:uid="{E5F77B58-9F0D-499C-ABCD-C22E99DCE7BB}" name="Column6628" dataDxfId="9726"/>
    <tableColumn id="6677" xr3:uid="{3E71737C-C4D7-4EF4-A571-16C272C56016}" name="Column6629" dataDxfId="9725"/>
    <tableColumn id="6678" xr3:uid="{5023F704-2F4C-4F27-BCD1-FB17288500E9}" name="Column6630" dataDxfId="9724"/>
    <tableColumn id="6679" xr3:uid="{D2453DB2-A382-4545-BD45-892612D0EAD0}" name="Column6631" dataDxfId="9723"/>
    <tableColumn id="6680" xr3:uid="{93264335-D2BC-4CCE-8E28-8EA1274F6B7C}" name="Column6632" dataDxfId="9722"/>
    <tableColumn id="6681" xr3:uid="{F267B0F4-7DE5-4FAC-8E0C-967895D5E621}" name="Column6633" dataDxfId="9721"/>
    <tableColumn id="6682" xr3:uid="{93BB515D-9741-40BB-BB80-39485F8FB565}" name="Column6634" dataDxfId="9720"/>
    <tableColumn id="6683" xr3:uid="{163D4232-118B-4439-88A4-FF542A064F8E}" name="Column6635" dataDxfId="9719"/>
    <tableColumn id="6684" xr3:uid="{B5802FBC-3D2C-4011-A9F5-7469CCF89FAA}" name="Column6636" dataDxfId="9718"/>
    <tableColumn id="6685" xr3:uid="{5F27B7D7-5C1B-49C5-A927-BF00E047BA54}" name="Column6637" dataDxfId="9717"/>
    <tableColumn id="6686" xr3:uid="{20ED7D85-FC9B-45D3-8592-6DDB97F25FC1}" name="Column6638" dataDxfId="9716"/>
    <tableColumn id="6687" xr3:uid="{BCB04ADC-6371-4F04-8F72-F3A743C5190F}" name="Column6639" dataDxfId="9715"/>
    <tableColumn id="6688" xr3:uid="{2402EEEB-281B-47AF-AAA1-B772A2D3AFFE}" name="Column6640" dataDxfId="9714"/>
    <tableColumn id="6689" xr3:uid="{AB3B23A4-F788-4F46-A01D-4FE5C29A53C4}" name="Column6641" dataDxfId="9713"/>
    <tableColumn id="6690" xr3:uid="{9561C664-BF11-4B49-97F2-2125D1B5A4A0}" name="Column6642" dataDxfId="9712"/>
    <tableColumn id="6691" xr3:uid="{A6022A99-63EA-4631-B661-4439E1C969BA}" name="Column6643" dataDxfId="9711"/>
    <tableColumn id="6692" xr3:uid="{01610A86-CBB6-4B66-B735-B77B99FC69CF}" name="Column6644" dataDxfId="9710"/>
    <tableColumn id="6693" xr3:uid="{126592DA-FCA5-4FEB-81A5-81BFBD95982C}" name="Column6645" dataDxfId="9709"/>
    <tableColumn id="6694" xr3:uid="{2B3427AD-57D1-426D-903A-7A7F549E8493}" name="Column6646" dataDxfId="9708"/>
    <tableColumn id="6695" xr3:uid="{EAAE1E51-D437-46DC-90A1-9EE66B0B039A}" name="Column6647" dataDxfId="9707"/>
    <tableColumn id="6696" xr3:uid="{374AA622-723D-4D68-BDED-572FCB011616}" name="Column6648" dataDxfId="9706"/>
    <tableColumn id="6697" xr3:uid="{7655611F-8F0E-4373-A9BE-AAFE40776B47}" name="Column6649" dataDxfId="9705"/>
    <tableColumn id="6698" xr3:uid="{6A17C171-6D8A-4D54-BE68-54718FBADA52}" name="Column6650" dataDxfId="9704"/>
    <tableColumn id="6699" xr3:uid="{A653CCD2-C406-4EBA-8348-49C2E627BB9D}" name="Column6651" dataDxfId="9703"/>
    <tableColumn id="6700" xr3:uid="{DDACE1E5-9E9E-442B-AF4C-818A596361AA}" name="Column6652" dataDxfId="9702"/>
    <tableColumn id="6701" xr3:uid="{DA70D9A2-7C1F-40D9-94D7-2941A41DA94D}" name="Column6653" dataDxfId="9701"/>
    <tableColumn id="6702" xr3:uid="{1C366465-B65D-4ACF-9EDC-BC0E45BEFCC4}" name="Column6654" dataDxfId="9700"/>
    <tableColumn id="6703" xr3:uid="{E8FB2DE9-3DB2-4AEF-9A11-B9E598BBCFA3}" name="Column6655" dataDxfId="9699"/>
    <tableColumn id="6704" xr3:uid="{3D23C298-BB90-4805-BE50-BC62A0B16561}" name="Column6656" dataDxfId="9698"/>
    <tableColumn id="6705" xr3:uid="{22EA1ABD-AEF1-4F05-91D2-AF62B8EB06D6}" name="Column6657" dataDxfId="9697"/>
    <tableColumn id="6706" xr3:uid="{43EE0CBA-9752-4DA6-A726-62E38453491A}" name="Column6658" dataDxfId="9696"/>
    <tableColumn id="6707" xr3:uid="{FE458802-B244-480C-B6F6-21BDF5093560}" name="Column6659" dataDxfId="9695"/>
    <tableColumn id="6708" xr3:uid="{850DBB19-8E5F-4393-9824-12EA6D47EA2C}" name="Column6660" dataDxfId="9694"/>
    <tableColumn id="6709" xr3:uid="{96EC6130-9CB4-4881-B2DB-5D6B3A8C4184}" name="Column6661" dataDxfId="9693"/>
    <tableColumn id="6710" xr3:uid="{F8ADC6F5-7431-4826-AF85-B6BDC4B92B62}" name="Column6662" dataDxfId="9692"/>
    <tableColumn id="6711" xr3:uid="{ACE24961-E9D0-4047-84A7-E156CF9AE265}" name="Column6663" dataDxfId="9691"/>
    <tableColumn id="6712" xr3:uid="{281E1F5F-C1EC-4462-8576-200D06285286}" name="Column6664" dataDxfId="9690"/>
    <tableColumn id="6713" xr3:uid="{33BC8B64-9126-4CFE-A147-A44AEEC40C57}" name="Column6665" dataDxfId="9689"/>
    <tableColumn id="6714" xr3:uid="{B07102FC-DB0F-4DFD-803C-A9216B46981D}" name="Column6666" dataDxfId="9688"/>
    <tableColumn id="6715" xr3:uid="{4DA90DB1-1EC5-45B5-9E39-03340695039F}" name="Column6667" dataDxfId="9687"/>
    <tableColumn id="6716" xr3:uid="{52CD5D57-DDF9-4758-B776-CD8B5E3D2632}" name="Column6668" dataDxfId="9686"/>
    <tableColumn id="6717" xr3:uid="{E546CC43-9C38-41C4-8258-3A07873EE1C0}" name="Column6669" dataDxfId="9685"/>
    <tableColumn id="6718" xr3:uid="{46FCA923-13C3-4E2D-ACC8-0F69F6792917}" name="Column6670" dataDxfId="9684"/>
    <tableColumn id="6719" xr3:uid="{57799F70-D12A-4F60-A75D-058BF5075963}" name="Column6671" dataDxfId="9683"/>
    <tableColumn id="6720" xr3:uid="{F44FC627-659D-4D7F-9A77-2C9AA4B1BBFC}" name="Column6672" dataDxfId="9682"/>
    <tableColumn id="6721" xr3:uid="{1701A985-475F-453E-A8BD-1F852B3E1E68}" name="Column6673" dataDxfId="9681"/>
    <tableColumn id="6722" xr3:uid="{62F221C0-4867-4B81-9730-AC350D45E2FE}" name="Column6674" dataDxfId="9680"/>
    <tableColumn id="6723" xr3:uid="{1E5FE69F-FA64-4693-BFE8-8EC878400DB3}" name="Column6675" dataDxfId="9679"/>
    <tableColumn id="6724" xr3:uid="{D70CB8D5-73DE-466F-A1EF-2BBFE5E25EE3}" name="Column6676" dataDxfId="9678"/>
    <tableColumn id="6725" xr3:uid="{5FF6DD61-7394-4219-8469-ED428C998127}" name="Column6677" dataDxfId="9677"/>
    <tableColumn id="6726" xr3:uid="{8FE32B14-C36B-4AF6-872B-0350BFDEA2DA}" name="Column6678" dataDxfId="9676"/>
    <tableColumn id="6727" xr3:uid="{63D94613-300E-4322-962C-A93CF0D160EC}" name="Column6679" dataDxfId="9675"/>
    <tableColumn id="6728" xr3:uid="{F79CBDB7-599D-441C-9B03-BDF40E5CD2A1}" name="Column6680" dataDxfId="9674"/>
    <tableColumn id="6729" xr3:uid="{DB9BA9E3-999E-41C4-ABC9-DECE130FE399}" name="Column6681" dataDxfId="9673"/>
    <tableColumn id="6730" xr3:uid="{E12378B0-571C-4DD8-BA5F-FA4996A51C99}" name="Column6682" dataDxfId="9672"/>
    <tableColumn id="6731" xr3:uid="{8914574C-4632-4DEC-8DFB-A7E660202536}" name="Column6683" dataDxfId="9671"/>
    <tableColumn id="6732" xr3:uid="{2D6D3D71-C3DC-453E-9C2B-1DE5EE005048}" name="Column6684" dataDxfId="9670"/>
    <tableColumn id="6733" xr3:uid="{89E804BC-FF32-4667-9BA1-636721AB776B}" name="Column6685" dataDxfId="9669"/>
    <tableColumn id="6734" xr3:uid="{EE817DBA-02F8-4EED-89FD-876E91894B45}" name="Column6686" dataDxfId="9668"/>
    <tableColumn id="6735" xr3:uid="{F3C50639-3A9A-45CE-B8A0-E4E2094D1D9F}" name="Column6687" dataDxfId="9667"/>
    <tableColumn id="6736" xr3:uid="{BF441448-D7BD-42E0-932C-0FDB15DB4CC5}" name="Column6688" dataDxfId="9666"/>
    <tableColumn id="6737" xr3:uid="{164C2700-501C-4E0D-95FC-87645CFC1E58}" name="Column6689" dataDxfId="9665"/>
    <tableColumn id="6738" xr3:uid="{8E2CE555-B139-4C47-AB44-3232A63514D8}" name="Column6690" dataDxfId="9664"/>
    <tableColumn id="6739" xr3:uid="{02DB1C6C-ED6E-4D26-87E7-BDBFEC16C176}" name="Column6691" dataDxfId="9663"/>
    <tableColumn id="6740" xr3:uid="{D49AEA9B-6B5B-46A5-AE02-D76466FC9C83}" name="Column6692" dataDxfId="9662"/>
    <tableColumn id="6741" xr3:uid="{C1905211-E31F-40C0-A3A6-8D624C1084A3}" name="Column6693" dataDxfId="9661"/>
    <tableColumn id="6742" xr3:uid="{40B5AC4B-ADA3-4247-974E-2BB0C2DAA502}" name="Column6694" dataDxfId="9660"/>
    <tableColumn id="6743" xr3:uid="{122987CF-7005-49AE-82BA-32573F0FFC16}" name="Column6695" dataDxfId="9659"/>
    <tableColumn id="6744" xr3:uid="{E0150DB7-3BE0-4A2B-9B3E-D559B73490F8}" name="Column6696" dataDxfId="9658"/>
    <tableColumn id="6745" xr3:uid="{CDDBFD71-FB39-4E56-ADD2-8D6C10DA37E4}" name="Column6697" dataDxfId="9657"/>
    <tableColumn id="6746" xr3:uid="{C0170032-8620-442C-9E6F-58FAE06F20CB}" name="Column6698" dataDxfId="9656"/>
    <tableColumn id="6747" xr3:uid="{4B993EE7-A12B-4C28-9507-3C1CE043197F}" name="Column6699" dataDxfId="9655"/>
    <tableColumn id="6748" xr3:uid="{7B08AB37-E0F4-4CCC-86C8-FBAA5407D8C9}" name="Column6700" dataDxfId="9654"/>
    <tableColumn id="6749" xr3:uid="{CAF06B87-903F-40AF-8DE6-3B582FBECB85}" name="Column6701" dataDxfId="9653"/>
    <tableColumn id="6750" xr3:uid="{3EC457DA-9BEC-4CD3-8C48-E066699DE5D1}" name="Column6702" dataDxfId="9652"/>
    <tableColumn id="6751" xr3:uid="{013003E2-0067-420F-AF09-97BBF71EB548}" name="Column6703" dataDxfId="9651"/>
    <tableColumn id="6752" xr3:uid="{06599DB7-7603-446A-8C8F-75AD4A9D8DE2}" name="Column6704" dataDxfId="9650"/>
    <tableColumn id="6753" xr3:uid="{9BF8AED7-160F-49AA-B533-15094A5B5E11}" name="Column6705" dataDxfId="9649"/>
    <tableColumn id="6754" xr3:uid="{5459FF73-5C65-4653-848F-21180E6B91AF}" name="Column6706" dataDxfId="9648"/>
    <tableColumn id="6755" xr3:uid="{24476F24-813D-42C6-9ED3-F032E5F7DF55}" name="Column6707" dataDxfId="9647"/>
    <tableColumn id="6756" xr3:uid="{4927C513-EB8A-42E5-922F-39FF9CBA0491}" name="Column6708" dataDxfId="9646"/>
    <tableColumn id="6757" xr3:uid="{84E042FE-1A5E-43CA-B77F-27CCA47FF890}" name="Column6709" dataDxfId="9645"/>
    <tableColumn id="6758" xr3:uid="{2E88FDE7-645E-49CB-B8AA-A5F4E4B79D0F}" name="Column6710" dataDxfId="9644"/>
    <tableColumn id="6759" xr3:uid="{B07B6B6D-7A52-47C2-A5C2-4F5E604814EF}" name="Column6711" dataDxfId="9643"/>
    <tableColumn id="6760" xr3:uid="{54F073FD-EB68-413D-B64B-66B95F4B5BEB}" name="Column6712" dataDxfId="9642"/>
    <tableColumn id="6761" xr3:uid="{F57A30CD-8864-4357-8DF3-9F2B5933EE6A}" name="Column6713" dataDxfId="9641"/>
    <tableColumn id="6762" xr3:uid="{DB21EE56-8F87-4160-BF8C-D1D0D12AA36B}" name="Column6714" dataDxfId="9640"/>
    <tableColumn id="6763" xr3:uid="{5CA6E69E-8ECF-4B3B-84ED-59F964500D53}" name="Column6715" dataDxfId="9639"/>
    <tableColumn id="6764" xr3:uid="{131062F6-12B4-405B-9318-32C97B3CE56C}" name="Column6716" dataDxfId="9638"/>
    <tableColumn id="6765" xr3:uid="{0F8A75D9-3565-4A43-84E8-31A1711D5846}" name="Column6717" dataDxfId="9637"/>
    <tableColumn id="6766" xr3:uid="{D1836EE7-63DE-43EE-9E9D-96FF056A336D}" name="Column6718" dataDxfId="9636"/>
    <tableColumn id="6767" xr3:uid="{91E44DD2-9DAD-4310-AE9F-65B8E8D9B21B}" name="Column6719" dataDxfId="9635"/>
    <tableColumn id="6768" xr3:uid="{16A7259B-5CCA-41D4-8972-5DDB0B15D3BD}" name="Column6720" dataDxfId="9634"/>
    <tableColumn id="6769" xr3:uid="{CE8FF21C-E8A4-4DE6-A698-D3090B4A86F0}" name="Column6721" dataDxfId="9633"/>
    <tableColumn id="6770" xr3:uid="{344795D4-FE5F-43FD-A636-4D3E58C8524F}" name="Column6722" dataDxfId="9632"/>
    <tableColumn id="6771" xr3:uid="{72C77691-81CF-487C-8B0B-728849972304}" name="Column6723" dataDxfId="9631"/>
    <tableColumn id="6772" xr3:uid="{ED820452-4D96-4D00-A0DE-139D1C598092}" name="Column6724" dataDxfId="9630"/>
    <tableColumn id="6773" xr3:uid="{7BC26716-681E-422A-AB89-82B290321F58}" name="Column6725" dataDxfId="9629"/>
    <tableColumn id="6774" xr3:uid="{C425A2C2-860B-43DB-83B3-28A1E208FE1A}" name="Column6726" dataDxfId="9628"/>
    <tableColumn id="6775" xr3:uid="{67F9EA6C-AE35-4DF7-B265-25D440E8FCC8}" name="Column6727" dataDxfId="9627"/>
    <tableColumn id="6776" xr3:uid="{E9114976-4440-447B-9196-4FDCF8C89DE3}" name="Column6728" dataDxfId="9626"/>
    <tableColumn id="6777" xr3:uid="{8F86E992-9EDE-4696-9857-BF891F5B9E58}" name="Column6729" dataDxfId="9625"/>
    <tableColumn id="6778" xr3:uid="{C01AE83A-FA64-4E20-84E4-D897E1CBD0FD}" name="Column6730" dataDxfId="9624"/>
    <tableColumn id="6779" xr3:uid="{DB51CDE9-5126-4AC1-8303-3D5EA183E824}" name="Column6731" dataDxfId="9623"/>
    <tableColumn id="6780" xr3:uid="{557C21DF-BD88-4E06-A623-DE74EE970A88}" name="Column6732" dataDxfId="9622"/>
    <tableColumn id="6781" xr3:uid="{D88D16C8-C6F3-4B5C-AF8A-F2E4D1C6907B}" name="Column6733" dataDxfId="9621"/>
    <tableColumn id="6782" xr3:uid="{C65DA2EA-0539-446C-A349-5904C0A71AB3}" name="Column6734" dataDxfId="9620"/>
    <tableColumn id="6783" xr3:uid="{ECB13A4D-2D3A-4190-886C-9887B13F6307}" name="Column6735" dataDxfId="9619"/>
    <tableColumn id="6784" xr3:uid="{B71C9BF7-7D37-4602-A161-8B14AECF9179}" name="Column6736" dataDxfId="9618"/>
    <tableColumn id="6785" xr3:uid="{000E8C2C-7A3F-40F2-A578-664C7CC4ADC2}" name="Column6737" dataDxfId="9617"/>
    <tableColumn id="6786" xr3:uid="{D3573E66-36E0-4EA2-9154-055B02DA065F}" name="Column6738" dataDxfId="9616"/>
    <tableColumn id="6787" xr3:uid="{0715FAD0-3295-4225-80EF-F7D70ACE2A72}" name="Column6739" dataDxfId="9615"/>
    <tableColumn id="6788" xr3:uid="{8BB5662A-0144-44FB-B694-C882A22B0017}" name="Column6740" dataDxfId="9614"/>
    <tableColumn id="6789" xr3:uid="{8AE5BE8C-28B2-4DCD-A713-5E99101E85ED}" name="Column6741" dataDxfId="9613"/>
    <tableColumn id="6790" xr3:uid="{6EBC08B5-9527-4000-8001-0F7C4FFFA3BF}" name="Column6742" dataDxfId="9612"/>
    <tableColumn id="6791" xr3:uid="{80AC221A-5187-4A1B-807E-F074CD6FB1A5}" name="Column6743" dataDxfId="9611"/>
    <tableColumn id="6792" xr3:uid="{BF17E567-A618-484A-93C9-15882F689568}" name="Column6744" dataDxfId="9610"/>
    <tableColumn id="6793" xr3:uid="{6C6F6E22-FE16-4315-967C-96D245236DFF}" name="Column6745" dataDxfId="9609"/>
    <tableColumn id="6794" xr3:uid="{AC759A6B-DD66-44D2-9518-5734751AA28F}" name="Column6746" dataDxfId="9608"/>
    <tableColumn id="6795" xr3:uid="{2458BA56-66AD-40CD-86DF-A8D11A1B863A}" name="Column6747" dataDxfId="9607"/>
    <tableColumn id="6796" xr3:uid="{1A99CF88-F0E8-498B-B740-7377CA7C51B5}" name="Column6748" dataDxfId="9606"/>
    <tableColumn id="6797" xr3:uid="{07E167F6-5C56-4EA5-9E79-24002C7876EE}" name="Column6749" dataDxfId="9605"/>
    <tableColumn id="6798" xr3:uid="{48DBD7A8-D956-4FBA-B7AE-609D1BC19965}" name="Column6750" dataDxfId="9604"/>
    <tableColumn id="6799" xr3:uid="{A5939700-1082-4150-82B1-B174E6FABF82}" name="Column6751" dataDxfId="9603"/>
    <tableColumn id="6800" xr3:uid="{E91E1AE7-DF10-4EF5-B814-3CC08462267B}" name="Column6752" dataDxfId="9602"/>
    <tableColumn id="6801" xr3:uid="{CBC9EA10-9F21-49A3-9C00-0BCCF33949A6}" name="Column6753" dataDxfId="9601"/>
    <tableColumn id="6802" xr3:uid="{70F05BE3-0E7A-4CC2-919B-B11ADB2C4560}" name="Column6754" dataDxfId="9600"/>
    <tableColumn id="6803" xr3:uid="{57330BA7-39C6-4CE8-AF1D-C21170FCBA3A}" name="Column6755" dataDxfId="9599"/>
    <tableColumn id="6804" xr3:uid="{D9A7F759-037C-4B73-B1D3-2F16C72B771E}" name="Column6756" dataDxfId="9598"/>
    <tableColumn id="6805" xr3:uid="{5BF38ACD-CCF8-4389-BED5-A5146FC94C96}" name="Column6757" dataDxfId="9597"/>
    <tableColumn id="6806" xr3:uid="{ED8CA7C2-1BD7-45EE-85B4-C2730E12A0C9}" name="Column6758" dataDxfId="9596"/>
    <tableColumn id="6807" xr3:uid="{7D7DBFA3-AE7B-48B6-9574-C6CA8DB1A5F6}" name="Column6759" dataDxfId="9595"/>
    <tableColumn id="6808" xr3:uid="{15379D17-77D7-43CE-AD27-85B0B045E9C1}" name="Column6760" dataDxfId="9594"/>
    <tableColumn id="6809" xr3:uid="{DEA01D3E-D94E-4E9C-9150-495F94C97333}" name="Column6761" dataDxfId="9593"/>
    <tableColumn id="6810" xr3:uid="{3A14D5EB-8F2D-4263-AB5B-CF3884D4239E}" name="Column6762" dataDxfId="9592"/>
    <tableColumn id="6811" xr3:uid="{19BA5453-E6AE-49FC-BA9A-2FE5FAB81381}" name="Column6763" dataDxfId="9591"/>
    <tableColumn id="6812" xr3:uid="{FB63BD3D-15EA-4EBE-9FE1-D3343AF78086}" name="Column6764" dataDxfId="9590"/>
    <tableColumn id="6813" xr3:uid="{13FC0E97-3463-461B-A156-1E1540057908}" name="Column6765" dataDxfId="9589"/>
    <tableColumn id="6814" xr3:uid="{745E64B6-E295-4C71-B1E4-11B96B0B6B63}" name="Column6766" dataDxfId="9588"/>
    <tableColumn id="6815" xr3:uid="{D30F67E9-B195-459F-902E-4C536F99AD4D}" name="Column6767" dataDxfId="9587"/>
    <tableColumn id="6816" xr3:uid="{B42DE556-5F3A-4B50-8966-82D1D67AF78F}" name="Column6768" dataDxfId="9586"/>
    <tableColumn id="6817" xr3:uid="{29995643-4D5D-4CE6-AD28-AB699B8CC10D}" name="Column6769" dataDxfId="9585"/>
    <tableColumn id="6818" xr3:uid="{655A1CE5-6EF0-483B-A8A9-7DFCE3560A2C}" name="Column6770" dataDxfId="9584"/>
    <tableColumn id="6819" xr3:uid="{B29943E4-ECB9-4C0F-94E3-78FBD5C1A43F}" name="Column6771" dataDxfId="9583"/>
    <tableColumn id="6820" xr3:uid="{C68EA46A-43A5-4006-876F-DCA754C0B14E}" name="Column6772" dataDxfId="9582"/>
    <tableColumn id="6821" xr3:uid="{A011EF16-22A5-461A-A7F9-C0034151F6FD}" name="Column6773" dataDxfId="9581"/>
    <tableColumn id="6822" xr3:uid="{B77C1B69-292E-4FAC-8D2E-A1A18C353048}" name="Column6774" dataDxfId="9580"/>
    <tableColumn id="6823" xr3:uid="{E8BB9892-B690-4923-86A8-68E6F4E37C92}" name="Column6775" dataDxfId="9579"/>
    <tableColumn id="6824" xr3:uid="{02E60140-0DA4-4896-A6F0-4A666729E29F}" name="Column6776" dataDxfId="9578"/>
    <tableColumn id="6825" xr3:uid="{0E94C4B0-DCA4-4078-BA2F-EAF636A19231}" name="Column6777" dataDxfId="9577"/>
    <tableColumn id="6826" xr3:uid="{0120C371-31FF-454E-B030-49E530CBE21A}" name="Column6778" dataDxfId="9576"/>
    <tableColumn id="6827" xr3:uid="{1DA80BB0-E576-46AF-AC2E-C80E7E02BF5B}" name="Column6779" dataDxfId="9575"/>
    <tableColumn id="6828" xr3:uid="{5C3D1291-A24E-4E73-86E2-85C893609566}" name="Column6780" dataDxfId="9574"/>
    <tableColumn id="6829" xr3:uid="{ADFFA0E9-561E-4903-8171-9AADB59C3162}" name="Column6781" dataDxfId="9573"/>
    <tableColumn id="6830" xr3:uid="{8C516DE4-75A7-4CDB-ACA2-E4AF2F45E031}" name="Column6782" dataDxfId="9572"/>
    <tableColumn id="6831" xr3:uid="{63748190-BF92-4DAA-9B9A-50B8D7993B83}" name="Column6783" dataDxfId="9571"/>
    <tableColumn id="6832" xr3:uid="{2963A62D-5D96-447E-9D18-1283A228A149}" name="Column6784" dataDxfId="9570"/>
    <tableColumn id="6833" xr3:uid="{56C7AA70-210A-4C04-BE30-484C602C18BB}" name="Column6785" dataDxfId="9569"/>
    <tableColumn id="6834" xr3:uid="{DD71C695-AECE-46E5-853F-83326CB7D28B}" name="Column6786" dataDxfId="9568"/>
    <tableColumn id="6835" xr3:uid="{E9338681-14D3-42FE-8E01-977FD9BCA0EC}" name="Column6787" dataDxfId="9567"/>
    <tableColumn id="6836" xr3:uid="{222F9E46-26C1-4554-99E2-5752692ADBEF}" name="Column6788" dataDxfId="9566"/>
    <tableColumn id="6837" xr3:uid="{E526A7A3-E756-4E5B-B701-13FD61E03309}" name="Column6789" dataDxfId="9565"/>
    <tableColumn id="6838" xr3:uid="{802A6D85-04C5-4F71-A09A-FA83FA1B30E8}" name="Column6790" dataDxfId="9564"/>
    <tableColumn id="6839" xr3:uid="{F3FD0D40-3BCD-4383-A147-73F8EAF05D8A}" name="Column6791" dataDxfId="9563"/>
    <tableColumn id="6840" xr3:uid="{5CA944FD-6CDF-4ED3-AD40-BD7F3161D233}" name="Column6792" dataDxfId="9562"/>
    <tableColumn id="6841" xr3:uid="{6E667C99-0A77-4C7C-887E-8F8BB4AB6418}" name="Column6793" dataDxfId="9561"/>
    <tableColumn id="6842" xr3:uid="{662511DE-1FD6-4E82-B1F7-FE3DECAD1366}" name="Column6794" dataDxfId="9560"/>
    <tableColumn id="6843" xr3:uid="{9159F089-1F5B-4289-B179-F13FDEE1574B}" name="Column6795" dataDxfId="9559"/>
    <tableColumn id="6844" xr3:uid="{DBD16065-80A8-403C-8451-34893FDE4303}" name="Column6796" dataDxfId="9558"/>
    <tableColumn id="6845" xr3:uid="{BC822EAD-1226-4CD5-817B-FF51229E05BE}" name="Column6797" dataDxfId="9557"/>
    <tableColumn id="6846" xr3:uid="{8400F05C-54A8-4BA3-90D3-FEF348D202E3}" name="Column6798" dataDxfId="9556"/>
    <tableColumn id="6847" xr3:uid="{8C903A5C-CC1A-4749-BCA5-824545AB58EB}" name="Column6799" dataDxfId="9555"/>
    <tableColumn id="6848" xr3:uid="{A7C07D7F-6FE2-458E-B513-E054A2DFB55E}" name="Column6800" dataDxfId="9554"/>
    <tableColumn id="6849" xr3:uid="{169D7178-24FC-4E71-BE70-0276D11853C1}" name="Column6801" dataDxfId="9553"/>
    <tableColumn id="6850" xr3:uid="{D8EAA9A8-19D7-474E-B29D-E08243710E8A}" name="Column6802" dataDxfId="9552"/>
    <tableColumn id="6851" xr3:uid="{C08B9C3D-EFB0-4655-B3ED-C0DF51A32482}" name="Column6803" dataDxfId="9551"/>
    <tableColumn id="6852" xr3:uid="{EEF63AE7-E74F-4B2A-BA2A-988BD961112B}" name="Column6804" dataDxfId="9550"/>
    <tableColumn id="6853" xr3:uid="{B79740AE-6FE2-4E8E-8C8F-0FA204DB7A66}" name="Column6805" dataDxfId="9549"/>
    <tableColumn id="6854" xr3:uid="{B2910784-DBA3-4FD8-AB26-71FF65EE0B29}" name="Column6806" dataDxfId="9548"/>
    <tableColumn id="6855" xr3:uid="{44DDE3A7-D8F0-41D7-AC6A-F66552D1C498}" name="Column6807" dataDxfId="9547"/>
    <tableColumn id="6856" xr3:uid="{96729D82-B974-42EC-A49D-D68833F95A93}" name="Column6808" dataDxfId="9546"/>
    <tableColumn id="6857" xr3:uid="{F01BFB72-EEAF-45D4-80DC-4465A3205646}" name="Column6809" dataDxfId="9545"/>
    <tableColumn id="6858" xr3:uid="{9E15C4CB-C055-4999-B6BF-E8B8976C2C0A}" name="Column6810" dataDxfId="9544"/>
    <tableColumn id="6859" xr3:uid="{5CB94E6D-BC76-477B-ACDD-DDC3CD19E286}" name="Column6811" dataDxfId="9543"/>
    <tableColumn id="6860" xr3:uid="{224229E2-3248-47A0-8E17-9956E977B09B}" name="Column6812" dataDxfId="9542"/>
    <tableColumn id="6861" xr3:uid="{F28876FB-2E65-484D-8977-F15ACDCC7080}" name="Column6813" dataDxfId="9541"/>
    <tableColumn id="6862" xr3:uid="{FB09D45E-3C10-413C-A0EB-6BC7B6DB1EF0}" name="Column6814" dataDxfId="9540"/>
    <tableColumn id="6863" xr3:uid="{A87702B7-1FBE-46F4-82C2-D4BFC2BFEDE8}" name="Column6815" dataDxfId="9539"/>
    <tableColumn id="6864" xr3:uid="{3052C9E0-C4E7-47CF-8B3E-59414E5C306A}" name="Column6816" dataDxfId="9538"/>
    <tableColumn id="6865" xr3:uid="{86868A20-4018-49E7-B07D-B523DF49BF01}" name="Column6817" dataDxfId="9537"/>
    <tableColumn id="6866" xr3:uid="{4F84FD51-92BC-442E-B0C1-C57D7C77C0E4}" name="Column6818" dataDxfId="9536"/>
    <tableColumn id="6867" xr3:uid="{4DD3E9B8-8E9C-4F56-A48F-DAFB6A4DBC0F}" name="Column6819" dataDxfId="9535"/>
    <tableColumn id="6868" xr3:uid="{0F57C4EE-03E9-408C-B613-79B20C7EFBEB}" name="Column6820" dataDxfId="9534"/>
    <tableColumn id="6869" xr3:uid="{04905BD1-160B-4E00-B28F-C0DF36AB0ACA}" name="Column6821" dataDxfId="9533"/>
    <tableColumn id="6870" xr3:uid="{0948E705-E91C-43C0-954D-81D31CFE4B41}" name="Column6822" dataDxfId="9532"/>
    <tableColumn id="6871" xr3:uid="{F244D158-20C8-40F5-AB67-D6285C4E5062}" name="Column6823" dataDxfId="9531"/>
    <tableColumn id="6872" xr3:uid="{1FC7630D-5B67-4BBA-9538-E31C407A1D54}" name="Column6824" dataDxfId="9530"/>
    <tableColumn id="6873" xr3:uid="{B7DEA872-9FA2-4CC5-B4D6-42A346AD433C}" name="Column6825" dataDxfId="9529"/>
    <tableColumn id="6874" xr3:uid="{5A45A68E-99FB-49E6-9375-F4209527B7EC}" name="Column6826" dataDxfId="9528"/>
    <tableColumn id="6875" xr3:uid="{0C82D670-AF0B-48A7-816A-64EB5840E00E}" name="Column6827" dataDxfId="9527"/>
    <tableColumn id="6876" xr3:uid="{E9BD1411-710C-497B-8542-8E1963B4D277}" name="Column6828" dataDxfId="9526"/>
    <tableColumn id="6877" xr3:uid="{B9B4239D-3F7B-4FA2-9609-0F9B6ADC78B9}" name="Column6829" dataDxfId="9525"/>
    <tableColumn id="6878" xr3:uid="{F5AAE166-329C-43BD-A6E0-8A2E3D424E40}" name="Column6830" dataDxfId="9524"/>
    <tableColumn id="6879" xr3:uid="{6205F57B-B442-4F94-AC57-D13EC9DCA1E6}" name="Column6831" dataDxfId="9523"/>
    <tableColumn id="6880" xr3:uid="{12FB3F80-5D67-475B-8802-9765BEF76BC9}" name="Column6832" dataDxfId="9522"/>
    <tableColumn id="6881" xr3:uid="{23EBE7D1-8D9A-467E-A307-C3D316EB98D4}" name="Column6833" dataDxfId="9521"/>
    <tableColumn id="6882" xr3:uid="{4BC1910C-3ADF-45BF-9290-DA4EDECF8441}" name="Column6834" dataDxfId="9520"/>
    <tableColumn id="6883" xr3:uid="{A617C42D-8EA5-4BF0-B115-F107E6EE4563}" name="Column6835" dataDxfId="9519"/>
    <tableColumn id="6884" xr3:uid="{3842104C-1ADC-461E-98C1-A148AEFAF48F}" name="Column6836" dataDxfId="9518"/>
    <tableColumn id="6885" xr3:uid="{D7BB3596-AF6D-45D1-8A6E-1AC298F3BDFC}" name="Column6837" dataDxfId="9517"/>
    <tableColumn id="6886" xr3:uid="{5E10FD09-E80C-4C25-8866-AB0E3EBBC39E}" name="Column6838" dataDxfId="9516"/>
    <tableColumn id="6887" xr3:uid="{52C49A81-A105-45CC-BD2F-2476A6DB9F8F}" name="Column6839" dataDxfId="9515"/>
    <tableColumn id="6888" xr3:uid="{D703C701-1368-4F7F-87F1-E8A523C1AEA6}" name="Column6840" dataDxfId="9514"/>
    <tableColumn id="6889" xr3:uid="{BFE9FB94-3D64-4A15-9220-CB57D39E67FC}" name="Column6841" dataDxfId="9513"/>
    <tableColumn id="6890" xr3:uid="{6E630DAA-6AC5-4473-953D-091256E75347}" name="Column6842" dataDxfId="9512"/>
    <tableColumn id="6891" xr3:uid="{94092CF4-D889-4F51-A72D-B21B859DC822}" name="Column6843" dataDxfId="9511"/>
    <tableColumn id="6892" xr3:uid="{8594255B-114E-4DD7-A0FF-0BABAA680954}" name="Column6844" dataDxfId="9510"/>
    <tableColumn id="6893" xr3:uid="{470B4852-4633-4A64-95F9-7770EA629CB6}" name="Column6845" dataDxfId="9509"/>
    <tableColumn id="6894" xr3:uid="{8328CC46-A5E0-45A3-816F-B3D5977075BE}" name="Column6846" dataDxfId="9508"/>
    <tableColumn id="6895" xr3:uid="{C049E958-E641-41D7-847D-21F6F54CE1B2}" name="Column6847" dataDxfId="9507"/>
    <tableColumn id="6896" xr3:uid="{AF95D5AA-D547-4602-93B9-763518CCF686}" name="Column6848" dataDxfId="9506"/>
    <tableColumn id="6897" xr3:uid="{65BDAF57-1E6C-45C8-B82A-734C539C3749}" name="Column6849" dataDxfId="9505"/>
    <tableColumn id="6898" xr3:uid="{408068D3-3BDF-4B01-B51A-B5E1765F7A82}" name="Column6850" dataDxfId="9504"/>
    <tableColumn id="6899" xr3:uid="{2226C06F-04F6-4C4C-9C52-519BC2BF882D}" name="Column6851" dataDxfId="9503"/>
    <tableColumn id="6900" xr3:uid="{AEC7730E-557C-4A9B-94EC-CF0AD5B90AE8}" name="Column6852" dataDxfId="9502"/>
    <tableColumn id="6901" xr3:uid="{CD0C24EF-DF9E-4370-B508-DE6B6F7698F6}" name="Column6853" dataDxfId="9501"/>
    <tableColumn id="6902" xr3:uid="{26D9C7E1-0512-47F7-9A6C-81681F513513}" name="Column6854" dataDxfId="9500"/>
    <tableColumn id="6903" xr3:uid="{6012E24D-6B70-469B-8338-CBB70AEE502E}" name="Column6855" dataDxfId="9499"/>
    <tableColumn id="6904" xr3:uid="{33C0CED6-CAE0-4F7E-B79E-39C7C44FEEAD}" name="Column6856" dataDxfId="9498"/>
    <tableColumn id="6905" xr3:uid="{0EA2BFE8-B199-46EC-A86E-F9D006D2C0A5}" name="Column6857" dataDxfId="9497"/>
    <tableColumn id="6906" xr3:uid="{D73099F4-2F46-4E2D-93D7-B8825FFB30FD}" name="Column6858" dataDxfId="9496"/>
    <tableColumn id="6907" xr3:uid="{22066DDE-338E-4B15-B01C-B17951D050A2}" name="Column6859" dataDxfId="9495"/>
    <tableColumn id="6908" xr3:uid="{E11B4601-AC37-4045-B685-457B9D06981B}" name="Column6860" dataDxfId="9494"/>
    <tableColumn id="6909" xr3:uid="{48CF7FE5-1F9D-4B24-B0CC-01FF2CFBFAA8}" name="Column6861" dataDxfId="9493"/>
    <tableColumn id="6910" xr3:uid="{8AAC5B99-9BFF-40CA-8412-2593A8FCAECB}" name="Column6862" dataDxfId="9492"/>
    <tableColumn id="6911" xr3:uid="{598097B7-7B08-4A97-9088-1EAA222870A1}" name="Column6863" dataDxfId="9491"/>
    <tableColumn id="6912" xr3:uid="{EABC1A4D-14DD-4C54-B37C-81AFDE5C575A}" name="Column6864" dataDxfId="9490"/>
    <tableColumn id="6913" xr3:uid="{BBDEC1F5-3260-4695-BDD9-A055586B5E60}" name="Column6865" dataDxfId="9489"/>
    <tableColumn id="6914" xr3:uid="{6964929F-EB1F-4E47-A64F-737B36CB3F6F}" name="Column6866" dataDxfId="9488"/>
    <tableColumn id="6915" xr3:uid="{DE2EAB81-8A09-416A-B5B2-8137FBF042E9}" name="Column6867" dataDxfId="9487"/>
    <tableColumn id="6916" xr3:uid="{37E78E50-FE26-492B-8626-9ED03B184799}" name="Column6868" dataDxfId="9486"/>
    <tableColumn id="6917" xr3:uid="{C95BEEDF-9D88-4A1C-94E9-4D77D488DA26}" name="Column6869" dataDxfId="9485"/>
    <tableColumn id="6918" xr3:uid="{E2DC9697-8FA0-4A52-8632-AE4ADB6206B4}" name="Column6870" dataDxfId="9484"/>
    <tableColumn id="6919" xr3:uid="{06A0A632-C27B-43B2-B646-83F9D665D8E5}" name="Column6871" dataDxfId="9483"/>
    <tableColumn id="6920" xr3:uid="{C0BDA706-5BBC-4F9C-837A-2AF16BF110EC}" name="Column6872" dataDxfId="9482"/>
    <tableColumn id="6921" xr3:uid="{ED9FFDAB-EFEA-4EB6-8523-B02D5A7B0570}" name="Column6873" dataDxfId="9481"/>
    <tableColumn id="6922" xr3:uid="{7EF31099-C4FA-469E-AB38-1DE8F6301F96}" name="Column6874" dataDxfId="9480"/>
    <tableColumn id="6923" xr3:uid="{943AE8B4-881A-4E4A-B8B5-751C59CC29ED}" name="Column6875" dataDxfId="9479"/>
    <tableColumn id="6924" xr3:uid="{47EF7B21-6B2D-47D7-B7EF-D6BD058B2D96}" name="Column6876" dataDxfId="9478"/>
    <tableColumn id="6925" xr3:uid="{03B75467-91F6-4CD7-9B75-15B66D7EB20E}" name="Column6877" dataDxfId="9477"/>
    <tableColumn id="6926" xr3:uid="{402CAC8F-F4AC-47C7-9714-1A150AA4841A}" name="Column6878" dataDxfId="9476"/>
    <tableColumn id="6927" xr3:uid="{51EA8E69-2A3F-423F-8D53-4BC0D5B291DD}" name="Column6879" dataDxfId="9475"/>
    <tableColumn id="6928" xr3:uid="{C7112FFD-C067-4180-AEE1-CF68B3FD2664}" name="Column6880" dataDxfId="9474"/>
    <tableColumn id="6929" xr3:uid="{FF5EE9D7-6700-4293-A2DB-A639D8836E44}" name="Column6881" dataDxfId="9473"/>
    <tableColumn id="6930" xr3:uid="{059B4748-FB7E-40BD-9FDA-D651547B45EE}" name="Column6882" dataDxfId="9472"/>
    <tableColumn id="6931" xr3:uid="{C3BA306E-7F23-43B8-BA4F-2D1401CD18CE}" name="Column6883" dataDxfId="9471"/>
    <tableColumn id="6932" xr3:uid="{626957BB-BD5A-4C90-ACD9-4BA06CB1DC3A}" name="Column6884" dataDxfId="9470"/>
    <tableColumn id="6933" xr3:uid="{F9BC162B-A639-4B7F-9860-29E021519414}" name="Column6885" dataDxfId="9469"/>
    <tableColumn id="6934" xr3:uid="{6A671A0D-305E-4833-A1C7-20D928A5CD92}" name="Column6886" dataDxfId="9468"/>
    <tableColumn id="6935" xr3:uid="{EC3A4C65-CC41-4DB6-9323-D6B226A41361}" name="Column6887" dataDxfId="9467"/>
    <tableColumn id="6936" xr3:uid="{81718273-6734-4661-81E9-614DBE5EEFA7}" name="Column6888" dataDxfId="9466"/>
    <tableColumn id="6937" xr3:uid="{7958411F-1BA9-4352-8548-B0BAD448D2D0}" name="Column6889" dataDxfId="9465"/>
    <tableColumn id="6938" xr3:uid="{68D6E7BC-7995-42A0-8D2E-F6E0CAE19D86}" name="Column6890" dataDxfId="9464"/>
    <tableColumn id="6939" xr3:uid="{9608B26B-FFFA-47AB-9B14-C204211C9BC8}" name="Column6891" dataDxfId="9463"/>
    <tableColumn id="6940" xr3:uid="{0D36FEF9-7C77-4276-A01B-90147D7A5BC2}" name="Column6892" dataDxfId="9462"/>
    <tableColumn id="6941" xr3:uid="{25CD8588-098A-4E00-8E48-E9F7737B43D9}" name="Column6893" dataDxfId="9461"/>
    <tableColumn id="6942" xr3:uid="{E71FCEAC-A928-4574-83E2-B1A62912B11C}" name="Column6894" dataDxfId="9460"/>
    <tableColumn id="6943" xr3:uid="{3D77AC36-2CB7-458E-A649-27865924CB7D}" name="Column6895" dataDxfId="9459"/>
    <tableColumn id="6944" xr3:uid="{CDFC0E71-C5AF-4045-8BA2-B3ADC144B7C5}" name="Column6896" dataDxfId="9458"/>
    <tableColumn id="6945" xr3:uid="{FABE55B1-1FFF-4EBF-8A1D-1724A4CFFB9F}" name="Column6897" dataDxfId="9457"/>
    <tableColumn id="6946" xr3:uid="{218ABAE3-CBDB-4543-94F1-235049C420F7}" name="Column6898" dataDxfId="9456"/>
    <tableColumn id="6947" xr3:uid="{BDCFCEA3-039B-43D7-98E2-DA201826869B}" name="Column6899" dataDxfId="9455"/>
    <tableColumn id="6948" xr3:uid="{F25DF3EA-63A5-4494-9F1C-BB02651EFF1E}" name="Column6900" dataDxfId="9454"/>
    <tableColumn id="6949" xr3:uid="{4BCBDCD5-7B92-4EB9-8AC2-4175C886632E}" name="Column6901" dataDxfId="9453"/>
    <tableColumn id="6950" xr3:uid="{E9847608-A318-452C-841A-ABB3EA53D3E8}" name="Column6902" dataDxfId="9452"/>
    <tableColumn id="6951" xr3:uid="{724D4990-C9A5-4572-B6EF-BD67AF568559}" name="Column6903" dataDxfId="9451"/>
    <tableColumn id="6952" xr3:uid="{E6645C33-1834-44CF-AC54-5547965FCEF5}" name="Column6904" dataDxfId="9450"/>
    <tableColumn id="6953" xr3:uid="{85B3B28C-EA16-4E22-8EB3-52A05594D7A5}" name="Column6905" dataDxfId="9449"/>
    <tableColumn id="6954" xr3:uid="{E6D597C1-7169-4856-90B6-43243538310A}" name="Column6906" dataDxfId="9448"/>
    <tableColumn id="6955" xr3:uid="{DFFE28AB-BF4F-4738-8F16-847B2BAC7B02}" name="Column6907" dataDxfId="9447"/>
    <tableColumn id="6956" xr3:uid="{E4CFA026-F891-49F3-A969-BC79EB9A9EDE}" name="Column6908" dataDxfId="9446"/>
    <tableColumn id="6957" xr3:uid="{FCA3A129-8788-4113-ABA6-2F2EB47B3786}" name="Column6909" dataDxfId="9445"/>
    <tableColumn id="6958" xr3:uid="{A2D83113-8744-4BDC-A599-9D9DA72CD530}" name="Column6910" dataDxfId="9444"/>
    <tableColumn id="6959" xr3:uid="{1CECDFED-D957-4BD4-9D11-B2735B28F807}" name="Column6911" dataDxfId="9443"/>
    <tableColumn id="6960" xr3:uid="{A32760A9-E4F8-4CFF-B951-0CE251ACBC8E}" name="Column6912" dataDxfId="9442"/>
    <tableColumn id="6961" xr3:uid="{CEB283A4-2911-4034-9BBE-B032AD50BE8E}" name="Column6913" dataDxfId="9441"/>
    <tableColumn id="6962" xr3:uid="{BD6ADD24-5D14-447F-9935-85AA3FE87D84}" name="Column6914" dataDxfId="9440"/>
    <tableColumn id="6963" xr3:uid="{B79FB943-91EE-4C5D-B34D-B9A1A76F0BAE}" name="Column6915" dataDxfId="9439"/>
    <tableColumn id="6964" xr3:uid="{753D0DB1-ABA9-4735-A7E8-72717EF1E1AE}" name="Column6916" dataDxfId="9438"/>
    <tableColumn id="6965" xr3:uid="{45E479A4-5DB7-424A-85BC-9982322B8C60}" name="Column6917" dataDxfId="9437"/>
    <tableColumn id="6966" xr3:uid="{14F71626-7B87-46B8-BA29-DBC3625B1601}" name="Column6918" dataDxfId="9436"/>
    <tableColumn id="6967" xr3:uid="{9876C12B-20CA-4257-9E0B-732A7E9F54C2}" name="Column6919" dataDxfId="9435"/>
    <tableColumn id="6968" xr3:uid="{FD215017-F408-4844-9C99-94D47BFEB8C2}" name="Column6920" dataDxfId="9434"/>
    <tableColumn id="6969" xr3:uid="{29A3CF63-8549-40C7-8432-497FF3FDC558}" name="Column6921" dataDxfId="9433"/>
    <tableColumn id="6970" xr3:uid="{0B047DFA-171C-418A-AA46-BC7CF760DDA4}" name="Column6922" dataDxfId="9432"/>
    <tableColumn id="6971" xr3:uid="{0E7685FE-E26E-46B8-9F67-8C9B4B914240}" name="Column6923" dataDxfId="9431"/>
    <tableColumn id="6972" xr3:uid="{7BB7EE20-3F4D-492D-A6D2-E169D9C2BBC4}" name="Column6924" dataDxfId="9430"/>
    <tableColumn id="6973" xr3:uid="{3F33A676-ABE6-4159-8DC4-AB87BA98254F}" name="Column6925" dataDxfId="9429"/>
    <tableColumn id="6974" xr3:uid="{E4B712FA-7FE3-4C3E-9BDD-C1E5D155A9C0}" name="Column6926" dataDxfId="9428"/>
    <tableColumn id="6975" xr3:uid="{0CB2ACA0-87AA-4F7E-87BD-C0F1BBE520CC}" name="Column6927" dataDxfId="9427"/>
    <tableColumn id="6976" xr3:uid="{3B979FB9-5A0F-4CA3-9EFF-A6D1A9C109E3}" name="Column6928" dataDxfId="9426"/>
    <tableColumn id="6977" xr3:uid="{E53F0A77-17BF-49F9-8472-377F2927AC46}" name="Column6929" dataDxfId="9425"/>
    <tableColumn id="6978" xr3:uid="{897A09CC-4D03-4C18-B75B-8EFA6F962165}" name="Column6930" dataDxfId="9424"/>
    <tableColumn id="6979" xr3:uid="{55EF2E98-6B3D-40D2-B7F1-3BABD4F1E528}" name="Column6931" dataDxfId="9423"/>
    <tableColumn id="6980" xr3:uid="{E5E280B4-C48C-44FA-BC53-4DA50448D43C}" name="Column6932" dataDxfId="9422"/>
    <tableColumn id="6981" xr3:uid="{F7F41F02-31C6-45D9-B586-067D336D6D66}" name="Column6933" dataDxfId="9421"/>
    <tableColumn id="6982" xr3:uid="{8EED175A-9C61-49B0-861A-C469753BBF30}" name="Column6934" dataDxfId="9420"/>
    <tableColumn id="6983" xr3:uid="{4E7D838D-630A-4F6B-8034-FE69D1E1AA7F}" name="Column6935" dataDxfId="9419"/>
    <tableColumn id="6984" xr3:uid="{6E363FB6-EE14-4220-92EE-AAA27DD2FB98}" name="Column6936" dataDxfId="9418"/>
    <tableColumn id="6985" xr3:uid="{77BE2ED1-5F69-42F1-B27C-92618C89AC6E}" name="Column6937" dataDxfId="9417"/>
    <tableColumn id="6986" xr3:uid="{37E7A30D-2315-4C79-B549-31322E374053}" name="Column6938" dataDxfId="9416"/>
    <tableColumn id="6987" xr3:uid="{247657DB-8308-4819-8ED7-7DB3A5A324FF}" name="Column6939" dataDxfId="9415"/>
    <tableColumn id="6988" xr3:uid="{03300692-BC7C-4FB0-8072-B3FA3820D476}" name="Column6940" dataDxfId="9414"/>
    <tableColumn id="6989" xr3:uid="{9530ED78-9245-4F52-840E-F84FFF47283F}" name="Column6941" dataDxfId="9413"/>
    <tableColumn id="6990" xr3:uid="{12E75ACC-E7FE-46BF-B3DE-29FF769EE791}" name="Column6942" dataDxfId="9412"/>
    <tableColumn id="6991" xr3:uid="{C452EB25-DBDE-4515-8630-A761F143099A}" name="Column6943" dataDxfId="9411"/>
    <tableColumn id="6992" xr3:uid="{2B17DBD0-8FFB-4A90-A04C-10A7346D3BBC}" name="Column6944" dataDxfId="9410"/>
    <tableColumn id="6993" xr3:uid="{7C14BC06-AF83-4F3B-A92F-E50E332404E1}" name="Column6945" dataDxfId="9409"/>
    <tableColumn id="6994" xr3:uid="{B08DC507-3065-47E0-B046-27B9656272D8}" name="Column6946" dataDxfId="9408"/>
    <tableColumn id="6995" xr3:uid="{95787953-CE0D-4DF5-9C8B-7A7E6FB8CE32}" name="Column6947" dataDxfId="9407"/>
    <tableColumn id="6996" xr3:uid="{1187D1D1-C7C8-408D-B873-5DC89D11235B}" name="Column6948" dataDxfId="9406"/>
    <tableColumn id="6997" xr3:uid="{200C1C5B-6304-43D6-8EC8-315A4D9338E3}" name="Column6949" dataDxfId="9405"/>
    <tableColumn id="6998" xr3:uid="{2EB83943-9A40-47AE-A551-DFF2A29DA513}" name="Column6950" dataDxfId="9404"/>
    <tableColumn id="6999" xr3:uid="{590BC2C6-36DD-4B0D-BCAE-2E80EBCAD8DB}" name="Column6951" dataDxfId="9403"/>
    <tableColumn id="7000" xr3:uid="{252FD04F-7189-4ABB-A7C6-02EE5C4DD837}" name="Column6952" dataDxfId="9402"/>
    <tableColumn id="7001" xr3:uid="{222C91AD-C04D-41D5-B1E2-B175E34954B7}" name="Column6953" dataDxfId="9401"/>
    <tableColumn id="7002" xr3:uid="{C01D01CC-F6F1-4EDB-AC78-05210E4DF1A7}" name="Column6954" dataDxfId="9400"/>
    <tableColumn id="7003" xr3:uid="{9F3FA3ED-8482-40CE-8DE4-03D911720618}" name="Column6955" dataDxfId="9399"/>
    <tableColumn id="7004" xr3:uid="{0B89040D-32EC-4282-9E5F-7D7901D867AC}" name="Column6956" dataDxfId="9398"/>
    <tableColumn id="7005" xr3:uid="{FFC46D8D-3767-43AC-8D9E-835C42703F08}" name="Column6957" dataDxfId="9397"/>
    <tableColumn id="7006" xr3:uid="{044B046B-FAB7-4F55-9B4C-7E73916CA818}" name="Column6958" dataDxfId="9396"/>
    <tableColumn id="7007" xr3:uid="{D17CAC90-45E6-4588-BBB8-C3702F36E785}" name="Column6959" dataDxfId="9395"/>
    <tableColumn id="7008" xr3:uid="{B31B9A75-5E1E-481C-B981-FA3C2E786A4C}" name="Column6960" dataDxfId="9394"/>
    <tableColumn id="7009" xr3:uid="{7F71643C-9F7C-46B1-A360-D238814299AA}" name="Column6961" dataDxfId="9393"/>
    <tableColumn id="7010" xr3:uid="{F6439D02-CF90-486C-B3DB-3C71A4680530}" name="Column6962" dataDxfId="9392"/>
    <tableColumn id="7011" xr3:uid="{CC5DF450-409B-40EC-B604-3EB691BAEBE2}" name="Column6963" dataDxfId="9391"/>
    <tableColumn id="7012" xr3:uid="{C78CE0FB-0208-454A-AB7C-60130C830E3E}" name="Column6964" dataDxfId="9390"/>
    <tableColumn id="7013" xr3:uid="{283308EB-F19C-4ABB-B0CC-1C7E93669CB9}" name="Column6965" dataDxfId="9389"/>
    <tableColumn id="7014" xr3:uid="{71A8F3AC-FB84-4E1E-A52D-E5EE616456E0}" name="Column6966" dataDxfId="9388"/>
    <tableColumn id="7015" xr3:uid="{0FCA4468-DE28-4853-9BAC-99B31F6E32E2}" name="Column6967" dataDxfId="9387"/>
    <tableColumn id="7016" xr3:uid="{12706311-F820-4052-830C-AF6277A99A0E}" name="Column6968" dataDxfId="9386"/>
    <tableColumn id="7017" xr3:uid="{14B9B54D-0E9D-4F12-98B3-E3CB78560F3D}" name="Column6969" dataDxfId="9385"/>
    <tableColumn id="7018" xr3:uid="{58A5865B-2490-43BA-8474-CD033986BD7A}" name="Column6970" dataDxfId="9384"/>
    <tableColumn id="7019" xr3:uid="{9CF54ECA-CAC6-420F-8FFF-819D09796514}" name="Column6971" dataDxfId="9383"/>
    <tableColumn id="7020" xr3:uid="{8CF6F794-B62E-4071-99EF-82165E704637}" name="Column6972" dataDxfId="9382"/>
    <tableColumn id="7021" xr3:uid="{7E4D0B10-19A3-46EF-8BA4-939C9D038EC3}" name="Column6973" dataDxfId="9381"/>
    <tableColumn id="7022" xr3:uid="{6F26E383-CEE1-460B-BD8C-06BD1CB8C9BD}" name="Column6974" dataDxfId="9380"/>
    <tableColumn id="7023" xr3:uid="{9CABC750-52E0-4969-8F2F-77297D36A757}" name="Column6975" dataDxfId="9379"/>
    <tableColumn id="7024" xr3:uid="{0B8C4CAC-009B-4E03-B086-2C2CBA8A2ED3}" name="Column6976" dataDxfId="9378"/>
    <tableColumn id="7025" xr3:uid="{BE9F6D26-4430-4A22-96C7-C0C3850C870A}" name="Column6977" dataDxfId="9377"/>
    <tableColumn id="7026" xr3:uid="{F0D843FD-73B3-451F-A39E-3B88F4D6E080}" name="Column6978" dataDxfId="9376"/>
    <tableColumn id="7027" xr3:uid="{19BC2106-DE94-4CFB-991C-271D4DEE645A}" name="Column6979" dataDxfId="9375"/>
    <tableColumn id="7028" xr3:uid="{60553E9E-5264-4F25-848B-6F352F37A13F}" name="Column6980" dataDxfId="9374"/>
    <tableColumn id="7029" xr3:uid="{78C55180-3C42-4AC6-A814-A2F67DF95359}" name="Column6981" dataDxfId="9373"/>
    <tableColumn id="7030" xr3:uid="{F7E0D120-3759-453A-94AF-9389AC02964A}" name="Column6982" dataDxfId="9372"/>
    <tableColumn id="7031" xr3:uid="{E9F9067C-A11B-4FA7-8007-7889F657128B}" name="Column6983" dataDxfId="9371"/>
    <tableColumn id="7032" xr3:uid="{AC6D3111-AC30-4C2C-805A-4B39E2EB1ECA}" name="Column6984" dataDxfId="9370"/>
    <tableColumn id="7033" xr3:uid="{B0F1F708-A94B-4560-BBC4-5E082A03655C}" name="Column6985" dataDxfId="9369"/>
    <tableColumn id="7034" xr3:uid="{5147D430-BA71-4F60-976C-39478F21C4E6}" name="Column6986" dataDxfId="9368"/>
    <tableColumn id="7035" xr3:uid="{AD2FA391-909F-4A62-B8AA-0C5D6A8D77D4}" name="Column6987" dataDxfId="9367"/>
    <tableColumn id="7036" xr3:uid="{1138691E-51B4-4371-8FC0-4E00EB897406}" name="Column6988" dataDxfId="9366"/>
    <tableColumn id="7037" xr3:uid="{3ED4AF84-7C19-4CA8-BBD8-563670DB3117}" name="Column6989" dataDxfId="9365"/>
    <tableColumn id="7038" xr3:uid="{76671591-CF1F-4BE2-9EE6-ECFA3BD2AF36}" name="Column6990" dataDxfId="9364"/>
    <tableColumn id="7039" xr3:uid="{B957E0C0-219F-477D-9B9E-7B2AA5BBA7A9}" name="Column6991" dataDxfId="9363"/>
    <tableColumn id="7040" xr3:uid="{5115A978-C92E-44C9-ACAB-13A4CD446006}" name="Column6992" dataDxfId="9362"/>
    <tableColumn id="7041" xr3:uid="{63F86190-767E-40E4-BE50-04D3F47B008A}" name="Column6993" dataDxfId="9361"/>
    <tableColumn id="7042" xr3:uid="{C0AB8011-9204-414F-B756-6095DD75087F}" name="Column6994" dataDxfId="9360"/>
    <tableColumn id="7043" xr3:uid="{986A0AE8-1D3D-41C9-A1C0-AE56E09BECDB}" name="Column6995" dataDxfId="9359"/>
    <tableColumn id="7044" xr3:uid="{956E7FB8-F352-47DC-B46C-3D361987752B}" name="Column6996" dataDxfId="9358"/>
    <tableColumn id="7045" xr3:uid="{BB279DD1-BBC4-4D2C-897D-AF0422ED1DC9}" name="Column6997" dataDxfId="9357"/>
    <tableColumn id="7046" xr3:uid="{C2842787-CC3A-44C6-A081-A6F65CECB3E0}" name="Column6998" dataDxfId="9356"/>
    <tableColumn id="7047" xr3:uid="{2F98D1F3-997B-4E42-A15C-33A8DB6D4ED2}" name="Column6999" dataDxfId="9355"/>
    <tableColumn id="7048" xr3:uid="{E1DD3FA2-BD57-4112-88A8-958339F603FA}" name="Column7000" dataDxfId="9354"/>
    <tableColumn id="7049" xr3:uid="{21759257-0BCF-4CBC-8E42-6AD982BDAE9F}" name="Column7001" dataDxfId="9353"/>
    <tableColumn id="7050" xr3:uid="{C4E1F3E3-3016-4825-BAEC-4891F7CFBDE3}" name="Column7002" dataDxfId="9352"/>
    <tableColumn id="7051" xr3:uid="{C5603BEA-7335-4FDC-AF66-1C540C397CA1}" name="Column7003" dataDxfId="9351"/>
    <tableColumn id="7052" xr3:uid="{556942F9-B093-4788-82E8-9A081BBDD685}" name="Column7004" dataDxfId="9350"/>
    <tableColumn id="7053" xr3:uid="{9A85EFB1-1DF6-417C-BD74-1D04406F0D85}" name="Column7005" dataDxfId="9349"/>
    <tableColumn id="7054" xr3:uid="{1F40F477-F8F4-4595-A895-71FF91728FF4}" name="Column7006" dataDxfId="9348"/>
    <tableColumn id="7055" xr3:uid="{3ADE12B5-4CB8-48A0-B389-994D6DA51F4F}" name="Column7007" dataDxfId="9347"/>
    <tableColumn id="7056" xr3:uid="{FD751B72-DE7E-433F-B9AA-B54F9BEA3627}" name="Column7008" dataDxfId="9346"/>
    <tableColumn id="7057" xr3:uid="{FC7E4466-CC5D-4B01-B5C0-BC28CF79F019}" name="Column7009" dataDxfId="9345"/>
    <tableColumn id="7058" xr3:uid="{5EA64900-CB8B-45BC-8FC8-F72ADC7ED890}" name="Column7010" dataDxfId="9344"/>
    <tableColumn id="7059" xr3:uid="{F0BDB48D-67ED-433F-A9D2-1DEBCFF292E9}" name="Column7011" dataDxfId="9343"/>
    <tableColumn id="7060" xr3:uid="{39A4B36C-13E5-44B9-8336-CD682DD240F7}" name="Column7012" dataDxfId="9342"/>
    <tableColumn id="7061" xr3:uid="{F6BD9351-172D-4E63-9333-7B10E0032A59}" name="Column7013" dataDxfId="9341"/>
    <tableColumn id="7062" xr3:uid="{B65D47EB-088A-4AF2-92A0-2FFF689D315E}" name="Column7014" dataDxfId="9340"/>
    <tableColumn id="7063" xr3:uid="{D6FE649C-7B8F-4658-967F-327D62B94D51}" name="Column7015" dataDxfId="9339"/>
    <tableColumn id="7064" xr3:uid="{92A3D807-4A5C-46F0-BB04-62FAFC6C3220}" name="Column7016" dataDxfId="9338"/>
    <tableColumn id="7065" xr3:uid="{8A92ECD0-9194-4716-939F-B84E3E4EE8C4}" name="Column7017" dataDxfId="9337"/>
    <tableColumn id="7066" xr3:uid="{B966AD3A-D37D-4DC3-B3AC-836E0A105476}" name="Column7018" dataDxfId="9336"/>
    <tableColumn id="7067" xr3:uid="{6F648489-60A9-489B-AEB3-6CB08F1CD93F}" name="Column7019" dataDxfId="9335"/>
    <tableColumn id="7068" xr3:uid="{E345D725-ECED-46B8-98C7-D686E60192AC}" name="Column7020" dataDxfId="9334"/>
    <tableColumn id="7069" xr3:uid="{ADC92375-FAB0-4516-9203-CA5DE141C37B}" name="Column7021" dataDxfId="9333"/>
    <tableColumn id="7070" xr3:uid="{2F53944C-DDB3-4551-8DE8-17A7C6A9DCEC}" name="Column7022" dataDxfId="9332"/>
    <tableColumn id="7071" xr3:uid="{EC41F7A5-1399-4667-A239-9454E4FCC6B9}" name="Column7023" dataDxfId="9331"/>
    <tableColumn id="7072" xr3:uid="{D6C45FE0-F0B9-4BA3-8117-0AE9055205EE}" name="Column7024" dataDxfId="9330"/>
    <tableColumn id="7073" xr3:uid="{EC1D04AB-1039-407C-B332-8CF7C8D51ADB}" name="Column7025" dataDxfId="9329"/>
    <tableColumn id="7074" xr3:uid="{DB665D76-3CB5-4A65-8F00-FBC4CAA6E648}" name="Column7026" dataDxfId="9328"/>
    <tableColumn id="7075" xr3:uid="{4CD7F9CC-5E43-4149-A983-1F617EDB9EBC}" name="Column7027" dataDxfId="9327"/>
    <tableColumn id="7076" xr3:uid="{73E0907B-AFB9-485E-9957-7AEFFEB96FCB}" name="Column7028" dataDxfId="9326"/>
    <tableColumn id="7077" xr3:uid="{2C66D113-70C7-4C3A-A813-509823830F5C}" name="Column7029" dataDxfId="9325"/>
    <tableColumn id="7078" xr3:uid="{9205FACE-3D9C-4D9B-8437-AFD96DDCADEB}" name="Column7030" dataDxfId="9324"/>
    <tableColumn id="7079" xr3:uid="{EFDBDF31-3A18-414C-B2A2-1B8C4863F8CA}" name="Column7031" dataDxfId="9323"/>
    <tableColumn id="7080" xr3:uid="{7A4EDAC0-D9FE-4421-92A5-24711BA66DEF}" name="Column7032" dataDxfId="9322"/>
    <tableColumn id="7081" xr3:uid="{03532830-4CF3-49F4-B122-35949E8AD39C}" name="Column7033" dataDxfId="9321"/>
    <tableColumn id="7082" xr3:uid="{D18E767C-C9A2-46B5-B3B8-13247CAF4BF5}" name="Column7034" dataDxfId="9320"/>
    <tableColumn id="7083" xr3:uid="{824A4F10-389E-4A33-9D46-1D89F8F0F792}" name="Column7035" dataDxfId="9319"/>
    <tableColumn id="7084" xr3:uid="{F85400B4-1329-4332-B52C-074E14318AFE}" name="Column7036" dataDxfId="9318"/>
    <tableColumn id="7085" xr3:uid="{DFA85D4C-E41D-41EE-9D0F-6CAB5A714CB4}" name="Column7037" dataDxfId="9317"/>
    <tableColumn id="7086" xr3:uid="{EA88C6B8-9FF4-45F2-AE09-EA517DE7D365}" name="Column7038" dataDxfId="9316"/>
    <tableColumn id="7087" xr3:uid="{64773DFC-2464-46EE-B716-EE14D5E5A3A1}" name="Column7039" dataDxfId="9315"/>
    <tableColumn id="7088" xr3:uid="{9989E769-5E61-417E-A954-934C5FCE839B}" name="Column7040" dataDxfId="9314"/>
    <tableColumn id="7089" xr3:uid="{C0CD7F08-B120-466C-8F23-D8263387A00F}" name="Column7041" dataDxfId="9313"/>
    <tableColumn id="7090" xr3:uid="{419388AE-A3C9-4D93-A08B-9C3A34A40918}" name="Column7042" dataDxfId="9312"/>
    <tableColumn id="7091" xr3:uid="{C72985AE-0F90-41FC-A9D9-8DBDC927C0AB}" name="Column7043" dataDxfId="9311"/>
    <tableColumn id="7092" xr3:uid="{FCF90534-6ABB-4A52-BA1C-2C96F9AC4CED}" name="Column7044" dataDxfId="9310"/>
    <tableColumn id="7093" xr3:uid="{4F3AC1D1-FE6B-497B-B648-699FFF19E3C1}" name="Column7045" dataDxfId="9309"/>
    <tableColumn id="7094" xr3:uid="{89312E1D-D005-433C-91EF-C6EFC97EA153}" name="Column7046" dataDxfId="9308"/>
    <tableColumn id="7095" xr3:uid="{69A39DFB-2DAC-4D3F-A181-7380D137994C}" name="Column7047" dataDxfId="9307"/>
    <tableColumn id="7096" xr3:uid="{0DFB0D0A-B1C8-4D35-9E84-7DD710066028}" name="Column7048" dataDxfId="9306"/>
    <tableColumn id="7097" xr3:uid="{4A625C52-FA89-409E-8AE7-61AC25D770D6}" name="Column7049" dataDxfId="9305"/>
    <tableColumn id="7098" xr3:uid="{BABEDEDB-F243-47BB-B758-723DB5778E70}" name="Column7050" dataDxfId="9304"/>
    <tableColumn id="7099" xr3:uid="{2C052571-ABF1-43E2-A02D-E6AD3DA08F13}" name="Column7051" dataDxfId="9303"/>
    <tableColumn id="7100" xr3:uid="{77283BBF-072C-4A43-AD7C-0246B299CA3C}" name="Column7052" dataDxfId="9302"/>
    <tableColumn id="7101" xr3:uid="{E02ACE0E-A46A-49C6-B681-F01BCFA2D1C2}" name="Column7053" dataDxfId="9301"/>
    <tableColumn id="7102" xr3:uid="{555D8948-BBCF-4A2F-8A96-8C47865A4AD8}" name="Column7054" dataDxfId="9300"/>
    <tableColumn id="7103" xr3:uid="{A9F2729D-DF36-4D8C-B362-CAEB535FFF8C}" name="Column7055" dataDxfId="9299"/>
    <tableColumn id="7104" xr3:uid="{23F134CF-E33C-4A77-87E7-0FDD69B6467C}" name="Column7056" dataDxfId="9298"/>
    <tableColumn id="7105" xr3:uid="{76219BF8-15C3-4EC1-AF0C-4A05A984D2D2}" name="Column7057" dataDxfId="9297"/>
    <tableColumn id="7106" xr3:uid="{B7BE9FE7-7B40-461B-A03C-3CD1FA75020C}" name="Column7058" dataDxfId="9296"/>
    <tableColumn id="7107" xr3:uid="{933517C2-D89D-44E7-A2B5-FCD0C4CD8E7F}" name="Column7059" dataDxfId="9295"/>
    <tableColumn id="7108" xr3:uid="{87519F23-693B-43DD-A4D9-E33729F852F1}" name="Column7060" dataDxfId="9294"/>
    <tableColumn id="7109" xr3:uid="{E0248B3F-3A34-4748-B570-843F4E9CE100}" name="Column7061" dataDxfId="9293"/>
    <tableColumn id="7110" xr3:uid="{FB4CDCFB-049C-4346-B034-2C10F2C199FD}" name="Column7062" dataDxfId="9292"/>
    <tableColumn id="7111" xr3:uid="{319280BD-31B9-490E-B0EF-B62039A6BF57}" name="Column7063" dataDxfId="9291"/>
    <tableColumn id="7112" xr3:uid="{E0FD1ABD-03AB-4A72-9FE3-D908FDBF98F7}" name="Column7064" dataDxfId="9290"/>
    <tableColumn id="7113" xr3:uid="{FC3E80E6-D162-459C-BFD1-D44B70C25C9B}" name="Column7065" dataDxfId="9289"/>
    <tableColumn id="7114" xr3:uid="{C235349F-140D-480B-84A1-99F4DE887437}" name="Column7066" dataDxfId="9288"/>
    <tableColumn id="7115" xr3:uid="{5ED9749E-73D8-4D4C-B013-90A3A2671C0B}" name="Column7067" dataDxfId="9287"/>
    <tableColumn id="7116" xr3:uid="{0DA36501-F392-4684-AA34-FE7383E519C4}" name="Column7068" dataDxfId="9286"/>
    <tableColumn id="7117" xr3:uid="{6AEA1FE6-A326-4B13-9AAE-FA3D38866C07}" name="Column7069" dataDxfId="9285"/>
    <tableColumn id="7118" xr3:uid="{05699865-CD89-4B7A-B2FA-6CF9E9A9B6FA}" name="Column7070" dataDxfId="9284"/>
    <tableColumn id="7119" xr3:uid="{10A577A8-45AA-4602-AFE9-1FDBCE0E76D9}" name="Column7071" dataDxfId="9283"/>
    <tableColumn id="7120" xr3:uid="{FA8F50C5-E6F0-4882-8A2B-A80799A642E1}" name="Column7072" dataDxfId="9282"/>
    <tableColumn id="7121" xr3:uid="{5A8276C9-8BB8-4E66-A0B6-1D90CB6D3DD2}" name="Column7073" dataDxfId="9281"/>
    <tableColumn id="7122" xr3:uid="{94C5E8F2-27BF-4005-B8A9-76642630717F}" name="Column7074" dataDxfId="9280"/>
    <tableColumn id="7123" xr3:uid="{3407BB5A-06DC-4521-99E3-8AD2E6FC8F10}" name="Column7075" dataDxfId="9279"/>
    <tableColumn id="7124" xr3:uid="{EE373464-000B-40BC-9426-C45149CC980A}" name="Column7076" dataDxfId="9278"/>
    <tableColumn id="7125" xr3:uid="{7E9B46E0-AA1E-4443-8E9E-AC7E10444E5B}" name="Column7077" dataDxfId="9277"/>
    <tableColumn id="7126" xr3:uid="{9AE413BA-B613-42A8-841B-ADB7EA6EEBFD}" name="Column7078" dataDxfId="9276"/>
    <tableColumn id="7127" xr3:uid="{92F50CF1-8166-4C8E-8EE7-94DCD628ED16}" name="Column7079" dataDxfId="9275"/>
    <tableColumn id="7128" xr3:uid="{52B6E409-B226-407F-AA1A-D1D37CAD8323}" name="Column7080" dataDxfId="9274"/>
    <tableColumn id="7129" xr3:uid="{9C7D2E54-AB94-498C-ABB1-D1BD8CF5C2F3}" name="Column7081" dataDxfId="9273"/>
    <tableColumn id="7130" xr3:uid="{4A461A4C-B786-4B79-9804-D2D44C85AACB}" name="Column7082" dataDxfId="9272"/>
    <tableColumn id="7131" xr3:uid="{6A2AFF20-CBBB-407B-8C4A-81D497CE25B3}" name="Column7083" dataDxfId="9271"/>
    <tableColumn id="7132" xr3:uid="{3F589902-4E07-4E84-B94A-B2C80D818514}" name="Column7084" dataDxfId="9270"/>
    <tableColumn id="7133" xr3:uid="{3BB62A45-077F-4C22-BB90-F3C96F0ABE81}" name="Column7085" dataDxfId="9269"/>
    <tableColumn id="7134" xr3:uid="{EE15FE76-1E91-43CD-9872-425C60A97829}" name="Column7086" dataDxfId="9268"/>
    <tableColumn id="7135" xr3:uid="{6632A74E-8AB3-41BC-B536-553956E1E517}" name="Column7087" dataDxfId="9267"/>
    <tableColumn id="7136" xr3:uid="{81010EB8-4C82-453F-AA01-D6699E1C2A11}" name="Column7088" dataDxfId="9266"/>
    <tableColumn id="7137" xr3:uid="{3CCCB9FB-C1FA-4ACC-94DF-19ACA4180ED3}" name="Column7089" dataDxfId="9265"/>
    <tableColumn id="7138" xr3:uid="{D538A19B-D8A2-4B88-86E6-635DC5BB4ABA}" name="Column7090" dataDxfId="9264"/>
    <tableColumn id="7139" xr3:uid="{59EF9B1D-B148-4D1B-9EB2-1FA3C0C6D4EE}" name="Column7091" dataDxfId="9263"/>
    <tableColumn id="7140" xr3:uid="{9D474A9C-9105-447F-AE30-2CBA81907EB7}" name="Column7092" dataDxfId="9262"/>
    <tableColumn id="7141" xr3:uid="{E3D2A8DA-8F1C-4B5C-B0B9-DC792E8F4065}" name="Column7093" dataDxfId="9261"/>
    <tableColumn id="7142" xr3:uid="{EE37B048-0019-410A-BB7A-E41F1E4F9727}" name="Column7094" dataDxfId="9260"/>
    <tableColumn id="7143" xr3:uid="{A5B75A88-4C69-4DA9-9E6E-4A23DCCD8369}" name="Column7095" dataDxfId="9259"/>
    <tableColumn id="7144" xr3:uid="{C7A0A6CB-CCAA-41CD-98C2-720A9A516F36}" name="Column7096" dataDxfId="9258"/>
    <tableColumn id="7145" xr3:uid="{0A90147A-57C6-4578-BB32-20EB6998B280}" name="Column7097" dataDxfId="9257"/>
    <tableColumn id="7146" xr3:uid="{A9D39E33-A761-417A-8FBB-C1B0CAC5CB6C}" name="Column7098" dataDxfId="9256"/>
    <tableColumn id="7147" xr3:uid="{34616DFA-BA9E-4982-A72C-60A7DF5009C1}" name="Column7099" dataDxfId="9255"/>
    <tableColumn id="7148" xr3:uid="{4F59C1F1-72C0-466D-90BA-D9313533D6CF}" name="Column7100" dataDxfId="9254"/>
    <tableColumn id="7149" xr3:uid="{C7437758-488E-4C44-A640-1658BCC6C964}" name="Column7101" dataDxfId="9253"/>
    <tableColumn id="7150" xr3:uid="{43F1C472-6BA6-4DFF-861F-46403C9A8B15}" name="Column7102" dataDxfId="9252"/>
    <tableColumn id="7151" xr3:uid="{89A504FA-0A91-4ECC-9044-EDF595FBCDBC}" name="Column7103" dataDxfId="9251"/>
    <tableColumn id="7152" xr3:uid="{A4E64B67-6625-4C1A-B55F-66AADF766464}" name="Column7104" dataDxfId="9250"/>
    <tableColumn id="7153" xr3:uid="{CD7AB223-E0F9-492F-B0F8-6A421631EC91}" name="Column7105" dataDxfId="9249"/>
    <tableColumn id="7154" xr3:uid="{33F2E002-12C0-4A26-8669-DD7F44146A6B}" name="Column7106" dataDxfId="9248"/>
    <tableColumn id="7155" xr3:uid="{6F3FAD6D-DDC9-490D-96A8-A644D09F8619}" name="Column7107" dataDxfId="9247"/>
    <tableColumn id="7156" xr3:uid="{323B4B89-812B-4039-8C43-DB16BBAF0BA0}" name="Column7108" dataDxfId="9246"/>
    <tableColumn id="7157" xr3:uid="{301EC17F-9180-4DC1-84F6-53BD80F7A184}" name="Column7109" dataDxfId="9245"/>
    <tableColumn id="7158" xr3:uid="{EEA5B443-95D6-447C-90D7-6720B47EA588}" name="Column7110" dataDxfId="9244"/>
    <tableColumn id="7159" xr3:uid="{3EAF63C1-ED81-46AC-9181-2A748D858FE5}" name="Column7111" dataDxfId="9243"/>
    <tableColumn id="7160" xr3:uid="{039003C2-E002-45E3-BD4B-BCADCB5F23D4}" name="Column7112" dataDxfId="9242"/>
    <tableColumn id="7161" xr3:uid="{8090E5F7-0C22-480E-914E-0211722DABA7}" name="Column7113" dataDxfId="9241"/>
    <tableColumn id="7162" xr3:uid="{9F790F59-80C7-4B56-A2E9-2A460B5F73E5}" name="Column7114" dataDxfId="9240"/>
    <tableColumn id="7163" xr3:uid="{E59D2741-AC57-473C-8BDA-31BE3D6AC506}" name="Column7115" dataDxfId="9239"/>
    <tableColumn id="7164" xr3:uid="{158AB400-D899-49DD-A869-2FC6C43E1299}" name="Column7116" dataDxfId="9238"/>
    <tableColumn id="7165" xr3:uid="{A3C1F8F0-5C6E-4A0B-8BBF-6FAE0B79FAA9}" name="Column7117" dataDxfId="9237"/>
    <tableColumn id="7166" xr3:uid="{76DBB930-54A6-47C4-BFB0-74397F660B3E}" name="Column7118" dataDxfId="9236"/>
    <tableColumn id="7167" xr3:uid="{E3979681-97FF-4AF7-8FA6-C7869D2750AF}" name="Column7119" dataDxfId="9235"/>
    <tableColumn id="7168" xr3:uid="{6AA6592A-8AAC-4624-9AF3-DC0769DBAB10}" name="Column7120" dataDxfId="9234"/>
    <tableColumn id="7169" xr3:uid="{EA236590-DE92-4C20-BDE9-0A9AA18CAC44}" name="Column7121" dataDxfId="9233"/>
    <tableColumn id="7170" xr3:uid="{103B022F-86F9-4B06-9AD4-4C5C3E5DB29E}" name="Column7122" dataDxfId="9232"/>
    <tableColumn id="7171" xr3:uid="{835D9EF7-FB4C-4E41-A3B3-1A8463045E05}" name="Column7123" dataDxfId="9231"/>
    <tableColumn id="7172" xr3:uid="{201B8D17-33D8-4ED6-86C5-D601E75FC944}" name="Column7124" dataDxfId="9230"/>
    <tableColumn id="7173" xr3:uid="{F1E79F66-F566-4ADB-A41D-B2F7E93E940B}" name="Column7125" dataDxfId="9229"/>
    <tableColumn id="7174" xr3:uid="{5D66397E-ADA0-4AB9-9D2F-A2ECC5B58C0C}" name="Column7126" dataDxfId="9228"/>
    <tableColumn id="7175" xr3:uid="{6C8EC3F9-63EA-4B40-BC38-763D123A317B}" name="Column7127" dataDxfId="9227"/>
    <tableColumn id="7176" xr3:uid="{21C9D923-E088-41E5-AF3D-A625E5B13C36}" name="Column7128" dataDxfId="9226"/>
    <tableColumn id="7177" xr3:uid="{03C40883-5C74-4EC0-908D-2068A18C8CA5}" name="Column7129" dataDxfId="9225"/>
    <tableColumn id="7178" xr3:uid="{E3E34EF5-57C0-4A29-9D30-01F08CDF1C22}" name="Column7130" dataDxfId="9224"/>
    <tableColumn id="7179" xr3:uid="{3F19C850-E1DB-4BFF-AED0-120E0B2F9C54}" name="Column7131" dataDxfId="9223"/>
    <tableColumn id="7180" xr3:uid="{3EBB1899-8324-4345-B17A-97F9A2947312}" name="Column7132" dataDxfId="9222"/>
    <tableColumn id="7181" xr3:uid="{B70D34A5-F72D-475D-AC2D-64860EC19211}" name="Column7133" dataDxfId="9221"/>
    <tableColumn id="7182" xr3:uid="{80357A39-FE9C-40C1-960E-134892F2BDEF}" name="Column7134" dataDxfId="9220"/>
    <tableColumn id="7183" xr3:uid="{5D4CCDBD-C4CD-4AD5-85DC-5DABD2E99CCB}" name="Column7135" dataDxfId="9219"/>
    <tableColumn id="7184" xr3:uid="{98B8E750-1088-4060-BE9B-2D9FD224ED3D}" name="Column7136" dataDxfId="9218"/>
    <tableColumn id="7185" xr3:uid="{41C96A85-52CA-41D9-9CA3-6DB386E1E68B}" name="Column7137" dataDxfId="9217"/>
    <tableColumn id="7186" xr3:uid="{C50EE880-1DE8-43DA-B4F8-4C450C9B90D5}" name="Column7138" dataDxfId="9216"/>
    <tableColumn id="7187" xr3:uid="{2068815C-8B20-4263-9754-0DF14DECC25F}" name="Column7139" dataDxfId="9215"/>
    <tableColumn id="7188" xr3:uid="{3B68DABC-EF1A-4AB6-977D-56001EFB5A0E}" name="Column7140" dataDxfId="9214"/>
    <tableColumn id="7189" xr3:uid="{197A086D-9A79-48EE-A362-D8D794BD2278}" name="Column7141" dataDxfId="9213"/>
    <tableColumn id="7190" xr3:uid="{12EE5ED9-AC19-4DD2-BC3E-3392DA9BA3CF}" name="Column7142" dataDxfId="9212"/>
    <tableColumn id="7191" xr3:uid="{4AA7C463-65B9-4D9B-AB18-ED7D6C7EF510}" name="Column7143" dataDxfId="9211"/>
    <tableColumn id="7192" xr3:uid="{E55AFDFA-047C-40E5-A49D-DA0F1D4BB95E}" name="Column7144" dataDxfId="9210"/>
    <tableColumn id="7193" xr3:uid="{8D5D45CE-BBA0-4FF7-A1E2-E8E494E33F4C}" name="Column7145" dataDxfId="9209"/>
    <tableColumn id="7194" xr3:uid="{B54DA964-43C6-490F-A8F6-8FB49D791AD4}" name="Column7146" dataDxfId="9208"/>
    <tableColumn id="7195" xr3:uid="{E858D3B1-A57B-4443-BEBC-B476DEE9FC04}" name="Column7147" dataDxfId="9207"/>
    <tableColumn id="7196" xr3:uid="{14B4E97C-F722-4C65-A648-7024ABBA2E8F}" name="Column7148" dataDxfId="9206"/>
    <tableColumn id="7197" xr3:uid="{212CC1D4-EC6D-4B84-9E1F-573B46C15378}" name="Column7149" dataDxfId="9205"/>
    <tableColumn id="7198" xr3:uid="{EA5C07C9-66B2-4711-AA44-2F417CAA8EE9}" name="Column7150" dataDxfId="9204"/>
    <tableColumn id="7199" xr3:uid="{D7E6A9CF-A8D0-46EF-B355-7C0780D5BEF6}" name="Column7151" dataDxfId="9203"/>
    <tableColumn id="7200" xr3:uid="{CED08B2C-450D-4C1C-8B61-B74BEC33589E}" name="Column7152" dataDxfId="9202"/>
    <tableColumn id="7201" xr3:uid="{010D89CE-47AC-4531-98D3-0888B575CFAC}" name="Column7153" dataDxfId="9201"/>
    <tableColumn id="7202" xr3:uid="{C20C90B5-47D4-47B8-BF44-9321CAB6FA85}" name="Column7154" dataDxfId="9200"/>
    <tableColumn id="7203" xr3:uid="{FC9A30E6-2DEA-4E04-B1F5-40BF0C4F863C}" name="Column7155" dataDxfId="9199"/>
    <tableColumn id="7204" xr3:uid="{269095FF-CEC7-4E9F-848E-BFDDC9D102E1}" name="Column7156" dataDxfId="9198"/>
    <tableColumn id="7205" xr3:uid="{1A1FAC07-D111-4663-B910-6F3C41E3C8AE}" name="Column7157" dataDxfId="9197"/>
    <tableColumn id="7206" xr3:uid="{8CE28FF8-1DBD-48D9-8671-2EFE558057E5}" name="Column7158" dataDxfId="9196"/>
    <tableColumn id="7207" xr3:uid="{A0E3E261-8FDE-4950-8911-61AEF2C6292D}" name="Column7159" dataDxfId="9195"/>
    <tableColumn id="7208" xr3:uid="{6F3CE6F6-2AE4-4AA5-A8FF-A5A0CD8C28A6}" name="Column7160" dataDxfId="9194"/>
    <tableColumn id="7209" xr3:uid="{BA4708A4-F0C6-40D5-A4DA-B3817D2840E8}" name="Column7161" dataDxfId="9193"/>
    <tableColumn id="7210" xr3:uid="{DDFA854C-9911-4200-A776-E8CA6760A95D}" name="Column7162" dataDxfId="9192"/>
    <tableColumn id="7211" xr3:uid="{479E82DD-E856-4831-8469-ED385A379AC2}" name="Column7163" dataDxfId="9191"/>
    <tableColumn id="7212" xr3:uid="{74D74B6B-A00B-465C-A84A-196D5D94769C}" name="Column7164" dataDxfId="9190"/>
    <tableColumn id="7213" xr3:uid="{7503E3E1-3535-4A6F-A1B8-380AF66D7AE7}" name="Column7165" dataDxfId="9189"/>
    <tableColumn id="7214" xr3:uid="{6513CA24-DA43-4850-A312-A2683A8BA3B4}" name="Column7166" dataDxfId="9188"/>
    <tableColumn id="7215" xr3:uid="{12CCA39A-2EE9-49D2-ADD4-570936A83E29}" name="Column7167" dataDxfId="9187"/>
    <tableColumn id="7216" xr3:uid="{700D5678-8DA9-4C62-BF94-C727DA72E37C}" name="Column7168" dataDxfId="9186"/>
    <tableColumn id="7217" xr3:uid="{AC1D5531-94BF-42C0-9D6A-FE1CBF5813F0}" name="Column7169" dataDxfId="9185"/>
    <tableColumn id="7218" xr3:uid="{6847711D-7F8B-46D4-BF0D-434FC6B51D15}" name="Column7170" dataDxfId="9184"/>
    <tableColumn id="7219" xr3:uid="{3D991769-E976-4FBA-A10D-B66E11235BA9}" name="Column7171" dataDxfId="9183"/>
    <tableColumn id="7220" xr3:uid="{88F1DC3C-FEC4-4E01-A542-035BC65449C1}" name="Column7172" dataDxfId="9182"/>
    <tableColumn id="7221" xr3:uid="{A497400D-2EEC-45C9-8B3F-3D1949A9C551}" name="Column7173" dataDxfId="9181"/>
    <tableColumn id="7222" xr3:uid="{3AF54C60-846E-4180-B0F2-4C5B22F79210}" name="Column7174" dataDxfId="9180"/>
    <tableColumn id="7223" xr3:uid="{95F48FCB-5BC8-4DCE-B62C-0D498D05317E}" name="Column7175" dataDxfId="9179"/>
    <tableColumn id="7224" xr3:uid="{D028BADD-6C5B-4ADE-9209-9CC72B228DF3}" name="Column7176" dataDxfId="9178"/>
    <tableColumn id="7225" xr3:uid="{E37FFAF7-3139-47AC-A5E7-426CC9DF1777}" name="Column7177" dataDxfId="9177"/>
    <tableColumn id="7226" xr3:uid="{2BF1D04A-9FFD-440A-989E-1F74294C065E}" name="Column7178" dataDxfId="9176"/>
    <tableColumn id="7227" xr3:uid="{33FC62BD-B59E-47B8-95D6-7BBE3B899610}" name="Column7179" dataDxfId="9175"/>
    <tableColumn id="7228" xr3:uid="{AB360341-3691-4819-8C5D-502F19974C1C}" name="Column7180" dataDxfId="9174"/>
    <tableColumn id="7229" xr3:uid="{2CDDD378-3113-463D-A1F3-3B4F58A56796}" name="Column7181" dataDxfId="9173"/>
    <tableColumn id="7230" xr3:uid="{64235C7E-0D35-488A-9F87-3D05C5F62534}" name="Column7182" dataDxfId="9172"/>
    <tableColumn id="7231" xr3:uid="{B0C19C4A-72C3-4139-9AC6-3842E15DCACC}" name="Column7183" dataDxfId="9171"/>
    <tableColumn id="7232" xr3:uid="{B6D91CD0-911E-4653-A04D-D8E12FCE7F8B}" name="Column7184" dataDxfId="9170"/>
    <tableColumn id="7233" xr3:uid="{F858D5FC-91DC-4677-88C4-DB1E3EB26AFF}" name="Column7185" dataDxfId="9169"/>
    <tableColumn id="7234" xr3:uid="{B3BABC72-CB8F-4857-8897-D47E6114F81A}" name="Column7186" dataDxfId="9168"/>
    <tableColumn id="7235" xr3:uid="{D4E9D124-4D58-435B-9319-4F9409A34A79}" name="Column7187" dataDxfId="9167"/>
    <tableColumn id="7236" xr3:uid="{1B8CE3BA-BC20-437D-978E-63121770CF41}" name="Column7188" dataDxfId="9166"/>
    <tableColumn id="7237" xr3:uid="{F2047B5A-65EE-45D8-8D3A-4A153F9FA8BE}" name="Column7189" dataDxfId="9165"/>
    <tableColumn id="7238" xr3:uid="{96CE7FA3-5196-4669-8D9D-38E0624BDC35}" name="Column7190" dataDxfId="9164"/>
    <tableColumn id="7239" xr3:uid="{10E6510E-67BD-4918-85D1-0BD2DA2581D7}" name="Column7191" dataDxfId="9163"/>
    <tableColumn id="7240" xr3:uid="{60255255-361A-4329-B6D6-CAB219A3B6E5}" name="Column7192" dataDxfId="9162"/>
    <tableColumn id="7241" xr3:uid="{65279E88-477D-4384-9BB9-30D79CEC1E87}" name="Column7193" dataDxfId="9161"/>
    <tableColumn id="7242" xr3:uid="{56F3B7C3-CCDE-4A29-9EAF-3FC16B8753EA}" name="Column7194" dataDxfId="9160"/>
    <tableColumn id="7243" xr3:uid="{D295386D-D4FC-41C0-BFEE-DC86AAE0C153}" name="Column7195" dataDxfId="9159"/>
    <tableColumn id="7244" xr3:uid="{985376D1-1F36-451D-A89C-71F53004B397}" name="Column7196" dataDxfId="9158"/>
    <tableColumn id="7245" xr3:uid="{2C6DC02C-D6AC-40A4-99AC-9B8919FF9224}" name="Column7197" dataDxfId="9157"/>
    <tableColumn id="7246" xr3:uid="{C90BB915-9347-417B-A6E3-39C8698C0633}" name="Column7198" dataDxfId="9156"/>
    <tableColumn id="7247" xr3:uid="{940C836F-B50F-422F-8F26-27EF05D9762B}" name="Column7199" dataDxfId="9155"/>
    <tableColumn id="7248" xr3:uid="{E574D0F1-D106-4B5F-A8F8-97A677185D34}" name="Column7200" dataDxfId="9154"/>
    <tableColumn id="7249" xr3:uid="{841CA7FC-020F-4B89-952B-39E50C2DDFD7}" name="Column7201" dataDxfId="9153"/>
    <tableColumn id="7250" xr3:uid="{D6B6C62F-3D0F-4E2E-ADC9-A03A935E3608}" name="Column7202" dataDxfId="9152"/>
    <tableColumn id="7251" xr3:uid="{6587C20F-7AF2-4F4F-B883-4EBA281DFD75}" name="Column7203" dataDxfId="9151"/>
    <tableColumn id="7252" xr3:uid="{344D2DB2-2FE4-45CE-8648-BA03592D3CAF}" name="Column7204" dataDxfId="9150"/>
    <tableColumn id="7253" xr3:uid="{5EF8A31B-6F7B-41A7-8A55-1BE2E621E085}" name="Column7205" dataDxfId="9149"/>
    <tableColumn id="7254" xr3:uid="{4CDABB52-AD4A-43A6-8A16-A4DBC416E5C2}" name="Column7206" dataDxfId="9148"/>
    <tableColumn id="7255" xr3:uid="{A5E0AED4-4A68-4863-B31F-44DDB23258C4}" name="Column7207" dataDxfId="9147"/>
    <tableColumn id="7256" xr3:uid="{1E70EDC6-37D8-47E6-A8DF-561F2E0D2E39}" name="Column7208" dataDxfId="9146"/>
    <tableColumn id="7257" xr3:uid="{5D245838-A101-4C3E-8359-02B084AE973D}" name="Column7209" dataDxfId="9145"/>
    <tableColumn id="7258" xr3:uid="{15C940CE-1D28-4AC0-A39F-276CA59A43F0}" name="Column7210" dataDxfId="9144"/>
    <tableColumn id="7259" xr3:uid="{39087A1D-87C7-41CE-93B1-909691E84EDB}" name="Column7211" dataDxfId="9143"/>
    <tableColumn id="7260" xr3:uid="{D073F17B-FC3B-4BA0-9C9A-8435DF83BF95}" name="Column7212" dataDxfId="9142"/>
    <tableColumn id="7261" xr3:uid="{5915AD40-4A04-4DC0-90B4-8917F438AA6F}" name="Column7213" dataDxfId="9141"/>
    <tableColumn id="7262" xr3:uid="{B3EE4D24-A6F0-4F96-BD05-E9C711A2A474}" name="Column7214" dataDxfId="9140"/>
    <tableColumn id="7263" xr3:uid="{E26B2B3C-306D-4972-9E3E-5E28AE1C82D1}" name="Column7215" dataDxfId="9139"/>
    <tableColumn id="7264" xr3:uid="{52D5D035-0E2A-45B9-8BE2-B00A7563B010}" name="Column7216" dataDxfId="9138"/>
    <tableColumn id="7265" xr3:uid="{13CB13FC-7C4D-4523-B453-0F755DD669BE}" name="Column7217" dataDxfId="9137"/>
    <tableColumn id="7266" xr3:uid="{549A51FF-7A67-4590-8EEA-E851AB7BD3D2}" name="Column7218" dataDxfId="9136"/>
    <tableColumn id="7267" xr3:uid="{203C513D-06D6-4244-8D46-A7D00D493E0A}" name="Column7219" dataDxfId="9135"/>
    <tableColumn id="7268" xr3:uid="{08F94644-A573-4B1B-9B45-41A737249628}" name="Column7220" dataDxfId="9134"/>
    <tableColumn id="7269" xr3:uid="{DB480BC7-E481-4909-98A1-8EFB3AAD6214}" name="Column7221" dataDxfId="9133"/>
    <tableColumn id="7270" xr3:uid="{1E4D1798-CC7C-46EC-8964-819F3DE542F5}" name="Column7222" dataDxfId="9132"/>
    <tableColumn id="7271" xr3:uid="{E392D87C-E484-4C41-BBE5-7D170951F3FF}" name="Column7223" dataDxfId="9131"/>
    <tableColumn id="7272" xr3:uid="{73D28ACA-1881-4DDE-AEF5-9FC1E180520F}" name="Column7224" dataDxfId="9130"/>
    <tableColumn id="7273" xr3:uid="{CE1F0012-8646-44AF-86F3-83D4EF99FEB0}" name="Column7225" dataDxfId="9129"/>
    <tableColumn id="7274" xr3:uid="{EC23ADD2-0613-4A4F-B195-6D011612F586}" name="Column7226" dataDxfId="9128"/>
    <tableColumn id="7275" xr3:uid="{2C690E02-294A-40F2-98FC-DD4DA70A4C42}" name="Column7227" dataDxfId="9127"/>
    <tableColumn id="7276" xr3:uid="{4B69D965-46FB-4D41-A7EE-D693ED3175F5}" name="Column7228" dataDxfId="9126"/>
    <tableColumn id="7277" xr3:uid="{027AB623-94E1-469C-884C-6D70E5908B41}" name="Column7229" dataDxfId="9125"/>
    <tableColumn id="7278" xr3:uid="{F1821195-1187-4F3C-91C3-D07C526FD49E}" name="Column7230" dataDxfId="9124"/>
    <tableColumn id="7279" xr3:uid="{0D42BB3B-9CC0-4BB0-BBF9-3749CEA94F5A}" name="Column7231" dataDxfId="9123"/>
    <tableColumn id="7280" xr3:uid="{46C46434-51B4-4CC4-842A-63EEF63E2AEF}" name="Column7232" dataDxfId="9122"/>
    <tableColumn id="7281" xr3:uid="{C84A032E-756C-4207-86B4-673B39E47CF5}" name="Column7233" dataDxfId="9121"/>
    <tableColumn id="7282" xr3:uid="{720E1C32-C28D-46E5-9829-FACBBA3510A9}" name="Column7234" dataDxfId="9120"/>
    <tableColumn id="7283" xr3:uid="{422012F2-E558-41E6-AC43-B99B286732D1}" name="Column7235" dataDxfId="9119"/>
    <tableColumn id="7284" xr3:uid="{F4C16251-39FC-4B61-A5F4-C78F1DE16DA3}" name="Column7236" dataDxfId="9118"/>
    <tableColumn id="7285" xr3:uid="{399BA960-9547-4AB2-B37F-78D972D1527E}" name="Column7237" dataDxfId="9117"/>
    <tableColumn id="7286" xr3:uid="{82DAA3D9-3121-4807-A7A5-D393D3DB5F2A}" name="Column7238" dataDxfId="9116"/>
    <tableColumn id="7287" xr3:uid="{F78E0D1C-822D-4BBE-93C6-49689093ADBE}" name="Column7239" dataDxfId="9115"/>
    <tableColumn id="7288" xr3:uid="{D1717C56-9A53-4345-A302-C17237D21A2A}" name="Column7240" dataDxfId="9114"/>
    <tableColumn id="7289" xr3:uid="{01864460-0C33-42DD-BCF5-2CACFA90FC41}" name="Column7241" dataDxfId="9113"/>
    <tableColumn id="7290" xr3:uid="{DCCBB200-5953-41CA-B6B0-E5BE45BDD345}" name="Column7242" dataDxfId="9112"/>
    <tableColumn id="7291" xr3:uid="{805E0EE1-6CDE-40DF-992C-2474CF83D6AF}" name="Column7243" dataDxfId="9111"/>
    <tableColumn id="7292" xr3:uid="{C3CAE2A0-B91C-493F-8B43-3756542411E8}" name="Column7244" dataDxfId="9110"/>
    <tableColumn id="7293" xr3:uid="{6C687BB0-1A65-4D1D-9B6E-1AFC8E07FC5D}" name="Column7245" dataDxfId="9109"/>
    <tableColumn id="7294" xr3:uid="{38C9053E-9487-4CB2-9658-B02C09FCBEC8}" name="Column7246" dataDxfId="9108"/>
    <tableColumn id="7295" xr3:uid="{9F138CA7-7729-40AD-ACC2-DFFC1B0985A7}" name="Column7247" dataDxfId="9107"/>
    <tableColumn id="7296" xr3:uid="{516495EB-C22C-4E32-A96B-6FF9366E96BC}" name="Column7248" dataDxfId="9106"/>
    <tableColumn id="7297" xr3:uid="{FD8DD87C-54B1-45CE-AF6B-FDAE95C98C7F}" name="Column7249" dataDxfId="9105"/>
    <tableColumn id="7298" xr3:uid="{98EC3906-5AB6-46CC-A3CB-67A1AC94CD69}" name="Column7250" dataDxfId="9104"/>
    <tableColumn id="7299" xr3:uid="{5B7A49FE-DB4C-4A15-A73D-648E16E87EF9}" name="Column7251" dataDxfId="9103"/>
    <tableColumn id="7300" xr3:uid="{94B2B583-FD3A-4734-B5BA-CF2742F4BDA0}" name="Column7252" dataDxfId="9102"/>
    <tableColumn id="7301" xr3:uid="{91D08509-E284-4CFB-A7EF-83C2BBDB37AE}" name="Column7253" dataDxfId="9101"/>
    <tableColumn id="7302" xr3:uid="{04BC2630-C4A9-44E9-823B-DD0B4C9B01A5}" name="Column7254" dataDxfId="9100"/>
    <tableColumn id="7303" xr3:uid="{46AB0700-574E-4F87-AF92-DD8F43B8E4C8}" name="Column7255" dataDxfId="9099"/>
    <tableColumn id="7304" xr3:uid="{9F489FB4-53CB-4952-B7C4-29D013B7ECD3}" name="Column7256" dataDxfId="9098"/>
    <tableColumn id="7305" xr3:uid="{ADBACA43-6FFE-42B8-9FA2-E5A4EA599D06}" name="Column7257" dataDxfId="9097"/>
    <tableColumn id="7306" xr3:uid="{58EF88E4-6C90-42BE-B50A-0117CE32C5D2}" name="Column7258" dataDxfId="9096"/>
    <tableColumn id="7307" xr3:uid="{04319D2D-E97B-4B9E-9389-BAF7BD6A72DC}" name="Column7259" dataDxfId="9095"/>
    <tableColumn id="7308" xr3:uid="{5E1ADDF4-8A45-4DE4-9881-7E75710D95FC}" name="Column7260" dataDxfId="9094"/>
    <tableColumn id="7309" xr3:uid="{1EC431EE-7576-4473-84DA-FEB5A337416C}" name="Column7261" dataDxfId="9093"/>
    <tableColumn id="7310" xr3:uid="{5A9C0205-38C4-43E6-ACDD-F766846B4E1E}" name="Column7262" dataDxfId="9092"/>
    <tableColumn id="7311" xr3:uid="{5510E172-9C52-41F1-A330-221034AABE3B}" name="Column7263" dataDxfId="9091"/>
    <tableColumn id="7312" xr3:uid="{84F338AF-4C32-4157-99C2-B46CA20D957F}" name="Column7264" dataDxfId="9090"/>
    <tableColumn id="7313" xr3:uid="{9DAF099F-65F4-40C8-97F4-D1212B4D24C3}" name="Column7265" dataDxfId="9089"/>
    <tableColumn id="7314" xr3:uid="{98D2BB85-A26E-4632-888D-25D60F4B3EF2}" name="Column7266" dataDxfId="9088"/>
    <tableColumn id="7315" xr3:uid="{F258E587-5E36-43C8-9EF5-B0171294B40E}" name="Column7267" dataDxfId="9087"/>
    <tableColumn id="7316" xr3:uid="{7325A077-4403-4C6D-A1EA-FC349CB1FED0}" name="Column7268" dataDxfId="9086"/>
    <tableColumn id="7317" xr3:uid="{807C8950-6C4E-43BB-81D3-F30BCAFE7441}" name="Column7269" dataDxfId="9085"/>
    <tableColumn id="7318" xr3:uid="{36130014-FC4C-48DE-B902-432DBA7A3534}" name="Column7270" dataDxfId="9084"/>
    <tableColumn id="7319" xr3:uid="{72E6344F-B1D8-4407-814F-C19962489F9E}" name="Column7271" dataDxfId="9083"/>
    <tableColumn id="7320" xr3:uid="{94CC8032-C247-4759-A0B3-1266D7590D56}" name="Column7272" dataDxfId="9082"/>
    <tableColumn id="7321" xr3:uid="{7C8BFBDE-62CC-44EF-9C5A-A88389979702}" name="Column7273" dataDxfId="9081"/>
    <tableColumn id="7322" xr3:uid="{6C1A6E7E-6884-4887-8C19-1B29A7B7CC56}" name="Column7274" dataDxfId="9080"/>
    <tableColumn id="7323" xr3:uid="{23A7803C-A4C1-4952-B08B-CEB79087439B}" name="Column7275" dataDxfId="9079"/>
    <tableColumn id="7324" xr3:uid="{D0131D8C-A397-4283-BF11-9A67A1F60C11}" name="Column7276" dataDxfId="9078"/>
    <tableColumn id="7325" xr3:uid="{7AB412D2-765E-47D8-9437-E9AB190E5942}" name="Column7277" dataDxfId="9077"/>
    <tableColumn id="7326" xr3:uid="{BE715E0F-088B-4223-B2EC-5C75B476F27F}" name="Column7278" dataDxfId="9076"/>
    <tableColumn id="7327" xr3:uid="{E10654A6-5211-4D6D-8497-D26B0C33FE0F}" name="Column7279" dataDxfId="9075"/>
    <tableColumn id="7328" xr3:uid="{487246F9-7297-4F15-B89E-3151CDF1420C}" name="Column7280" dataDxfId="9074"/>
    <tableColumn id="7329" xr3:uid="{DB3975AA-8494-4680-8498-9360B20094D6}" name="Column7281" dataDxfId="9073"/>
    <tableColumn id="7330" xr3:uid="{8B578C2D-8B76-4AE5-9431-1BBF0FBB0A91}" name="Column7282" dataDxfId="9072"/>
    <tableColumn id="7331" xr3:uid="{054DDCED-3F96-45C4-AF33-1CC6B1DB3943}" name="Column7283" dataDxfId="9071"/>
    <tableColumn id="7332" xr3:uid="{F76195F9-8475-47E7-B016-31A79AC5E9D2}" name="Column7284" dataDxfId="9070"/>
    <tableColumn id="7333" xr3:uid="{054C7A30-7F23-422B-AD5A-ACC1C310BE5F}" name="Column7285" dataDxfId="9069"/>
    <tableColumn id="7334" xr3:uid="{5198F91A-2C77-4103-BBC0-5DF813063CD8}" name="Column7286" dataDxfId="9068"/>
    <tableColumn id="7335" xr3:uid="{8CB45ADA-07F2-4AA7-88FE-F6DBDD3ABF2A}" name="Column7287" dataDxfId="9067"/>
    <tableColumn id="7336" xr3:uid="{56C5FD04-9F9A-405E-986C-C2ABEF048573}" name="Column7288" dataDxfId="9066"/>
    <tableColumn id="7337" xr3:uid="{BD4C4016-2E1A-47ED-9F71-E97986AC91BA}" name="Column7289" dataDxfId="9065"/>
    <tableColumn id="7338" xr3:uid="{786C0B2A-EE8C-42FF-9C2D-870BF5BDCCB3}" name="Column7290" dataDxfId="9064"/>
    <tableColumn id="7339" xr3:uid="{03F4DE1A-6F99-430C-A195-BFEBA532AC60}" name="Column7291" dataDxfId="9063"/>
    <tableColumn id="7340" xr3:uid="{42F1E84B-B119-4FC3-9DCE-5AC9FF3D08AF}" name="Column7292" dataDxfId="9062"/>
    <tableColumn id="7341" xr3:uid="{517E0F58-4FFE-48B9-94B1-84DC19517D0F}" name="Column7293" dataDxfId="9061"/>
    <tableColumn id="7342" xr3:uid="{61256DA8-67D8-4AC0-9137-AC500B5AA913}" name="Column7294" dataDxfId="9060"/>
    <tableColumn id="7343" xr3:uid="{C183A228-EF83-4699-974B-90100C3BB533}" name="Column7295" dataDxfId="9059"/>
    <tableColumn id="7344" xr3:uid="{C027F70B-6ED5-45EE-BFB8-4C60BF3FE8CA}" name="Column7296" dataDxfId="9058"/>
    <tableColumn id="7345" xr3:uid="{15D2BC78-F5D5-49B8-BD2B-2BD3BAA463D3}" name="Column7297" dataDxfId="9057"/>
    <tableColumn id="7346" xr3:uid="{6BAF2A32-3034-464B-B1A1-70307E4D612A}" name="Column7298" dataDxfId="9056"/>
    <tableColumn id="7347" xr3:uid="{7EF15F0D-99D2-4F59-B059-B72ED92317EF}" name="Column7299" dataDxfId="9055"/>
    <tableColumn id="7348" xr3:uid="{C31FC2C5-5952-46FD-B1C5-1061C67DFBD2}" name="Column7300" dataDxfId="9054"/>
    <tableColumn id="7349" xr3:uid="{33B5D7F9-D595-4603-86E1-061171C8A98F}" name="Column7301" dataDxfId="9053"/>
    <tableColumn id="7350" xr3:uid="{339B1353-0384-400A-9D9B-8A02F34E6D1D}" name="Column7302" dataDxfId="9052"/>
    <tableColumn id="7351" xr3:uid="{89D86D23-E036-46D8-9900-542B09E1D20A}" name="Column7303" dataDxfId="9051"/>
    <tableColumn id="7352" xr3:uid="{D3BE982C-FFA6-44EE-99C2-7DF201426972}" name="Column7304" dataDxfId="9050"/>
    <tableColumn id="7353" xr3:uid="{5CB96DAF-57BD-479A-8588-B9576893720D}" name="Column7305" dataDxfId="9049"/>
    <tableColumn id="7354" xr3:uid="{CDCC0BC1-8FDC-44BD-B734-1BEBD62908E4}" name="Column7306" dataDxfId="9048"/>
    <tableColumn id="7355" xr3:uid="{C23E25D2-FE08-4419-B857-15C72576963B}" name="Column7307" dataDxfId="9047"/>
    <tableColumn id="7356" xr3:uid="{6C33DFF5-039F-4B23-8183-6E9ADE4AD1B8}" name="Column7308" dataDxfId="9046"/>
    <tableColumn id="7357" xr3:uid="{57A02DDA-EF8D-4F51-AD13-A75A15DA4183}" name="Column7309" dataDxfId="9045"/>
    <tableColumn id="7358" xr3:uid="{80FC4CED-94E6-4CCA-BCC3-E2291669EDFC}" name="Column7310" dataDxfId="9044"/>
    <tableColumn id="7359" xr3:uid="{B51EB98B-A5F5-4345-9A9E-BDCECD4E32C7}" name="Column7311" dataDxfId="9043"/>
    <tableColumn id="7360" xr3:uid="{A971CB7A-4E91-4EC9-9FC9-17EDCDFD5527}" name="Column7312" dataDxfId="9042"/>
    <tableColumn id="7361" xr3:uid="{164886B0-09FA-4EA8-B78A-04DC6CCD5445}" name="Column7313" dataDxfId="9041"/>
    <tableColumn id="7362" xr3:uid="{61F50510-A291-4CF9-B113-75272204D032}" name="Column7314" dataDxfId="9040"/>
    <tableColumn id="7363" xr3:uid="{78C3FBB7-1951-4D81-93DD-61BEAA790C27}" name="Column7315" dataDxfId="9039"/>
    <tableColumn id="7364" xr3:uid="{69B1BE9F-B7CB-4CD9-8BAB-82C403D6B5F1}" name="Column7316" dataDxfId="9038"/>
    <tableColumn id="7365" xr3:uid="{D3DA62E0-6F8D-4B00-A499-8738111F18D5}" name="Column7317" dataDxfId="9037"/>
    <tableColumn id="7366" xr3:uid="{5D2FC36F-6CC1-4AAB-9274-09BB530C746D}" name="Column7318" dataDxfId="9036"/>
    <tableColumn id="7367" xr3:uid="{11819E2C-873C-435D-B94E-3F2848D508CF}" name="Column7319" dataDxfId="9035"/>
    <tableColumn id="7368" xr3:uid="{45819276-9AC2-4276-8BDD-336EB4EF60FE}" name="Column7320" dataDxfId="9034"/>
    <tableColumn id="7369" xr3:uid="{A2452BC2-9076-4CA6-9378-2468E28FF339}" name="Column7321" dataDxfId="9033"/>
    <tableColumn id="7370" xr3:uid="{DD06F860-0DDB-4FB2-821A-A17AD1ACA6F8}" name="Column7322" dataDxfId="9032"/>
    <tableColumn id="7371" xr3:uid="{30953F20-8ECE-4C60-97B6-03A9A28265B7}" name="Column7323" dataDxfId="9031"/>
    <tableColumn id="7372" xr3:uid="{B1E25D46-D27A-435C-9498-8132C881E4C6}" name="Column7324" dataDxfId="9030"/>
    <tableColumn id="7373" xr3:uid="{C1B7B220-CD6D-4CD4-B8EA-7CF037AE1E5F}" name="Column7325" dataDxfId="9029"/>
    <tableColumn id="7374" xr3:uid="{943CD5B3-9F1F-4E67-9B5F-4B69B7149233}" name="Column7326" dataDxfId="9028"/>
    <tableColumn id="7375" xr3:uid="{8BB0EFB7-1B70-4573-9EA1-810F87705BF2}" name="Column7327" dataDxfId="9027"/>
    <tableColumn id="7376" xr3:uid="{FA6302A8-EE65-4774-80F4-EC98FA3DEAAD}" name="Column7328" dataDxfId="9026"/>
    <tableColumn id="7377" xr3:uid="{57B97C44-6DCD-4999-AE4D-D217E6274FFE}" name="Column7329" dataDxfId="9025"/>
    <tableColumn id="7378" xr3:uid="{A44EF968-DF32-4434-A7A4-EFD890521F03}" name="Column7330" dataDxfId="9024"/>
    <tableColumn id="7379" xr3:uid="{98F10EC3-05B6-49A2-B489-D3214BD1F9B7}" name="Column7331" dataDxfId="9023"/>
    <tableColumn id="7380" xr3:uid="{FD75B92F-0FAE-4CFA-8272-245B74564678}" name="Column7332" dataDxfId="9022"/>
    <tableColumn id="7381" xr3:uid="{6A74C84E-9253-48AF-B43B-B2117EF2D87C}" name="Column7333" dataDxfId="9021"/>
    <tableColumn id="7382" xr3:uid="{C15D90AC-0A0F-451B-A669-55276D6C470A}" name="Column7334" dataDxfId="9020"/>
    <tableColumn id="7383" xr3:uid="{4BEB3D13-3546-4E3B-9CBE-C7255E54DA71}" name="Column7335" dataDxfId="9019"/>
    <tableColumn id="7384" xr3:uid="{CBEE5C46-0673-409B-8953-C6E6457BBF1B}" name="Column7336" dataDxfId="9018"/>
    <tableColumn id="7385" xr3:uid="{0F386D45-B97F-4CFA-916C-B9E2F1EF9905}" name="Column7337" dataDxfId="9017"/>
    <tableColumn id="7386" xr3:uid="{126C76C5-0DD0-46C9-BC4F-FFA456F8CAF1}" name="Column7338" dataDxfId="9016"/>
    <tableColumn id="7387" xr3:uid="{A3EB9EBB-93FD-468B-99B0-2E318B4A3151}" name="Column7339" dataDxfId="9015"/>
    <tableColumn id="7388" xr3:uid="{D4C487DF-C1B9-4331-BEBF-5098336C1D1D}" name="Column7340" dataDxfId="9014"/>
    <tableColumn id="7389" xr3:uid="{29246C0F-06D2-4391-8F6E-DD69300A9719}" name="Column7341" dataDxfId="9013"/>
    <tableColumn id="7390" xr3:uid="{00320601-2188-49B2-8781-399E59372800}" name="Column7342" dataDxfId="9012"/>
    <tableColumn id="7391" xr3:uid="{5E5653A3-9B54-4286-89A0-E8C6F502357F}" name="Column7343" dataDxfId="9011"/>
    <tableColumn id="7392" xr3:uid="{4CD071A4-B3EC-4887-96F1-965AFEAE6635}" name="Column7344" dataDxfId="9010"/>
    <tableColumn id="7393" xr3:uid="{1878FA51-5641-416A-8243-A361D88D8617}" name="Column7345" dataDxfId="9009"/>
    <tableColumn id="7394" xr3:uid="{F477994A-E845-47FA-AEF3-424784E870CA}" name="Column7346" dataDxfId="9008"/>
    <tableColumn id="7395" xr3:uid="{8828E564-3379-4AC2-B391-DEE2D5B51CB9}" name="Column7347" dataDxfId="9007"/>
    <tableColumn id="7396" xr3:uid="{1A1E398D-EB67-4A24-802B-FA0DB95FE60C}" name="Column7348" dataDxfId="9006"/>
    <tableColumn id="7397" xr3:uid="{D3FFBDB6-6A22-4246-9328-474B272AD0D0}" name="Column7349" dataDxfId="9005"/>
    <tableColumn id="7398" xr3:uid="{F6C8FAF2-ED65-451D-96D0-77BF4FD4493E}" name="Column7350" dataDxfId="9004"/>
    <tableColumn id="7399" xr3:uid="{7B3C29DC-F2CE-4679-A2B2-4EF25A29E441}" name="Column7351" dataDxfId="9003"/>
    <tableColumn id="7400" xr3:uid="{7458E3EB-DB58-489F-B894-A4CCAA7DCE11}" name="Column7352" dataDxfId="9002"/>
    <tableColumn id="7401" xr3:uid="{A5C6DF32-7F2F-4504-A632-55EABAC0E804}" name="Column7353" dataDxfId="9001"/>
    <tableColumn id="7402" xr3:uid="{7DA92928-0337-4C8E-ACCC-4EFF3647A140}" name="Column7354" dataDxfId="9000"/>
    <tableColumn id="7403" xr3:uid="{2511E655-F830-40EB-B9CB-41D664E2A83B}" name="Column7355" dataDxfId="8999"/>
    <tableColumn id="7404" xr3:uid="{35F01254-7860-4397-845B-17FC50176EA8}" name="Column7356" dataDxfId="8998"/>
    <tableColumn id="7405" xr3:uid="{62B675B1-F556-49A3-8EC2-BB361A8375C6}" name="Column7357" dataDxfId="8997"/>
    <tableColumn id="7406" xr3:uid="{54445C0B-83D6-45DE-8F19-F38A2AFD7D7F}" name="Column7358" dataDxfId="8996"/>
    <tableColumn id="7407" xr3:uid="{16BBEAAD-055B-4AAC-94BC-F7253B491291}" name="Column7359" dataDxfId="8995"/>
    <tableColumn id="7408" xr3:uid="{CB3F5BA8-C6FF-455D-BB53-B5DD69B58FF2}" name="Column7360" dataDxfId="8994"/>
    <tableColumn id="7409" xr3:uid="{B4C26CF9-4232-466B-A4FD-3BBF294FD12B}" name="Column7361" dataDxfId="8993"/>
    <tableColumn id="7410" xr3:uid="{A9B51570-E2DA-4A49-883D-ACA775038C19}" name="Column7362" dataDxfId="8992"/>
    <tableColumn id="7411" xr3:uid="{580713B5-0453-4DEA-BEC0-DB06A8E980C2}" name="Column7363" dataDxfId="8991"/>
    <tableColumn id="7412" xr3:uid="{2247F48B-52C6-4262-AB07-8CE5F416BCD0}" name="Column7364" dataDxfId="8990"/>
    <tableColumn id="7413" xr3:uid="{FC677556-25D1-4951-B356-A79EE4373C20}" name="Column7365" dataDxfId="8989"/>
    <tableColumn id="7414" xr3:uid="{BEB93105-B163-4476-B70C-31C016A72E7B}" name="Column7366" dataDxfId="8988"/>
    <tableColumn id="7415" xr3:uid="{6AAC1D6F-98F2-482B-83F2-C7127ED0A775}" name="Column7367" dataDxfId="8987"/>
    <tableColumn id="7416" xr3:uid="{6267BC50-DB87-4997-AAC2-30715F82BC4D}" name="Column7368" dataDxfId="8986"/>
    <tableColumn id="7417" xr3:uid="{12F3825F-0B31-4667-9CA2-DA1436B18796}" name="Column7369" dataDxfId="8985"/>
    <tableColumn id="7418" xr3:uid="{6D525F2C-4853-4D37-917E-B26B45F1F147}" name="Column7370" dataDxfId="8984"/>
    <tableColumn id="7419" xr3:uid="{162A0E4F-C2B0-4FE1-9D28-900A62B01797}" name="Column7371" dataDxfId="8983"/>
    <tableColumn id="7420" xr3:uid="{2311A3A3-8010-479E-B247-0A513371DCB1}" name="Column7372" dataDxfId="8982"/>
    <tableColumn id="7421" xr3:uid="{28AAD6D5-E53B-42C1-89E9-389F7EB87B07}" name="Column7373" dataDxfId="8981"/>
    <tableColumn id="7422" xr3:uid="{2B7DF587-D743-4366-82A7-FD12E82CAF1F}" name="Column7374" dataDxfId="8980"/>
    <tableColumn id="7423" xr3:uid="{920A27A7-7EBF-4ABE-B42D-094B0ABAB318}" name="Column7375" dataDxfId="8979"/>
    <tableColumn id="7424" xr3:uid="{FE731C67-1F90-4D05-B18A-D67463F35FFD}" name="Column7376" dataDxfId="8978"/>
    <tableColumn id="7425" xr3:uid="{6ADDF1FF-FE10-472B-9845-443A7CBEBD1D}" name="Column7377" dataDxfId="8977"/>
    <tableColumn id="7426" xr3:uid="{AFF8D9CC-1404-467C-A065-36123EC6E452}" name="Column7378" dataDxfId="8976"/>
    <tableColumn id="7427" xr3:uid="{AE5A4E21-2A2D-4398-A45B-27A68C182C23}" name="Column7379" dataDxfId="8975"/>
    <tableColumn id="7428" xr3:uid="{84FE14BD-901C-4517-984F-20BB15289B76}" name="Column7380" dataDxfId="8974"/>
    <tableColumn id="7429" xr3:uid="{624904B5-5A22-48AA-9647-9D66427945A8}" name="Column7381" dataDxfId="8973"/>
    <tableColumn id="7430" xr3:uid="{53ACEAEF-448D-4224-A5A4-2676B53EE030}" name="Column7382" dataDxfId="8972"/>
    <tableColumn id="7431" xr3:uid="{96EA3869-A3E7-417C-B24C-959556FD0D33}" name="Column7383" dataDxfId="8971"/>
    <tableColumn id="7432" xr3:uid="{8049D06A-60D4-49E1-9EA9-EFA8521FF47D}" name="Column7384" dataDxfId="8970"/>
    <tableColumn id="7433" xr3:uid="{0BAD600F-99EB-4868-8A0E-D4060C3061AD}" name="Column7385" dataDxfId="8969"/>
    <tableColumn id="7434" xr3:uid="{42DC234B-0C47-4088-A043-83F51A8D2E36}" name="Column7386" dataDxfId="8968"/>
    <tableColumn id="7435" xr3:uid="{36ED59A4-69D8-45A9-B7A8-1B4F63A06FE5}" name="Column7387" dataDxfId="8967"/>
    <tableColumn id="7436" xr3:uid="{1F9F5C27-F017-4D59-8278-361FA20BBF21}" name="Column7388" dataDxfId="8966"/>
    <tableColumn id="7437" xr3:uid="{50A31DF1-2FCF-4F84-AEFD-1AAD0F8B264A}" name="Column7389" dataDxfId="8965"/>
    <tableColumn id="7438" xr3:uid="{F7372955-CE78-4001-94F3-2923BFDE05F5}" name="Column7390" dataDxfId="8964"/>
    <tableColumn id="7439" xr3:uid="{80DF85AF-1265-4040-B850-03B69ADDBB59}" name="Column7391" dataDxfId="8963"/>
    <tableColumn id="7440" xr3:uid="{5845DEB5-8807-41C2-8A0A-8635552AE162}" name="Column7392" dataDxfId="8962"/>
    <tableColumn id="7441" xr3:uid="{5FA716CB-730C-4724-9CBF-E40CA3F44E7B}" name="Column7393" dataDxfId="8961"/>
    <tableColumn id="7442" xr3:uid="{A85872EE-449D-4672-951F-8FD77BCB7D12}" name="Column7394" dataDxfId="8960"/>
    <tableColumn id="7443" xr3:uid="{F58F0B33-9440-41DD-B3D7-96AEFB1CF8EA}" name="Column7395" dataDxfId="8959"/>
    <tableColumn id="7444" xr3:uid="{CA67F292-9A3F-4753-B2AA-DC29877805A0}" name="Column7396" dataDxfId="8958"/>
    <tableColumn id="7445" xr3:uid="{B36EFC5A-4A44-40A8-8D05-FF2950638AEB}" name="Column7397" dataDxfId="8957"/>
    <tableColumn id="7446" xr3:uid="{7697D602-E843-480E-AA83-B7E5C32B69B6}" name="Column7398" dataDxfId="8956"/>
    <tableColumn id="7447" xr3:uid="{0360DB49-7F18-4291-B52E-D58B293B2296}" name="Column7399" dataDxfId="8955"/>
    <tableColumn id="7448" xr3:uid="{92F3F05A-CBBF-4A3C-ACE4-1EEB4A9F8028}" name="Column7400" dataDxfId="8954"/>
    <tableColumn id="7449" xr3:uid="{FA506E88-9CB4-4FEA-9F50-7B55CE883B79}" name="Column7401" dataDxfId="8953"/>
    <tableColumn id="7450" xr3:uid="{0E821A30-E23C-4024-9812-FFE0677054D8}" name="Column7402" dataDxfId="8952"/>
    <tableColumn id="7451" xr3:uid="{702DCE16-F249-4BD6-BAE0-C9B84FEEBA46}" name="Column7403" dataDxfId="8951"/>
    <tableColumn id="7452" xr3:uid="{2578FB57-9C1D-41A4-AA32-14DCE95FD0C4}" name="Column7404" dataDxfId="8950"/>
    <tableColumn id="7453" xr3:uid="{2884635D-BC88-47BD-B4BC-B76059CB9447}" name="Column7405" dataDxfId="8949"/>
    <tableColumn id="7454" xr3:uid="{DD7EFA9B-3B69-44D8-8DE4-BBA69286AE62}" name="Column7406" dataDxfId="8948"/>
    <tableColumn id="7455" xr3:uid="{FA60C8EE-7F66-41A3-8A33-F035C0F09A8C}" name="Column7407" dataDxfId="8947"/>
    <tableColumn id="7456" xr3:uid="{F74492F9-B48B-4B53-A4C1-26F25082EFE2}" name="Column7408" dataDxfId="8946"/>
    <tableColumn id="7457" xr3:uid="{5D842EA4-931D-48A9-9C5A-46C4D286E024}" name="Column7409" dataDxfId="8945"/>
    <tableColumn id="7458" xr3:uid="{C88E82E8-B793-46E5-ABE6-2BBFA825FBF8}" name="Column7410" dataDxfId="8944"/>
    <tableColumn id="7459" xr3:uid="{88C831E0-C6FB-45EB-ADAF-3C86342D5968}" name="Column7411" dataDxfId="8943"/>
    <tableColumn id="7460" xr3:uid="{63FE9AB0-8B4A-4051-98A2-2AF7745DAE61}" name="Column7412" dataDxfId="8942"/>
    <tableColumn id="7461" xr3:uid="{3947A773-A367-4FED-AC8B-AAC451024453}" name="Column7413" dataDxfId="8941"/>
    <tableColumn id="7462" xr3:uid="{81E9DF36-16CF-49B7-9C5C-D5D9641B5ED3}" name="Column7414" dataDxfId="8940"/>
    <tableColumn id="7463" xr3:uid="{036CE871-B9F2-4AC3-8C24-419C98E3665A}" name="Column7415" dataDxfId="8939"/>
    <tableColumn id="7464" xr3:uid="{F3955CBA-5192-41CD-A117-9B3784BA3A6A}" name="Column7416" dataDxfId="8938"/>
    <tableColumn id="7465" xr3:uid="{44BF5499-B469-4949-B41D-2DD01782BAE6}" name="Column7417" dataDxfId="8937"/>
    <tableColumn id="7466" xr3:uid="{697409FA-4B2B-4BFF-A937-F71ABCF18E3A}" name="Column7418" dataDxfId="8936"/>
    <tableColumn id="7467" xr3:uid="{E29CE935-03EA-4407-B871-9DC3A2FB5FBC}" name="Column7419" dataDxfId="8935"/>
    <tableColumn id="7468" xr3:uid="{80235AD8-8AA6-4D09-8F5F-9E061579ED4C}" name="Column7420" dataDxfId="8934"/>
    <tableColumn id="7469" xr3:uid="{35CEDB79-EBA0-4CD6-AB1A-99085EA0EF3A}" name="Column7421" dataDxfId="8933"/>
    <tableColumn id="7470" xr3:uid="{23949D72-3A87-423B-B4E3-7D338DC3C5A6}" name="Column7422" dataDxfId="8932"/>
    <tableColumn id="7471" xr3:uid="{3E005CE0-0D63-444F-B605-D07D377DDF65}" name="Column7423" dataDxfId="8931"/>
    <tableColumn id="7472" xr3:uid="{2E321F9B-7407-4CE2-86BA-CFE9D72752FA}" name="Column7424" dataDxfId="8930"/>
    <tableColumn id="7473" xr3:uid="{4E7A4FE1-7EE6-4973-826C-2AC018D86BF8}" name="Column7425" dataDxfId="8929"/>
    <tableColumn id="7474" xr3:uid="{30A70BF8-548A-44F6-9723-0D90790A9E97}" name="Column7426" dataDxfId="8928"/>
    <tableColumn id="7475" xr3:uid="{15988006-C26E-4CA5-BA06-F92222D86306}" name="Column7427" dataDxfId="8927"/>
    <tableColumn id="7476" xr3:uid="{8E2023EF-D7EE-4036-A4EE-9A9A19B10518}" name="Column7428" dataDxfId="8926"/>
    <tableColumn id="7477" xr3:uid="{D83E106E-028D-4181-9D78-1822BA804036}" name="Column7429" dataDxfId="8925"/>
    <tableColumn id="7478" xr3:uid="{3439B457-10E5-4BA8-97E5-FDEA163B5488}" name="Column7430" dataDxfId="8924"/>
    <tableColumn id="7479" xr3:uid="{DA45B4AA-6563-4204-A9DF-D70EBB528F01}" name="Column7431" dataDxfId="8923"/>
    <tableColumn id="7480" xr3:uid="{747D007E-C2D5-40BB-A904-AC2BB2398662}" name="Column7432" dataDxfId="8922"/>
    <tableColumn id="7481" xr3:uid="{E8780795-A780-4CA3-AD9D-FE998CA85097}" name="Column7433" dataDxfId="8921"/>
    <tableColumn id="7482" xr3:uid="{7E2C5492-0B9C-4D1C-870E-E199E489A711}" name="Column7434" dataDxfId="8920"/>
    <tableColumn id="7483" xr3:uid="{AC208368-4BC4-481E-9D02-3DFE4F49D7BF}" name="Column7435" dataDxfId="8919"/>
    <tableColumn id="7484" xr3:uid="{5A1F9141-29FC-47E6-BC90-91E8EFD87952}" name="Column7436" dataDxfId="8918"/>
    <tableColumn id="7485" xr3:uid="{6FBE96F8-C78D-4A37-A957-D22AB7A3FD45}" name="Column7437" dataDxfId="8917"/>
    <tableColumn id="7486" xr3:uid="{8B384ACE-D1EF-4EF1-B25D-6E51E628380A}" name="Column7438" dataDxfId="8916"/>
    <tableColumn id="7487" xr3:uid="{072ABA66-B745-4145-85A3-391B47E82324}" name="Column7439" dataDxfId="8915"/>
    <tableColumn id="7488" xr3:uid="{80A0E4D6-BF8B-4020-9FB9-793243D4D5A6}" name="Column7440" dataDxfId="8914"/>
    <tableColumn id="7489" xr3:uid="{AB968B30-3FC2-4FB5-8A9A-3C03F410D494}" name="Column7441" dataDxfId="8913"/>
    <tableColumn id="7490" xr3:uid="{F97284A7-6054-4F0C-BB11-C0C529C9DF36}" name="Column7442" dataDxfId="8912"/>
    <tableColumn id="7491" xr3:uid="{D4C55CFD-E34E-4F7E-B75C-39A8E34BA0E9}" name="Column7443" dataDxfId="8911"/>
    <tableColumn id="7492" xr3:uid="{797998B7-F869-4476-A00B-86E6A7B38928}" name="Column7444" dataDxfId="8910"/>
    <tableColumn id="7493" xr3:uid="{7163D394-A4F5-4893-915F-7D5594FDDDB4}" name="Column7445" dataDxfId="8909"/>
    <tableColumn id="7494" xr3:uid="{7BB4631B-E7F1-4A77-9E34-58E6D4792BD6}" name="Column7446" dataDxfId="8908"/>
    <tableColumn id="7495" xr3:uid="{364F423E-B3A7-4168-B82B-922C13DD084A}" name="Column7447" dataDxfId="8907"/>
    <tableColumn id="7496" xr3:uid="{1F22E396-F5CB-4C10-AE93-87A7B6747CBC}" name="Column7448" dataDxfId="8906"/>
    <tableColumn id="7497" xr3:uid="{77F8A240-03E9-49F1-8CB5-297B43BB72DD}" name="Column7449" dataDxfId="8905"/>
    <tableColumn id="7498" xr3:uid="{E0B0FCC8-7FE5-49D7-B476-B2D77C62112A}" name="Column7450" dataDxfId="8904"/>
    <tableColumn id="7499" xr3:uid="{73D07FDE-9CA4-4EF1-8C8C-4410813C7CC5}" name="Column7451" dataDxfId="8903"/>
    <tableColumn id="7500" xr3:uid="{0DE04B4E-973A-49BD-BD9B-ADBDDA7E853F}" name="Column7452" dataDxfId="8902"/>
    <tableColumn id="7501" xr3:uid="{C1E2B684-D40E-4496-90E8-49D805F07F1C}" name="Column7453" dataDxfId="8901"/>
    <tableColumn id="7502" xr3:uid="{4991E7B4-D20F-4A5C-A012-7DD5B0B73127}" name="Column7454" dataDxfId="8900"/>
    <tableColumn id="7503" xr3:uid="{A947C65B-90DE-4A67-882C-68F58CEFFC4F}" name="Column7455" dataDxfId="8899"/>
    <tableColumn id="7504" xr3:uid="{73869D37-F5AD-4C2B-B912-17746347E001}" name="Column7456" dataDxfId="8898"/>
    <tableColumn id="7505" xr3:uid="{8F18DAF5-EE84-407B-9D3D-66D7DB4E5814}" name="Column7457" dataDxfId="8897"/>
    <tableColumn id="7506" xr3:uid="{0E8A9DB7-A0D3-4BB8-A6ED-04CED2AAEF26}" name="Column7458" dataDxfId="8896"/>
    <tableColumn id="7507" xr3:uid="{9127F74A-BBB4-4DDC-9067-6EE0763B3671}" name="Column7459" dataDxfId="8895"/>
    <tableColumn id="7508" xr3:uid="{89162C41-8D47-4E51-8AE4-385EF32E2502}" name="Column7460" dataDxfId="8894"/>
    <tableColumn id="7509" xr3:uid="{3C7D5C50-954C-44DE-BDFD-1092A9EBC374}" name="Column7461" dataDxfId="8893"/>
    <tableColumn id="7510" xr3:uid="{B01028A8-F16B-42FA-B186-BA5CA6CF57AD}" name="Column7462" dataDxfId="8892"/>
    <tableColumn id="7511" xr3:uid="{69FD7C81-7FED-4CCF-A4D8-F69CDE325BD7}" name="Column7463" dataDxfId="8891"/>
    <tableColumn id="7512" xr3:uid="{3D5A1ABB-FC7A-4D87-A962-2927A9B4710E}" name="Column7464" dataDxfId="8890"/>
    <tableColumn id="7513" xr3:uid="{3338B34F-3DF7-4602-A0E6-F66FC59BDC3A}" name="Column7465" dataDxfId="8889"/>
    <tableColumn id="7514" xr3:uid="{64B37EAF-DFA4-4EDD-A307-252437945A4F}" name="Column7466" dataDxfId="8888"/>
    <tableColumn id="7515" xr3:uid="{EC49E0FD-6511-4CCE-A8E2-9D3EE528650D}" name="Column7467" dataDxfId="8887"/>
    <tableColumn id="7516" xr3:uid="{68253C48-F56E-4332-B6D9-2C14D1BB1D73}" name="Column7468" dataDxfId="8886"/>
    <tableColumn id="7517" xr3:uid="{63FA64AC-EF64-4E5C-8018-CDACF6F73904}" name="Column7469" dataDxfId="8885"/>
    <tableColumn id="7518" xr3:uid="{94D78DBC-EE04-4FC6-BE3B-49746F68C5FC}" name="Column7470" dataDxfId="8884"/>
    <tableColumn id="7519" xr3:uid="{4E0552D7-67EE-45C4-BC62-ACCB055B6E1B}" name="Column7471" dataDxfId="8883"/>
    <tableColumn id="7520" xr3:uid="{0BCC0409-3B36-428F-976A-423B8C8A1666}" name="Column7472" dataDxfId="8882"/>
    <tableColumn id="7521" xr3:uid="{B907A47C-B7C6-42C9-896E-00AE8F74A7BD}" name="Column7473" dataDxfId="8881"/>
    <tableColumn id="7522" xr3:uid="{33427915-0C07-42B1-BB0F-DD944A6DE2EF}" name="Column7474" dataDxfId="8880"/>
    <tableColumn id="7523" xr3:uid="{932028AB-C36F-447E-A701-427FFFCA7411}" name="Column7475" dataDxfId="8879"/>
    <tableColumn id="7524" xr3:uid="{6A518DB2-6BFC-4861-BEDD-6DCADEBF9576}" name="Column7476" dataDxfId="8878"/>
    <tableColumn id="7525" xr3:uid="{34EF0016-D7AA-486F-942F-C7FB6EE87801}" name="Column7477" dataDxfId="8877"/>
    <tableColumn id="7526" xr3:uid="{D4BB7127-A30F-4506-8FE1-0F5455D9D8F0}" name="Column7478" dataDxfId="8876"/>
    <tableColumn id="7527" xr3:uid="{0EAEBD1E-1667-41F1-B086-4BD679274F71}" name="Column7479" dataDxfId="8875"/>
    <tableColumn id="7528" xr3:uid="{7ADD7D9A-07CE-48F6-916F-E8417762A328}" name="Column7480" dataDxfId="8874"/>
    <tableColumn id="7529" xr3:uid="{64C8956A-7E12-447B-BFD4-2F19E2576FE0}" name="Column7481" dataDxfId="8873"/>
    <tableColumn id="7530" xr3:uid="{237130A4-5532-4029-A93A-D8E02E9ADAA7}" name="Column7482" dataDxfId="8872"/>
    <tableColumn id="7531" xr3:uid="{C2131831-6794-4F75-898C-2FB0B95E774E}" name="Column7483" dataDxfId="8871"/>
    <tableColumn id="7532" xr3:uid="{8FB3F0FE-6D96-4E2E-ABEA-673A56BF3ED4}" name="Column7484" dataDxfId="8870"/>
    <tableColumn id="7533" xr3:uid="{61DDB8AE-1BAE-42D3-9653-2076E027110C}" name="Column7485" dataDxfId="8869"/>
    <tableColumn id="7534" xr3:uid="{529EE4C2-1027-4600-BC5F-F82FF82F92DD}" name="Column7486" dataDxfId="8868"/>
    <tableColumn id="7535" xr3:uid="{60F540DE-5A71-4C62-A1F2-409A150433FC}" name="Column7487" dataDxfId="8867"/>
    <tableColumn id="7536" xr3:uid="{A4DFE16D-176B-4FA5-BE8A-FCF6FDA1803D}" name="Column7488" dataDxfId="8866"/>
    <tableColumn id="7537" xr3:uid="{EAA3001F-6170-41F9-AC76-FE956417E347}" name="Column7489" dataDxfId="8865"/>
    <tableColumn id="7538" xr3:uid="{5F60649C-EFC5-4D3A-A061-24E248E80D55}" name="Column7490" dataDxfId="8864"/>
    <tableColumn id="7539" xr3:uid="{3C0CEAD0-A640-43A3-B51C-B57719377D94}" name="Column7491" dataDxfId="8863"/>
    <tableColumn id="7540" xr3:uid="{A2CFF4E5-05BD-4A2A-8035-972C4FB9F789}" name="Column7492" dataDxfId="8862"/>
    <tableColumn id="7541" xr3:uid="{1FC1250B-3ECF-4A6D-B0AB-3302ACB127DD}" name="Column7493" dataDxfId="8861"/>
    <tableColumn id="7542" xr3:uid="{57FBCB82-26D1-4B8B-AF92-FAF9BE7EF3E2}" name="Column7494" dataDxfId="8860"/>
    <tableColumn id="7543" xr3:uid="{79E4DFCC-C887-4F7D-ACBE-AC42D236CFA1}" name="Column7495" dataDxfId="8859"/>
    <tableColumn id="7544" xr3:uid="{D744E603-0BC4-411C-9CC7-71117656AF90}" name="Column7496" dataDxfId="8858"/>
    <tableColumn id="7545" xr3:uid="{4F42C487-DC64-42C6-9AA8-D9373E92D425}" name="Column7497" dataDxfId="8857"/>
    <tableColumn id="7546" xr3:uid="{5E77945E-A9A9-49D4-B452-7634DF5E15FD}" name="Column7498" dataDxfId="8856"/>
    <tableColumn id="7547" xr3:uid="{1E03AEF5-8CBE-42E0-8F3E-9D4798697070}" name="Column7499" dataDxfId="8855"/>
    <tableColumn id="7548" xr3:uid="{8DD06C39-4EBF-493D-8F0F-F111CA18D71C}" name="Column7500" dataDxfId="8854"/>
    <tableColumn id="7549" xr3:uid="{FE60FE36-EC81-41E3-A8A9-7F5E9C8FDC0F}" name="Column7501" dataDxfId="8853"/>
    <tableColumn id="7550" xr3:uid="{AADCD047-B5E3-4D65-98C8-3A21F55F444F}" name="Column7502" dataDxfId="8852"/>
    <tableColumn id="7551" xr3:uid="{E75F7516-7FE1-4BA2-92F7-897F8C3F18C7}" name="Column7503" dataDxfId="8851"/>
    <tableColumn id="7552" xr3:uid="{6F90994E-2130-423B-9D43-2B4F50B2441D}" name="Column7504" dataDxfId="8850"/>
    <tableColumn id="7553" xr3:uid="{2506FA9B-903A-46DB-9302-4C10E79115DD}" name="Column7505" dataDxfId="8849"/>
    <tableColumn id="7554" xr3:uid="{C5391117-2478-429E-9380-AB7D8A8BF51B}" name="Column7506" dataDxfId="8848"/>
    <tableColumn id="7555" xr3:uid="{05CB2973-154D-4208-B4CB-973E6D0E7A5D}" name="Column7507" dataDxfId="8847"/>
    <tableColumn id="7556" xr3:uid="{B007DDAB-8C82-4568-BA3B-1E26880B2B94}" name="Column7508" dataDxfId="8846"/>
    <tableColumn id="7557" xr3:uid="{FD3544F6-56E0-4CBC-BB3C-17DBFF9CF160}" name="Column7509" dataDxfId="8845"/>
    <tableColumn id="7558" xr3:uid="{963D7E4A-27CB-4FE2-AB8F-3E006C5B5FA8}" name="Column7510" dataDxfId="8844"/>
    <tableColumn id="7559" xr3:uid="{EECCAFF1-2C8E-46D6-B05C-CE8317341785}" name="Column7511" dataDxfId="8843"/>
    <tableColumn id="7560" xr3:uid="{5131C305-597F-45B5-9120-CDB872789EA5}" name="Column7512" dataDxfId="8842"/>
    <tableColumn id="7561" xr3:uid="{0FD8CD74-03B1-4F61-B1C9-4199265F7324}" name="Column7513" dataDxfId="8841"/>
    <tableColumn id="7562" xr3:uid="{489CBD32-03E8-42E9-9715-331505D0AE1D}" name="Column7514" dataDxfId="8840"/>
    <tableColumn id="7563" xr3:uid="{702627A7-4FCE-461A-822A-44F692157AF8}" name="Column7515" dataDxfId="8839"/>
    <tableColumn id="7564" xr3:uid="{33CE08D4-FD61-4F0F-B0C6-5229012CDCFC}" name="Column7516" dataDxfId="8838"/>
    <tableColumn id="7565" xr3:uid="{432E4377-9004-4F93-8004-00D342B77A7D}" name="Column7517" dataDxfId="8837"/>
    <tableColumn id="7566" xr3:uid="{A6E5F4C7-9E44-4EBB-AF0F-EBDEAD175C12}" name="Column7518" dataDxfId="8836"/>
    <tableColumn id="7567" xr3:uid="{EBFDF232-DD82-43E5-98B9-A8EE3FE7DC7B}" name="Column7519" dataDxfId="8835"/>
    <tableColumn id="7568" xr3:uid="{E77EA998-6286-4CD7-96C7-59E362B96322}" name="Column7520" dataDxfId="8834"/>
    <tableColumn id="7569" xr3:uid="{791BDBA8-341A-4B4D-BE71-1B23DDB553BF}" name="Column7521" dataDxfId="8833"/>
    <tableColumn id="7570" xr3:uid="{3E53189B-ADF3-449F-8941-36F74B6B37B6}" name="Column7522" dataDxfId="8832"/>
    <tableColumn id="7571" xr3:uid="{6F182847-40DA-46A1-B117-4167B48D6A79}" name="Column7523" dataDxfId="8831"/>
    <tableColumn id="7572" xr3:uid="{C4A2C21B-C072-4E2D-8FE3-AD705ACD5C29}" name="Column7524" dataDxfId="8830"/>
    <tableColumn id="7573" xr3:uid="{5DEAAA9A-A3B7-44A3-B564-221AADADE083}" name="Column7525" dataDxfId="8829"/>
    <tableColumn id="7574" xr3:uid="{5F6C2829-3F02-4359-8050-C6C285BC5EC5}" name="Column7526" dataDxfId="8828"/>
    <tableColumn id="7575" xr3:uid="{3BB1DBE9-AA79-4379-B03D-1169B8569AD3}" name="Column7527" dataDxfId="8827"/>
    <tableColumn id="7576" xr3:uid="{C78A0547-9837-4BF5-AE46-28113915A5B3}" name="Column7528" dataDxfId="8826"/>
    <tableColumn id="7577" xr3:uid="{6BE294A8-ED01-4595-9276-5CFA1514FEED}" name="Column7529" dataDxfId="8825"/>
    <tableColumn id="7578" xr3:uid="{4CEAD65F-EA0F-46B8-BBEA-AC9AA0F9ACD1}" name="Column7530" dataDxfId="8824"/>
    <tableColumn id="7579" xr3:uid="{5D846C95-7124-4296-BFBA-9E9CAD41DC21}" name="Column7531" dataDxfId="8823"/>
    <tableColumn id="7580" xr3:uid="{60567771-6649-48A4-BA9E-41CAB32E4A84}" name="Column7532" dataDxfId="8822"/>
    <tableColumn id="7581" xr3:uid="{CAB9C8EC-7DAB-444D-A8D5-72E0EAB74F2E}" name="Column7533" dataDxfId="8821"/>
    <tableColumn id="7582" xr3:uid="{5DECA10B-1935-46FB-89B2-7FE6DB00E217}" name="Column7534" dataDxfId="8820"/>
    <tableColumn id="7583" xr3:uid="{A2631294-5681-422E-A6EA-950AB233ECB5}" name="Column7535" dataDxfId="8819"/>
    <tableColumn id="7584" xr3:uid="{6961090A-599A-471A-AB68-DA9693F80F55}" name="Column7536" dataDxfId="8818"/>
    <tableColumn id="7585" xr3:uid="{E7BDDA53-E073-41BE-9B48-C04D2048CEF6}" name="Column7537" dataDxfId="8817"/>
    <tableColumn id="7586" xr3:uid="{C29B5EBD-9575-4F6F-A783-16D81875CB7C}" name="Column7538" dataDxfId="8816"/>
    <tableColumn id="7587" xr3:uid="{344E6EED-E8B3-4F9B-A7A2-A8D622A2A59A}" name="Column7539" dataDxfId="8815"/>
    <tableColumn id="7588" xr3:uid="{9C960D89-C1FB-466E-A265-9E11C813749E}" name="Column7540" dataDxfId="8814"/>
    <tableColumn id="7589" xr3:uid="{BA78DB6A-2C80-44E6-BFAC-120F652F624D}" name="Column7541" dataDxfId="8813"/>
    <tableColumn id="7590" xr3:uid="{55B6171E-C2B0-4969-96A0-2A838FC68812}" name="Column7542" dataDxfId="8812"/>
    <tableColumn id="7591" xr3:uid="{D813F964-1DA6-4C99-A6A0-D2C1E7E708E0}" name="Column7543" dataDxfId="8811"/>
    <tableColumn id="7592" xr3:uid="{715DCDC6-E69F-4F2D-8F95-A48184C8B3CA}" name="Column7544" dataDxfId="8810"/>
    <tableColumn id="7593" xr3:uid="{AAE616C6-8ABE-48B4-BDD7-B34749C4B05F}" name="Column7545" dataDxfId="8809"/>
    <tableColumn id="7594" xr3:uid="{D004E74B-6E81-42B4-AD27-F0CBE95A1983}" name="Column7546" dataDxfId="8808"/>
    <tableColumn id="7595" xr3:uid="{73F75B23-9532-43E6-975F-E6A82DA73E35}" name="Column7547" dataDxfId="8807"/>
    <tableColumn id="7596" xr3:uid="{C77811D7-1614-4A62-85BE-7F0B5FEB728F}" name="Column7548" dataDxfId="8806"/>
    <tableColumn id="7597" xr3:uid="{CA7A1461-2F37-4AB5-8568-B4607C9739DF}" name="Column7549" dataDxfId="8805"/>
    <tableColumn id="7598" xr3:uid="{A7EA7FE5-B073-4B7B-8C90-9793EFCAC979}" name="Column7550" dataDxfId="8804"/>
    <tableColumn id="7599" xr3:uid="{1F8DA5BF-830C-4A9E-85E9-384145D2DEAF}" name="Column7551" dataDxfId="8803"/>
    <tableColumn id="7600" xr3:uid="{6C511767-A841-43E8-910A-867045C71BC6}" name="Column7552" dataDxfId="8802"/>
    <tableColumn id="7601" xr3:uid="{D412C940-6D42-4B0B-A371-0B77CE98C099}" name="Column7553" dataDxfId="8801"/>
    <tableColumn id="7602" xr3:uid="{F5D2FB99-0F28-4064-BA55-536593406C32}" name="Column7554" dataDxfId="8800"/>
    <tableColumn id="7603" xr3:uid="{F2EFCCC0-304B-45A7-9869-4B63885DC4EE}" name="Column7555" dataDxfId="8799"/>
    <tableColumn id="7604" xr3:uid="{BA9DC2FC-BE56-46A6-AECA-84A263DC3C32}" name="Column7556" dataDxfId="8798"/>
    <tableColumn id="7605" xr3:uid="{A04460CD-62ED-4744-96E2-A2D117F20920}" name="Column7557" dataDxfId="8797"/>
    <tableColumn id="7606" xr3:uid="{DB4CDD39-1719-4EF2-B1BF-D10CEBA76444}" name="Column7558" dataDxfId="8796"/>
    <tableColumn id="7607" xr3:uid="{C68C4B82-7223-4B52-A708-A49FF09FB9C9}" name="Column7559" dataDxfId="8795"/>
    <tableColumn id="7608" xr3:uid="{6C20D426-C183-43A3-9DC3-1CC7B13CDAF7}" name="Column7560" dataDxfId="8794"/>
    <tableColumn id="7609" xr3:uid="{B793BC96-D208-4DD0-9AE9-888B1D6C90A8}" name="Column7561" dataDxfId="8793"/>
    <tableColumn id="7610" xr3:uid="{DECD3E7B-EB8E-466A-8360-D6868F41E8E9}" name="Column7562" dataDxfId="8792"/>
    <tableColumn id="7611" xr3:uid="{49AD4B81-A000-4B15-8505-495C4D68A288}" name="Column7563" dataDxfId="8791"/>
    <tableColumn id="7612" xr3:uid="{8D41372C-A1D1-4D3C-B971-99E7FFABF125}" name="Column7564" dataDxfId="8790"/>
    <tableColumn id="7613" xr3:uid="{EA69FD65-9545-4A7E-81B5-2F4F5BA11B78}" name="Column7565" dataDxfId="8789"/>
    <tableColumn id="7614" xr3:uid="{83E6A48C-E73F-4449-B379-F8029A81BC86}" name="Column7566" dataDxfId="8788"/>
    <tableColumn id="7615" xr3:uid="{86FDA40F-C209-484A-A104-54982F0F93A2}" name="Column7567" dataDxfId="8787"/>
    <tableColumn id="7616" xr3:uid="{2CE1D046-B1AE-4CF3-BE16-B19404BE8879}" name="Column7568" dataDxfId="8786"/>
    <tableColumn id="7617" xr3:uid="{C08FD464-868B-41BB-9E00-A01AFC868C27}" name="Column7569" dataDxfId="8785"/>
    <tableColumn id="7618" xr3:uid="{98836C0C-5E1A-45EE-B93D-164622422A97}" name="Column7570" dataDxfId="8784"/>
    <tableColumn id="7619" xr3:uid="{43CE0328-B907-4ACA-8F0F-702CD81B95C8}" name="Column7571" dataDxfId="8783"/>
    <tableColumn id="7620" xr3:uid="{73FB9A93-53F9-4AE4-BAC9-7F22C9EB8C11}" name="Column7572" dataDxfId="8782"/>
    <tableColumn id="7621" xr3:uid="{D29F811A-3494-4A41-A314-08A7B24F0EAE}" name="Column7573" dataDxfId="8781"/>
    <tableColumn id="7622" xr3:uid="{ECB561DD-6B2C-4611-B4ED-BC14EE4A8CB7}" name="Column7574" dataDxfId="8780"/>
    <tableColumn id="7623" xr3:uid="{772AB34E-D75D-41FD-8A4A-93D0384DA761}" name="Column7575" dataDxfId="8779"/>
    <tableColumn id="7624" xr3:uid="{CDEABDB4-5AF8-43BF-A299-2F32D8495AD1}" name="Column7576" dataDxfId="8778"/>
    <tableColumn id="7625" xr3:uid="{FEE98221-887D-40A7-9DD6-B52191947C37}" name="Column7577" dataDxfId="8777"/>
    <tableColumn id="7626" xr3:uid="{D7AD2128-2940-4B3D-B88B-7980F1D71531}" name="Column7578" dataDxfId="8776"/>
    <tableColumn id="7627" xr3:uid="{EE0CDB2B-ACC6-4A68-94F3-BF4914289AF4}" name="Column7579" dataDxfId="8775"/>
    <tableColumn id="7628" xr3:uid="{7FBA1E3F-6E45-426E-BC25-276E7F1BDE6A}" name="Column7580" dataDxfId="8774"/>
    <tableColumn id="7629" xr3:uid="{E440438F-708C-45B0-8BE7-FB983852B266}" name="Column7581" dataDxfId="8773"/>
    <tableColumn id="7630" xr3:uid="{75B16D11-D721-4C60-8C4E-DEED356FCBBC}" name="Column7582" dataDxfId="8772"/>
    <tableColumn id="7631" xr3:uid="{7BC5BA12-659A-45D0-BF12-F544DE66F1C5}" name="Column7583" dataDxfId="8771"/>
    <tableColumn id="7632" xr3:uid="{FCDEC6ED-1224-435B-86C2-52F3A7CFE6A9}" name="Column7584" dataDxfId="8770"/>
    <tableColumn id="7633" xr3:uid="{94F2F8BE-F95B-4D3B-BE42-224A9E41705C}" name="Column7585" dataDxfId="8769"/>
    <tableColumn id="7634" xr3:uid="{E10A4E96-0947-47AB-B687-97AAAFA4CBC1}" name="Column7586" dataDxfId="8768"/>
    <tableColumn id="7635" xr3:uid="{7BBBAECD-79D4-4816-8881-94410293BE0E}" name="Column7587" dataDxfId="8767"/>
    <tableColumn id="7636" xr3:uid="{301FE1DA-C837-42ED-A86C-C54858B7BA31}" name="Column7588" dataDxfId="8766"/>
    <tableColumn id="7637" xr3:uid="{180CE582-B147-4E9F-9C0C-9A5E52515D84}" name="Column7589" dataDxfId="8765"/>
    <tableColumn id="7638" xr3:uid="{5372AE99-E18F-4F37-B8D1-7475C6672B57}" name="Column7590" dataDxfId="8764"/>
    <tableColumn id="7639" xr3:uid="{A3F8DCAC-4234-446E-8E0A-F93718C131A0}" name="Column7591" dataDxfId="8763"/>
    <tableColumn id="7640" xr3:uid="{336969ED-C217-4279-B116-1A3FF307713C}" name="Column7592" dataDxfId="8762"/>
    <tableColumn id="7641" xr3:uid="{A50C5A0A-1CA9-49CA-A90B-DDC6022016E2}" name="Column7593" dataDxfId="8761"/>
    <tableColumn id="7642" xr3:uid="{164C780F-4F71-4BAE-9F00-B08AAA2A0331}" name="Column7594" dataDxfId="8760"/>
    <tableColumn id="7643" xr3:uid="{B1EB312C-DD97-4FB9-B1F4-B5FFC65C94BB}" name="Column7595" dataDxfId="8759"/>
    <tableColumn id="7644" xr3:uid="{62AB9484-BC25-49F8-8EC7-83424E98F0E2}" name="Column7596" dataDxfId="8758"/>
    <tableColumn id="7645" xr3:uid="{84D7604B-13FD-454E-8FFF-9623C7F2F1FF}" name="Column7597" dataDxfId="8757"/>
    <tableColumn id="7646" xr3:uid="{77E8F2D1-597E-47C3-9F7D-217EC48BB158}" name="Column7598" dataDxfId="8756"/>
    <tableColumn id="7647" xr3:uid="{FDDED220-B27A-4337-B0D4-92E23F864706}" name="Column7599" dataDxfId="8755"/>
    <tableColumn id="7648" xr3:uid="{3E92F0F8-CF57-45F7-A60A-C74859DFE4F0}" name="Column7600" dataDxfId="8754"/>
    <tableColumn id="7649" xr3:uid="{54DAB152-A020-4C17-95F6-D01D9B0C3B92}" name="Column7601" dataDxfId="8753"/>
    <tableColumn id="7650" xr3:uid="{597928A4-A582-4A89-A361-7AADA9BC6225}" name="Column7602" dataDxfId="8752"/>
    <tableColumn id="7651" xr3:uid="{1D4A1715-B900-4274-97BF-189C623C6F35}" name="Column7603" dataDxfId="8751"/>
    <tableColumn id="7652" xr3:uid="{2A9F2C97-0133-40EF-9EE5-172F2FF034A9}" name="Column7604" dataDxfId="8750"/>
    <tableColumn id="7653" xr3:uid="{185702EA-C2C1-481E-A84D-ABE17257D469}" name="Column7605" dataDxfId="8749"/>
    <tableColumn id="7654" xr3:uid="{E7BD32B3-4FCB-4CFF-997D-DDFF96EC693B}" name="Column7606" dataDxfId="8748"/>
    <tableColumn id="7655" xr3:uid="{81545B52-66DD-435E-82B7-C2D6613BB569}" name="Column7607" dataDxfId="8747"/>
    <tableColumn id="7656" xr3:uid="{5BA26290-DCC9-424D-BD48-6FCE3A9DF33C}" name="Column7608" dataDxfId="8746"/>
    <tableColumn id="7657" xr3:uid="{2C1DE47F-ED95-477F-AF0F-5D37640BD5EE}" name="Column7609" dataDxfId="8745"/>
    <tableColumn id="7658" xr3:uid="{1E4232B3-4B41-4CBF-A68A-8F22A481C317}" name="Column7610" dataDxfId="8744"/>
    <tableColumn id="7659" xr3:uid="{B4996196-CE3C-465F-BF37-D99C0694E08F}" name="Column7611" dataDxfId="8743"/>
    <tableColumn id="7660" xr3:uid="{ADFCECD9-5719-40DE-8C8E-3F9D43FDE149}" name="Column7612" dataDxfId="8742"/>
    <tableColumn id="7661" xr3:uid="{28595A95-BD4D-4868-A9E0-DD407419E7A6}" name="Column7613" dataDxfId="8741"/>
    <tableColumn id="7662" xr3:uid="{525C90B4-A1AB-4251-86CE-0C9A3DD05CD2}" name="Column7614" dataDxfId="8740"/>
    <tableColumn id="7663" xr3:uid="{BADD7C48-7465-44F1-8374-6EA9CC617BF9}" name="Column7615" dataDxfId="8739"/>
    <tableColumn id="7664" xr3:uid="{AF14832E-24C1-43FC-BB06-03004FCA785E}" name="Column7616" dataDxfId="8738"/>
    <tableColumn id="7665" xr3:uid="{55AF9B7F-14A5-4890-9A5F-8041F5043F25}" name="Column7617" dataDxfId="8737"/>
    <tableColumn id="7666" xr3:uid="{9E612279-8F0A-428D-A787-9B22A420E00F}" name="Column7618" dataDxfId="8736"/>
    <tableColumn id="7667" xr3:uid="{7879B789-CB8B-4686-8349-A9AD7B1979EA}" name="Column7619" dataDxfId="8735"/>
    <tableColumn id="7668" xr3:uid="{41B16641-C828-4FD2-88F6-77A859CC883A}" name="Column7620" dataDxfId="8734"/>
    <tableColumn id="7669" xr3:uid="{9B06BB3A-A0E6-4250-9AF1-64DA1280F289}" name="Column7621" dataDxfId="8733"/>
    <tableColumn id="7670" xr3:uid="{73383C0C-4A98-4D09-A028-B26566A41305}" name="Column7622" dataDxfId="8732"/>
    <tableColumn id="7671" xr3:uid="{65FB20E6-455E-4FCA-A7BA-D31222602EBC}" name="Column7623" dataDxfId="8731"/>
    <tableColumn id="7672" xr3:uid="{4C8ABECE-75BB-4352-8E0D-B5CBC3239B96}" name="Column7624" dataDxfId="8730"/>
    <tableColumn id="7673" xr3:uid="{934B422B-2A92-406E-9B40-0D110B837B5E}" name="Column7625" dataDxfId="8729"/>
    <tableColumn id="7674" xr3:uid="{2378038B-56D2-484D-828D-A49A38A5EB97}" name="Column7626" dataDxfId="8728"/>
    <tableColumn id="7675" xr3:uid="{1FC0E500-B405-4C72-B4E1-F3ECF085F3BD}" name="Column7627" dataDxfId="8727"/>
    <tableColumn id="7676" xr3:uid="{D7D78FCC-BE47-4D32-A7D2-68E2A3AFE273}" name="Column7628" dataDxfId="8726"/>
    <tableColumn id="7677" xr3:uid="{3E1058E9-6C41-408B-85EF-7D9E15BBE3FE}" name="Column7629" dataDxfId="8725"/>
    <tableColumn id="7678" xr3:uid="{DE6B2F9F-B4C5-4CC2-A03B-AF1623CFAC15}" name="Column7630" dataDxfId="8724"/>
    <tableColumn id="7679" xr3:uid="{1DE78123-EC36-4837-8487-9154E16B913A}" name="Column7631" dataDxfId="8723"/>
    <tableColumn id="7680" xr3:uid="{C17F7427-ED0C-41BD-8783-127EEA429E89}" name="Column7632" dataDxfId="8722"/>
    <tableColumn id="7681" xr3:uid="{5E242B29-6B9B-424B-8164-9F0FFF978524}" name="Column7633" dataDxfId="8721"/>
    <tableColumn id="7682" xr3:uid="{A5DA31F5-CA0C-4AFD-8976-2213B6D7AE1E}" name="Column7634" dataDxfId="8720"/>
    <tableColumn id="7683" xr3:uid="{0FA02925-132A-4FA8-BD59-4D67521435FC}" name="Column7635" dataDxfId="8719"/>
    <tableColumn id="7684" xr3:uid="{40813C7F-F3B3-4EDD-AC98-A8F4715E4918}" name="Column7636" dataDxfId="8718"/>
    <tableColumn id="7685" xr3:uid="{F0DF4140-9887-4B83-80D4-2615A872EBFC}" name="Column7637" dataDxfId="8717"/>
    <tableColumn id="7686" xr3:uid="{661BA9C4-3DF9-42C8-9255-2F4036BE0713}" name="Column7638" dataDxfId="8716"/>
    <tableColumn id="7687" xr3:uid="{2EEC2072-CD48-4A14-9906-942ADF3268ED}" name="Column7639" dataDxfId="8715"/>
    <tableColumn id="7688" xr3:uid="{2341C93E-8275-4CFF-BB82-A0A59D4CFA86}" name="Column7640" dataDxfId="8714"/>
    <tableColumn id="7689" xr3:uid="{45B3C170-E8AD-4C69-8C48-01FB304623F8}" name="Column7641" dataDxfId="8713"/>
    <tableColumn id="7690" xr3:uid="{8F0CAEB7-74F7-4D19-A2B0-11EA1A018692}" name="Column7642" dataDxfId="8712"/>
    <tableColumn id="7691" xr3:uid="{E4315A56-28B5-44E1-8234-30ED9638B88C}" name="Column7643" dataDxfId="8711"/>
    <tableColumn id="7692" xr3:uid="{C4529B84-08E8-44DE-AF86-E4E714DF089E}" name="Column7644" dataDxfId="8710"/>
    <tableColumn id="7693" xr3:uid="{0E8299DB-CB5B-4E0A-AFE1-074C7EF8B8D8}" name="Column7645" dataDxfId="8709"/>
    <tableColumn id="7694" xr3:uid="{4E3E117F-0C1D-4496-A2D2-CC2612BF374B}" name="Column7646" dataDxfId="8708"/>
    <tableColumn id="7695" xr3:uid="{3ADA95FC-7926-40E7-99FA-F1A3CA4DB224}" name="Column7647" dataDxfId="8707"/>
    <tableColumn id="7696" xr3:uid="{F634D3CE-4447-4A96-A388-30936B573EB3}" name="Column7648" dataDxfId="8706"/>
    <tableColumn id="7697" xr3:uid="{9CE51FA6-04B1-423A-AD9F-40A9C162F7E1}" name="Column7649" dataDxfId="8705"/>
    <tableColumn id="7698" xr3:uid="{277791D9-8377-4BA1-9DAD-7139017A2FF4}" name="Column7650" dataDxfId="8704"/>
    <tableColumn id="7699" xr3:uid="{865C7002-8DA4-49C0-BF54-BD4A7398DA6D}" name="Column7651" dataDxfId="8703"/>
    <tableColumn id="7700" xr3:uid="{9DE9F1ED-95AE-4844-8D5E-2051075BECED}" name="Column7652" dataDxfId="8702"/>
    <tableColumn id="7701" xr3:uid="{4E24F71E-8616-4A73-AD38-227469CED5D2}" name="Column7653" dataDxfId="8701"/>
    <tableColumn id="7702" xr3:uid="{68BB0A93-993B-4FDE-8CE4-D5EEF906617E}" name="Column7654" dataDxfId="8700"/>
    <tableColumn id="7703" xr3:uid="{822B37FF-6B53-44B8-BDB6-082C240A0C1E}" name="Column7655" dataDxfId="8699"/>
    <tableColumn id="7704" xr3:uid="{A33661F0-D44F-425E-B876-E53EE6ACF22B}" name="Column7656" dataDxfId="8698"/>
    <tableColumn id="7705" xr3:uid="{35FFDB77-0A7A-4959-90BF-BB6355CC9548}" name="Column7657" dataDxfId="8697"/>
    <tableColumn id="7706" xr3:uid="{21020AEE-B746-4B8D-B82F-BE420DBA09A5}" name="Column7658" dataDxfId="8696"/>
    <tableColumn id="7707" xr3:uid="{831179B5-542B-4126-BD30-50861D7D6516}" name="Column7659" dataDxfId="8695"/>
    <tableColumn id="7708" xr3:uid="{9F6693D3-5ED3-4FF3-A5D9-3FD51029062A}" name="Column7660" dataDxfId="8694"/>
    <tableColumn id="7709" xr3:uid="{574AF88A-A3BC-445B-B229-ECA602651CE3}" name="Column7661" dataDxfId="8693"/>
    <tableColumn id="7710" xr3:uid="{CF296051-6D9D-4AAF-A8B4-88ADAA8EA2D9}" name="Column7662" dataDxfId="8692"/>
    <tableColumn id="7711" xr3:uid="{3AC98719-405D-40F1-9066-A73530F88F0F}" name="Column7663" dataDxfId="8691"/>
    <tableColumn id="7712" xr3:uid="{99360D91-0606-4434-AB9C-157FF46AD888}" name="Column7664" dataDxfId="8690"/>
    <tableColumn id="7713" xr3:uid="{4E754E8A-E778-4C14-BBC8-D5823510306C}" name="Column7665" dataDxfId="8689"/>
    <tableColumn id="7714" xr3:uid="{057A4798-554A-47F7-8F42-CC26A0881F0D}" name="Column7666" dataDxfId="8688"/>
    <tableColumn id="7715" xr3:uid="{C2D09AAE-CD67-4E01-A7BA-BDA01819FA3F}" name="Column7667" dataDxfId="8687"/>
    <tableColumn id="7716" xr3:uid="{DD18D6AB-55C7-4989-A9E8-BE6F58C26BA7}" name="Column7668" dataDxfId="8686"/>
    <tableColumn id="7717" xr3:uid="{6CBF638E-DC9E-473E-BEEC-E5D025F3A372}" name="Column7669" dataDxfId="8685"/>
    <tableColumn id="7718" xr3:uid="{862E0E08-19A6-4C6A-BEDE-A3319734D577}" name="Column7670" dataDxfId="8684"/>
    <tableColumn id="7719" xr3:uid="{66BDD07C-D4B1-4952-A60F-A89D79D5E82B}" name="Column7671" dataDxfId="8683"/>
    <tableColumn id="7720" xr3:uid="{80ABCFF9-EBC9-4F26-8602-F9FA8814D571}" name="Column7672" dataDxfId="8682"/>
    <tableColumn id="7721" xr3:uid="{21B01110-6AE3-4E82-AAE9-22C7D72B5242}" name="Column7673" dataDxfId="8681"/>
    <tableColumn id="7722" xr3:uid="{C05B218C-C962-4824-B8CE-093454EFDA97}" name="Column7674" dataDxfId="8680"/>
    <tableColumn id="7723" xr3:uid="{8E1C657C-4805-40C4-B1AD-F23C86AB8E49}" name="Column7675" dataDxfId="8679"/>
    <tableColumn id="7724" xr3:uid="{E9DB6F8F-8EE0-4DC1-8C2D-C3795976E456}" name="Column7676" dataDxfId="8678"/>
    <tableColumn id="7725" xr3:uid="{4A239A37-FA42-4499-B20F-B2889D4DEE66}" name="Column7677" dataDxfId="8677"/>
    <tableColumn id="7726" xr3:uid="{283C1618-BC57-4362-A79D-EFD5BD3F1597}" name="Column7678" dataDxfId="8676"/>
    <tableColumn id="7727" xr3:uid="{BC267EB2-8E05-4851-988B-7DF3858F668A}" name="Column7679" dataDxfId="8675"/>
    <tableColumn id="7728" xr3:uid="{ECA6BC1F-A3F4-40A7-9EE5-57C59AE33C47}" name="Column7680" dataDxfId="8674"/>
    <tableColumn id="7729" xr3:uid="{419380A3-61FC-4B5B-BC45-26F3BB606337}" name="Column7681" dataDxfId="8673"/>
    <tableColumn id="7730" xr3:uid="{8E5E4AA4-DDCA-44A0-BB90-80AF63618F58}" name="Column7682" dataDxfId="8672"/>
    <tableColumn id="7731" xr3:uid="{5DBA6B89-1FC4-45CB-9F0C-FA1936ABDCFC}" name="Column7683" dataDxfId="8671"/>
    <tableColumn id="7732" xr3:uid="{2CF7D342-709E-462A-B5FE-3433976260DD}" name="Column7684" dataDxfId="8670"/>
    <tableColumn id="7733" xr3:uid="{76E15072-2FFA-40ED-8C43-17194AF085FF}" name="Column7685" dataDxfId="8669"/>
    <tableColumn id="7734" xr3:uid="{1ABCA46D-EF04-43AA-892D-621E5B5DCA38}" name="Column7686" dataDxfId="8668"/>
    <tableColumn id="7735" xr3:uid="{740BD99C-E9F8-45B3-9547-03A5BDD38C1E}" name="Column7687" dataDxfId="8667"/>
    <tableColumn id="7736" xr3:uid="{230AE818-AD2C-47D8-9D6C-7738C2D1F745}" name="Column7688" dataDxfId="8666"/>
    <tableColumn id="7737" xr3:uid="{4DED4969-8202-4AA8-AB39-57B6E81C3A19}" name="Column7689" dataDxfId="8665"/>
    <tableColumn id="7738" xr3:uid="{D708CCF5-5B99-41B5-9F8D-AD165697C6FF}" name="Column7690" dataDxfId="8664"/>
    <tableColumn id="7739" xr3:uid="{5237983F-45EE-4A76-90D5-AB632483B8B1}" name="Column7691" dataDxfId="8663"/>
    <tableColumn id="7740" xr3:uid="{4B3A5779-16A1-42D0-A78B-266B3349D0E5}" name="Column7692" dataDxfId="8662"/>
    <tableColumn id="7741" xr3:uid="{24E0DB9C-233F-441B-B2AB-C336CFC56599}" name="Column7693" dataDxfId="8661"/>
    <tableColumn id="7742" xr3:uid="{034B0A97-297E-4F81-92C7-6E32AFBE786D}" name="Column7694" dataDxfId="8660"/>
    <tableColumn id="7743" xr3:uid="{93F4F3A2-4B08-4B89-BCF7-061F5CA99997}" name="Column7695" dataDxfId="8659"/>
    <tableColumn id="7744" xr3:uid="{9AABF27B-FEDB-4DB1-9168-C6A1DF4F3883}" name="Column7696" dataDxfId="8658"/>
    <tableColumn id="7745" xr3:uid="{7FDCAB29-7358-4C6C-8BA0-85F39D25EE32}" name="Column7697" dataDxfId="8657"/>
    <tableColumn id="7746" xr3:uid="{3A81F486-D6E2-4061-864B-DFBF61DC0356}" name="Column7698" dataDxfId="8656"/>
    <tableColumn id="7747" xr3:uid="{925BBC3B-CF67-4CFD-B450-D0B972438EF7}" name="Column7699" dataDxfId="8655"/>
    <tableColumn id="7748" xr3:uid="{16943204-8264-46F7-BFFD-688ED1592F70}" name="Column7700" dataDxfId="8654"/>
    <tableColumn id="7749" xr3:uid="{4EC52AD1-931B-4B6E-91C3-32F9DBD76A24}" name="Column7701" dataDxfId="8653"/>
    <tableColumn id="7750" xr3:uid="{B7E0DA20-2D08-4014-8FE6-7D83E89A007B}" name="Column7702" dataDxfId="8652"/>
    <tableColumn id="7751" xr3:uid="{50D246DF-0CD7-4D5D-82E1-510F4DAB219D}" name="Column7703" dataDxfId="8651"/>
    <tableColumn id="7752" xr3:uid="{C16811E7-215D-4E33-8A0E-27C16A327FAE}" name="Column7704" dataDxfId="8650"/>
    <tableColumn id="7753" xr3:uid="{8696BDFE-31F7-47E8-88D4-F714C7C9E19A}" name="Column7705" dataDxfId="8649"/>
    <tableColumn id="7754" xr3:uid="{C39CB8F4-783F-41A8-952A-65A63CBB6683}" name="Column7706" dataDxfId="8648"/>
    <tableColumn id="7755" xr3:uid="{6580B58D-4923-460E-B18E-9390D273E02F}" name="Column7707" dataDxfId="8647"/>
    <tableColumn id="7756" xr3:uid="{B0AB853F-8950-4961-82A5-ACD7C6439392}" name="Column7708" dataDxfId="8646"/>
    <tableColumn id="7757" xr3:uid="{E8146BAF-D399-47F2-BD88-50E7023BDDA1}" name="Column7709" dataDxfId="8645"/>
    <tableColumn id="7758" xr3:uid="{7AF050EC-F79B-49E4-B48D-434D8AD134B4}" name="Column7710" dataDxfId="8644"/>
    <tableColumn id="7759" xr3:uid="{2102B44C-8E6E-479D-9934-7A561B58C0A5}" name="Column7711" dataDxfId="8643"/>
    <tableColumn id="7760" xr3:uid="{506E2B34-6256-4CFB-A936-6F7741BE9E90}" name="Column7712" dataDxfId="8642"/>
    <tableColumn id="7761" xr3:uid="{2778B68B-E352-4C20-81DA-C7314D474C61}" name="Column7713" dataDxfId="8641"/>
    <tableColumn id="7762" xr3:uid="{8857E288-C5C2-40D8-A462-DC3FD7D4090F}" name="Column7714" dataDxfId="8640"/>
    <tableColumn id="7763" xr3:uid="{482102D3-75C6-443E-831A-EEB89973CBE9}" name="Column7715" dataDxfId="8639"/>
    <tableColumn id="7764" xr3:uid="{E4FFA788-E47A-4978-ABEB-F3556A6FA173}" name="Column7716" dataDxfId="8638"/>
    <tableColumn id="7765" xr3:uid="{C8CAE2D0-AB00-44A4-B650-CEEBA7D8D36B}" name="Column7717" dataDxfId="8637"/>
    <tableColumn id="7766" xr3:uid="{5749C7B7-3D9F-4E7B-A567-9E1A9A06F575}" name="Column7718" dataDxfId="8636"/>
    <tableColumn id="7767" xr3:uid="{39BD11D5-8398-4B19-8E07-5ABC3CB076C6}" name="Column7719" dataDxfId="8635"/>
    <tableColumn id="7768" xr3:uid="{93250FAB-B09B-4362-AF80-8584D65A906C}" name="Column7720" dataDxfId="8634"/>
    <tableColumn id="7769" xr3:uid="{E9EBFCA6-6454-4F50-9324-F5007FC4DE67}" name="Column7721" dataDxfId="8633"/>
    <tableColumn id="7770" xr3:uid="{CB8F570C-9D54-4254-84EF-F02DBDDBAD34}" name="Column7722" dataDxfId="8632"/>
    <tableColumn id="7771" xr3:uid="{E374CB07-6666-4F98-8A5A-CA35EAEAE24A}" name="Column7723" dataDxfId="8631"/>
    <tableColumn id="7772" xr3:uid="{95B5A0F2-6BBB-4A3E-9002-D6DFFA80B6EC}" name="Column7724" dataDxfId="8630"/>
    <tableColumn id="7773" xr3:uid="{F18F6241-5502-4052-87CA-9CBBA39E70F5}" name="Column7725" dataDxfId="8629"/>
    <tableColumn id="7774" xr3:uid="{97A8FAC2-09B1-4CFD-B10D-A67856196D72}" name="Column7726" dataDxfId="8628"/>
    <tableColumn id="7775" xr3:uid="{E89E3A2B-BD80-4560-99B4-8D17252141A7}" name="Column7727" dataDxfId="8627"/>
    <tableColumn id="7776" xr3:uid="{5E254792-0A87-4D31-A982-3D4341E48E4C}" name="Column7728" dataDxfId="8626"/>
    <tableColumn id="7777" xr3:uid="{3EF3C443-BC03-4BDB-9BC4-E11484BFF593}" name="Column7729" dataDxfId="8625"/>
    <tableColumn id="7778" xr3:uid="{C1B9D19D-D028-43E0-803A-DFA5AF96D92F}" name="Column7730" dataDxfId="8624"/>
    <tableColumn id="7779" xr3:uid="{0995E299-F027-4DF6-BA49-D696E9278A69}" name="Column7731" dataDxfId="8623"/>
    <tableColumn id="7780" xr3:uid="{3180D12F-BE56-439A-BF1A-0DF349E82890}" name="Column7732" dataDxfId="8622"/>
    <tableColumn id="7781" xr3:uid="{5DB4FA4F-B775-4BD6-89E2-003CC7906134}" name="Column7733" dataDxfId="8621"/>
    <tableColumn id="7782" xr3:uid="{1A9626B4-DE61-4049-8165-CDB5DADA4472}" name="Column7734" dataDxfId="8620"/>
    <tableColumn id="7783" xr3:uid="{624FC93F-DE8C-4C42-AA02-5B1AC9BF6245}" name="Column7735" dataDxfId="8619"/>
    <tableColumn id="7784" xr3:uid="{AF209436-E578-4AE3-ACFA-C135312E52F3}" name="Column7736" dataDxfId="8618"/>
    <tableColumn id="7785" xr3:uid="{EDEDC56A-0478-426F-8227-FBAD26BEB9CB}" name="Column7737" dataDxfId="8617"/>
    <tableColumn id="7786" xr3:uid="{B1C95EB0-1A76-4305-BE3C-7BB29055FB83}" name="Column7738" dataDxfId="8616"/>
    <tableColumn id="7787" xr3:uid="{097C1881-8470-4B7B-AB61-528A145F275A}" name="Column7739" dataDxfId="8615"/>
    <tableColumn id="7788" xr3:uid="{6D8162FA-0754-4611-9071-59DDA753ED75}" name="Column7740" dataDxfId="8614"/>
    <tableColumn id="7789" xr3:uid="{0BDE5B01-298C-46D2-B7BB-CC20D4B1E6AA}" name="Column7741" dataDxfId="8613"/>
    <tableColumn id="7790" xr3:uid="{926ECE41-C014-4C2D-801C-8F799BBC7D0F}" name="Column7742" dataDxfId="8612"/>
    <tableColumn id="7791" xr3:uid="{04DB08CC-8C24-4728-A7E9-FD1CBF3E65E7}" name="Column7743" dataDxfId="8611"/>
    <tableColumn id="7792" xr3:uid="{738C18EE-2F94-4494-87EF-604BC78507D3}" name="Column7744" dataDxfId="8610"/>
    <tableColumn id="7793" xr3:uid="{FB8B7E2A-66CB-43EB-BBC3-38BC2343E01E}" name="Column7745" dataDxfId="8609"/>
    <tableColumn id="7794" xr3:uid="{1D04C371-40DF-4A6B-A757-33E85F0B6F5D}" name="Column7746" dataDxfId="8608"/>
    <tableColumn id="7795" xr3:uid="{FA1F971F-5EDA-4323-BBCE-2C4B34DBCAC8}" name="Column7747" dataDxfId="8607"/>
    <tableColumn id="7796" xr3:uid="{C7BB68E8-3ED9-4564-8DC2-5342767EA361}" name="Column7748" dataDxfId="8606"/>
    <tableColumn id="7797" xr3:uid="{C137AF16-D178-456B-B665-79C212F9E68E}" name="Column7749" dataDxfId="8605"/>
    <tableColumn id="7798" xr3:uid="{2AF65F63-8A5D-4236-A66E-8EC12FC1BED6}" name="Column7750" dataDxfId="8604"/>
    <tableColumn id="7799" xr3:uid="{9EC03CE0-FB8D-4B4F-9241-5131935E7B07}" name="Column7751" dataDxfId="8603"/>
    <tableColumn id="7800" xr3:uid="{40DC8BDB-5B64-4C3E-A94D-B41F855320A8}" name="Column7752" dataDxfId="8602"/>
    <tableColumn id="7801" xr3:uid="{D9B3F262-B779-474B-B9B3-49055E4CFDB6}" name="Column7753" dataDxfId="8601"/>
    <tableColumn id="7802" xr3:uid="{6983A8AB-6B3D-4A38-8889-E39D9950FBC3}" name="Column7754" dataDxfId="8600"/>
    <tableColumn id="7803" xr3:uid="{11A29419-B8CA-4D48-8FED-10172AB1E85C}" name="Column7755" dataDxfId="8599"/>
    <tableColumn id="7804" xr3:uid="{CFA6B851-3A92-4179-9509-62C1604BC9B9}" name="Column7756" dataDxfId="8598"/>
    <tableColumn id="7805" xr3:uid="{66D85F66-F4DC-4F37-A934-D65A38261CED}" name="Column7757" dataDxfId="8597"/>
    <tableColumn id="7806" xr3:uid="{1BC99C02-A194-4AFB-BDA4-74F103391BBB}" name="Column7758" dataDxfId="8596"/>
    <tableColumn id="7807" xr3:uid="{B8DC35C4-6EC3-4EE7-ADCC-432F3B49DD52}" name="Column7759" dataDxfId="8595"/>
    <tableColumn id="7808" xr3:uid="{C52F4696-F336-49C2-BF23-DF68078E070E}" name="Column7760" dataDxfId="8594"/>
    <tableColumn id="7809" xr3:uid="{EFC9DB0D-FD4D-4DA8-A681-2B84C43E2732}" name="Column7761" dataDxfId="8593"/>
    <tableColumn id="7810" xr3:uid="{F4BE0FDB-AFFA-47EA-9386-17CE1E07EF9D}" name="Column7762" dataDxfId="8592"/>
    <tableColumn id="7811" xr3:uid="{EE392E6A-56C2-4344-BF85-5013B181BADD}" name="Column7763" dataDxfId="8591"/>
    <tableColumn id="7812" xr3:uid="{25B680FD-5A7D-4BD9-8F7F-13C523C125DA}" name="Column7764" dataDxfId="8590"/>
    <tableColumn id="7813" xr3:uid="{FF90020D-59E0-4301-B5D5-FA97AD136E8C}" name="Column7765" dataDxfId="8589"/>
    <tableColumn id="7814" xr3:uid="{E043B4BA-8C68-435F-9E5F-A4292B6E3563}" name="Column7766" dataDxfId="8588"/>
    <tableColumn id="7815" xr3:uid="{9AD4C4CC-35B2-4073-90E3-7D711A45091D}" name="Column7767" dataDxfId="8587"/>
    <tableColumn id="7816" xr3:uid="{97385DBF-1B65-46BC-8562-3BF935D00775}" name="Column7768" dataDxfId="8586"/>
    <tableColumn id="7817" xr3:uid="{740D4A2E-EB0A-4ED2-A08D-48E8559AF0B9}" name="Column7769" dataDxfId="8585"/>
    <tableColumn id="7818" xr3:uid="{5ECBB380-5136-4167-9715-3954EFAB4E41}" name="Column7770" dataDxfId="8584"/>
    <tableColumn id="7819" xr3:uid="{9B6224AD-55E9-4CC4-B623-8E72003FCF0A}" name="Column7771" dataDxfId="8583"/>
    <tableColumn id="7820" xr3:uid="{20BAF3A8-027C-4EC0-AE32-1A4DBF71E752}" name="Column7772" dataDxfId="8582"/>
    <tableColumn id="7821" xr3:uid="{1E96CEB9-AA66-4640-A6B4-25D9CB2943DE}" name="Column7773" dataDxfId="8581"/>
    <tableColumn id="7822" xr3:uid="{FE6F73B3-22C4-4E65-93C2-083A5EB08D51}" name="Column7774" dataDxfId="8580"/>
    <tableColumn id="7823" xr3:uid="{8E12511A-B9E0-4ED5-AA70-4202E0AF4065}" name="Column7775" dataDxfId="8579"/>
    <tableColumn id="7824" xr3:uid="{31B859F3-014E-45F0-A254-F60A112B02E7}" name="Column7776" dataDxfId="8578"/>
    <tableColumn id="7825" xr3:uid="{E8809EEC-D8F0-4A2A-B46D-733978A3FEC4}" name="Column7777" dataDxfId="8577"/>
    <tableColumn id="7826" xr3:uid="{F63BD6F5-336B-4BD0-962E-0621F51B455D}" name="Column7778" dataDxfId="8576"/>
    <tableColumn id="7827" xr3:uid="{D65CCE20-E78C-4298-9621-1916DAE83966}" name="Column7779" dataDxfId="8575"/>
    <tableColumn id="7828" xr3:uid="{4D16CC2E-2559-4261-879C-A6D4C4EE26B3}" name="Column7780" dataDxfId="8574"/>
    <tableColumn id="7829" xr3:uid="{CF8B63C9-229D-4A0C-8B25-A2EED5DBCE29}" name="Column7781" dataDxfId="8573"/>
    <tableColumn id="7830" xr3:uid="{2144B0FC-8EF2-49EA-BBD5-7183405C3EC8}" name="Column7782" dataDxfId="8572"/>
    <tableColumn id="7831" xr3:uid="{C9038D5C-10BD-49A1-BC51-2371F0386A3C}" name="Column7783" dataDxfId="8571"/>
    <tableColumn id="7832" xr3:uid="{68D93EDA-C0EF-4661-908D-363A02FBD0D8}" name="Column7784" dataDxfId="8570"/>
    <tableColumn id="7833" xr3:uid="{B9A7DA84-2B3F-41ED-9B81-EF2AACF3E225}" name="Column7785" dataDxfId="8569"/>
    <tableColumn id="7834" xr3:uid="{66C3C847-DB50-4A59-B784-64679B9DD528}" name="Column7786" dataDxfId="8568"/>
    <tableColumn id="7835" xr3:uid="{AE49DC49-4024-4314-A104-90A0591A705A}" name="Column7787" dataDxfId="8567"/>
    <tableColumn id="7836" xr3:uid="{10D2F22D-1D0F-403E-BE24-258213A45AE0}" name="Column7788" dataDxfId="8566"/>
    <tableColumn id="7837" xr3:uid="{771B6F40-9F60-422F-A2CF-F674D7B21026}" name="Column7789" dataDxfId="8565"/>
    <tableColumn id="7838" xr3:uid="{47A9EBB2-4D1E-460B-8A57-37C3BB3B6698}" name="Column7790" dataDxfId="8564"/>
    <tableColumn id="7839" xr3:uid="{9A9E5582-58C8-4F8E-A188-4C93916A920E}" name="Column7791" dataDxfId="8563"/>
    <tableColumn id="7840" xr3:uid="{F2585F35-F909-4B32-9681-27BBDCDC47E2}" name="Column7792" dataDxfId="8562"/>
    <tableColumn id="7841" xr3:uid="{B7CC11F8-7381-4403-AE2F-C0B1741A4488}" name="Column7793" dataDxfId="8561"/>
    <tableColumn id="7842" xr3:uid="{17A4BCE4-251A-4498-A76F-C4A8D0487CB1}" name="Column7794" dataDxfId="8560"/>
    <tableColumn id="7843" xr3:uid="{FA441D23-D8ED-4012-A456-9F0D1C9EE384}" name="Column7795" dataDxfId="8559"/>
    <tableColumn id="7844" xr3:uid="{109B5EA4-37FD-46DB-A97F-813A693511E4}" name="Column7796" dataDxfId="8558"/>
    <tableColumn id="7845" xr3:uid="{03C2096A-AA93-4623-B3C5-C771ED67B775}" name="Column7797" dataDxfId="8557"/>
    <tableColumn id="7846" xr3:uid="{2D8C9941-4C34-49CB-8B5E-C9EF62676034}" name="Column7798" dataDxfId="8556"/>
    <tableColumn id="7847" xr3:uid="{A04B5617-81E8-44C5-A02C-7C08CCBCEB3A}" name="Column7799" dataDxfId="8555"/>
    <tableColumn id="7848" xr3:uid="{726AB870-B4EA-4F6E-A90A-E4F477B8CBFC}" name="Column7800" dataDxfId="8554"/>
    <tableColumn id="7849" xr3:uid="{F355C65E-8C1B-452E-8D47-4A28EEBFDE84}" name="Column7801" dataDxfId="8553"/>
    <tableColumn id="7850" xr3:uid="{F561C5D3-4133-4496-B0D9-4BA8F6A01AFD}" name="Column7802" dataDxfId="8552"/>
    <tableColumn id="7851" xr3:uid="{E0FE4C96-1B3F-4CA2-8B97-08DE18C005D7}" name="Column7803" dataDxfId="8551"/>
    <tableColumn id="7852" xr3:uid="{2209527F-1E82-422C-9F5B-5319B5108B9C}" name="Column7804" dataDxfId="8550"/>
    <tableColumn id="7853" xr3:uid="{60AE5843-BC75-4CB6-B491-F48B108EB045}" name="Column7805" dataDxfId="8549"/>
    <tableColumn id="7854" xr3:uid="{50B72919-98BF-4DA0-82EA-564A53E843AC}" name="Column7806" dataDxfId="8548"/>
    <tableColumn id="7855" xr3:uid="{967F31DE-C334-4172-9AA0-9F0356A5AF0C}" name="Column7807" dataDxfId="8547"/>
    <tableColumn id="7856" xr3:uid="{34F3F91F-97DC-4EF2-A2E3-E353CD247B83}" name="Column7808" dataDxfId="8546"/>
    <tableColumn id="7857" xr3:uid="{FF9E7D06-1137-45EC-98C0-BE84F63708A6}" name="Column7809" dataDxfId="8545"/>
    <tableColumn id="7858" xr3:uid="{BDD23DE7-4C7B-4138-B04E-4551BA224A93}" name="Column7810" dataDxfId="8544"/>
    <tableColumn id="7859" xr3:uid="{7FB745B9-C5AA-452A-961A-8E1757533C44}" name="Column7811" dataDxfId="8543"/>
    <tableColumn id="7860" xr3:uid="{D0A7A7CE-6B6F-49C0-9F20-100E7FDB8905}" name="Column7812" dataDxfId="8542"/>
    <tableColumn id="7861" xr3:uid="{4605EABB-0803-4959-A2C4-9F8D3D5C3AD4}" name="Column7813" dataDxfId="8541"/>
    <tableColumn id="7862" xr3:uid="{4895F1B2-389E-42E3-938C-A4F8D7A54470}" name="Column7814" dataDxfId="8540"/>
    <tableColumn id="7863" xr3:uid="{EAF468F0-469C-4475-B5BB-7227F9668279}" name="Column7815" dataDxfId="8539"/>
    <tableColumn id="7864" xr3:uid="{9345754A-CAAB-43C1-AD7D-8EACE6F213C6}" name="Column7816" dataDxfId="8538"/>
    <tableColumn id="7865" xr3:uid="{E0BFB330-E044-409F-90B9-9F1864E9E86C}" name="Column7817" dataDxfId="8537"/>
    <tableColumn id="7866" xr3:uid="{75181C60-53F6-4B14-934B-9948AD9B78E3}" name="Column7818" dataDxfId="8536"/>
    <tableColumn id="7867" xr3:uid="{4C8EA99C-FC3C-47EF-B1AC-4211501BEA6E}" name="Column7819" dataDxfId="8535"/>
    <tableColumn id="7868" xr3:uid="{F8836C12-B0B8-4210-B591-B3599828534B}" name="Column7820" dataDxfId="8534"/>
    <tableColumn id="7869" xr3:uid="{FEB4CEB2-8ED8-468A-80F4-D51A8D712A96}" name="Column7821" dataDxfId="8533"/>
    <tableColumn id="7870" xr3:uid="{4353F659-001A-41DD-AD9A-2787002F554E}" name="Column7822" dataDxfId="8532"/>
    <tableColumn id="7871" xr3:uid="{E47F4F89-DBF7-4837-B507-947D21DFFFC8}" name="Column7823" dataDxfId="8531"/>
    <tableColumn id="7872" xr3:uid="{008AB70C-B7D3-4F40-B271-42C76993358F}" name="Column7824" dataDxfId="8530"/>
    <tableColumn id="7873" xr3:uid="{F094822C-B995-4955-B694-C6F5B110F3B8}" name="Column7825" dataDxfId="8529"/>
    <tableColumn id="7874" xr3:uid="{B9234521-73CE-456A-BCC3-D3435964FA24}" name="Column7826" dataDxfId="8528"/>
    <tableColumn id="7875" xr3:uid="{AFF6E0C1-1D9B-4E2D-895F-A869DD43F4B6}" name="Column7827" dataDxfId="8527"/>
    <tableColumn id="7876" xr3:uid="{9DC92C2F-120E-4581-A252-E10A4F4A421D}" name="Column7828" dataDxfId="8526"/>
    <tableColumn id="7877" xr3:uid="{A67DFA5B-AC64-491E-A712-38B1CD91F3C2}" name="Column7829" dataDxfId="8525"/>
    <tableColumn id="7878" xr3:uid="{F7C5EA95-5288-4621-93E4-154AACAA51B0}" name="Column7830" dataDxfId="8524"/>
    <tableColumn id="7879" xr3:uid="{9CC06E13-EFFB-4754-B245-88A8A34276C7}" name="Column7831" dataDxfId="8523"/>
    <tableColumn id="7880" xr3:uid="{AC85E696-0889-462A-B6E2-5590404BC7D3}" name="Column7832" dataDxfId="8522"/>
    <tableColumn id="7881" xr3:uid="{A66706D2-A82D-425C-82E0-BCE98E020875}" name="Column7833" dataDxfId="8521"/>
    <tableColumn id="7882" xr3:uid="{82BF5761-96A4-4E66-8864-5446B3B55B07}" name="Column7834" dataDxfId="8520"/>
    <tableColumn id="7883" xr3:uid="{B57613FB-AF02-4040-B587-9B85BFDE8BBD}" name="Column7835" dataDxfId="8519"/>
    <tableColumn id="7884" xr3:uid="{22234A06-A0B9-47FE-8B30-F6759D8AC11A}" name="Column7836" dataDxfId="8518"/>
    <tableColumn id="7885" xr3:uid="{E8DB617C-4790-44F1-891C-7612B15C19B9}" name="Column7837" dataDxfId="8517"/>
    <tableColumn id="7886" xr3:uid="{B6AE78B0-3ABD-4FB2-A95D-F2D51D761B77}" name="Column7838" dataDxfId="8516"/>
    <tableColumn id="7887" xr3:uid="{6E2F66D5-FBCC-4420-A173-3BCEA057B20A}" name="Column7839" dataDxfId="8515"/>
    <tableColumn id="7888" xr3:uid="{5CCDDB25-AC7E-4D43-A46B-9AD71F8877E9}" name="Column7840" dataDxfId="8514"/>
    <tableColumn id="7889" xr3:uid="{76769014-DEDA-4C94-BCE9-9AF9D981D9D7}" name="Column7841" dataDxfId="8513"/>
    <tableColumn id="7890" xr3:uid="{277E4D64-3EFB-4255-96DB-FE9A6DCE6E31}" name="Column7842" dataDxfId="8512"/>
    <tableColumn id="7891" xr3:uid="{EC685E90-FB9A-4DCF-BE13-A3FFB272CB98}" name="Column7843" dataDxfId="8511"/>
    <tableColumn id="7892" xr3:uid="{5C3AC284-7967-4C17-9709-C86EE924BED8}" name="Column7844" dataDxfId="8510"/>
    <tableColumn id="7893" xr3:uid="{44DCC0A8-88A7-4FAB-8193-8B0F91C0A131}" name="Column7845" dataDxfId="8509"/>
    <tableColumn id="7894" xr3:uid="{BE3FB93F-7BE6-4DE6-A92F-E9326BD09BB6}" name="Column7846" dataDxfId="8508"/>
    <tableColumn id="7895" xr3:uid="{A6DBC2BD-193F-43C1-A172-429A8774594F}" name="Column7847" dataDxfId="8507"/>
    <tableColumn id="7896" xr3:uid="{2AC04BAD-1C69-4784-B5ED-F68BA01211B9}" name="Column7848" dataDxfId="8506"/>
    <tableColumn id="7897" xr3:uid="{12C63B3F-D430-4599-81AF-202F46D6D863}" name="Column7849" dataDxfId="8505"/>
    <tableColumn id="7898" xr3:uid="{B7E6FA99-52C7-4DAE-9CA1-29C17C006CAC}" name="Column7850" dataDxfId="8504"/>
    <tableColumn id="7899" xr3:uid="{4EE6C5F7-69C7-4C5A-B844-A730D562F7A0}" name="Column7851" dataDxfId="8503"/>
    <tableColumn id="7900" xr3:uid="{F4D911B5-1530-4470-AB8F-7E5CAF35B693}" name="Column7852" dataDxfId="8502"/>
    <tableColumn id="7901" xr3:uid="{DC38E32A-EAC6-4991-80FC-769271A92CC8}" name="Column7853" dataDxfId="8501"/>
    <tableColumn id="7902" xr3:uid="{C029F988-101B-4074-AB34-F09B7B85E2FE}" name="Column7854" dataDxfId="8500"/>
    <tableColumn id="7903" xr3:uid="{4486E8FF-6060-4E22-BC63-E59EAC80DE39}" name="Column7855" dataDxfId="8499"/>
    <tableColumn id="7904" xr3:uid="{8B0685B0-7625-4DE3-A0FB-976B50905083}" name="Column7856" dataDxfId="8498"/>
    <tableColumn id="7905" xr3:uid="{3FA054C5-1EEE-4F07-AEE1-A1C71EA2AC15}" name="Column7857" dataDxfId="8497"/>
    <tableColumn id="7906" xr3:uid="{2A5FD492-7E7F-49F6-83DC-CB5BCA65F3FA}" name="Column7858" dataDxfId="8496"/>
    <tableColumn id="7907" xr3:uid="{6EE14C64-240B-4DED-B445-48D039B91768}" name="Column7859" dataDxfId="8495"/>
    <tableColumn id="7908" xr3:uid="{1697EECD-D672-411F-B516-DC9D36BBF883}" name="Column7860" dataDxfId="8494"/>
    <tableColumn id="7909" xr3:uid="{6AF5F928-BEF5-4885-BF54-E493AC8B5F09}" name="Column7861" dataDxfId="8493"/>
    <tableColumn id="7910" xr3:uid="{E974D654-A5D5-4CD7-8CA9-760B1E9FCDCB}" name="Column7862" dataDxfId="8492"/>
    <tableColumn id="7911" xr3:uid="{D38CE6E1-C4CF-4683-BC57-194346CD9ABF}" name="Column7863" dataDxfId="8491"/>
    <tableColumn id="7912" xr3:uid="{C5E80E36-06E1-43B4-A092-5DCC35FFA7C3}" name="Column7864" dataDxfId="8490"/>
    <tableColumn id="7913" xr3:uid="{6DF8DF1E-6A4D-4B33-A425-D99D37415401}" name="Column7865" dataDxfId="8489"/>
    <tableColumn id="7914" xr3:uid="{436F09B4-52B1-45F6-A227-6AA73877065E}" name="Column7866" dataDxfId="8488"/>
    <tableColumn id="7915" xr3:uid="{A2C3620F-5079-4EF5-B1EF-646C9A57EBBA}" name="Column7867" dataDxfId="8487"/>
    <tableColumn id="7916" xr3:uid="{61E8DA99-81A9-4AD4-88AE-ED15F758E4E7}" name="Column7868" dataDxfId="8486"/>
    <tableColumn id="7917" xr3:uid="{7B861B2F-A48B-4DBE-A083-0B55AB70D4D1}" name="Column7869" dataDxfId="8485"/>
    <tableColumn id="7918" xr3:uid="{3CB85C11-D8D4-449B-9422-F68323F3F0CB}" name="Column7870" dataDxfId="8484"/>
    <tableColumn id="7919" xr3:uid="{1FA585CF-497D-4E6C-80D9-2A6680F0FA81}" name="Column7871" dataDxfId="8483"/>
    <tableColumn id="7920" xr3:uid="{E41044D4-D5D3-460C-9718-406AB9EFF19A}" name="Column7872" dataDxfId="8482"/>
    <tableColumn id="7921" xr3:uid="{14A28BF2-B87C-4815-805F-39EDAFCFFFBE}" name="Column7873" dataDxfId="8481"/>
    <tableColumn id="7922" xr3:uid="{E7488110-AF4D-4785-A9B3-E7863B673DD0}" name="Column7874" dataDxfId="8480"/>
    <tableColumn id="7923" xr3:uid="{E059D2B8-4FCA-467D-B424-B32EFC3F556A}" name="Column7875" dataDxfId="8479"/>
    <tableColumn id="7924" xr3:uid="{C3C67BB6-B667-408F-BCD9-8F6BA86C5E11}" name="Column7876" dataDxfId="8478"/>
    <tableColumn id="7925" xr3:uid="{F61F8BDD-6187-4376-86ED-67A5E50F12AE}" name="Column7877" dataDxfId="8477"/>
    <tableColumn id="7926" xr3:uid="{279C1827-D8DD-48C2-8636-A47F06E6D20F}" name="Column7878" dataDxfId="8476"/>
    <tableColumn id="7927" xr3:uid="{B5A222A2-D7E9-41D5-8BA7-2709701FF2FC}" name="Column7879" dataDxfId="8475"/>
    <tableColumn id="7928" xr3:uid="{6891E630-703B-416E-BEA0-5871971046FF}" name="Column7880" dataDxfId="8474"/>
    <tableColumn id="7929" xr3:uid="{EE5B825A-15AA-469E-A64A-59B855162050}" name="Column7881" dataDxfId="8473"/>
    <tableColumn id="7930" xr3:uid="{1DB98814-D39D-4014-81DC-420F513A687A}" name="Column7882" dataDxfId="8472"/>
    <tableColumn id="7931" xr3:uid="{2F54272C-B245-445E-8F43-DBFF1BF65BA7}" name="Column7883" dataDxfId="8471"/>
    <tableColumn id="7932" xr3:uid="{D65410CB-F4BF-4C42-8CFF-889C2A01E744}" name="Column7884" dataDxfId="8470"/>
    <tableColumn id="7933" xr3:uid="{355C649B-DC05-4291-9FA5-538C563AB6D9}" name="Column7885" dataDxfId="8469"/>
    <tableColumn id="7934" xr3:uid="{EC69B32F-11AE-44F1-8AF8-135C7C1305EF}" name="Column7886" dataDxfId="8468"/>
    <tableColumn id="7935" xr3:uid="{366BF5C9-B0D9-41C3-9A72-11AB2BB16698}" name="Column7887" dataDxfId="8467"/>
    <tableColumn id="7936" xr3:uid="{5C677337-A425-4A97-BC90-06128E3AB7C8}" name="Column7888" dataDxfId="8466"/>
    <tableColumn id="7937" xr3:uid="{FCC10E18-AA8E-4B9C-8756-3ECB586CB5A5}" name="Column7889" dataDxfId="8465"/>
    <tableColumn id="7938" xr3:uid="{A44D59B8-5EBA-4FC1-B7B0-2D2E97DD4EEC}" name="Column7890" dataDxfId="8464"/>
    <tableColumn id="7939" xr3:uid="{9962BF78-278F-4FC2-982D-875F7BF2D11A}" name="Column7891" dataDxfId="8463"/>
    <tableColumn id="7940" xr3:uid="{44375312-0219-4181-B57E-462717A2EC51}" name="Column7892" dataDxfId="8462"/>
    <tableColumn id="7941" xr3:uid="{309D508D-23BD-4C76-B6DB-5E0E001F7CDD}" name="Column7893" dataDxfId="8461"/>
    <tableColumn id="7942" xr3:uid="{847490A0-2FB8-454E-9D30-783B7767340C}" name="Column7894" dataDxfId="8460"/>
    <tableColumn id="7943" xr3:uid="{A300F1F9-F35E-4BC7-B9D0-E9429E4BF951}" name="Column7895" dataDxfId="8459"/>
    <tableColumn id="7944" xr3:uid="{1D0434CF-9074-467F-B154-50D1977089DA}" name="Column7896" dataDxfId="8458"/>
    <tableColumn id="7945" xr3:uid="{16E12129-EA38-4AAF-A233-244830E92211}" name="Column7897" dataDxfId="8457"/>
    <tableColumn id="7946" xr3:uid="{359C2E5C-1663-4E2B-B5DD-F38EA73D66D3}" name="Column7898" dataDxfId="8456"/>
    <tableColumn id="7947" xr3:uid="{D6B9979D-9533-42DC-8FE1-DB550F764A6B}" name="Column7899" dataDxfId="8455"/>
    <tableColumn id="7948" xr3:uid="{81B18A69-3DDC-463F-918E-3BD77CEB7C6C}" name="Column7900" dataDxfId="8454"/>
    <tableColumn id="7949" xr3:uid="{EDF97EF2-D892-4CE3-8C1D-32F1400714D9}" name="Column7901" dataDxfId="8453"/>
    <tableColumn id="7950" xr3:uid="{115631D8-E44C-4ACE-AF8A-3616CA5BDD45}" name="Column7902" dataDxfId="8452"/>
    <tableColumn id="7951" xr3:uid="{D03A02A7-FA48-4711-8FCC-39ABD577BE8A}" name="Column7903" dataDxfId="8451"/>
    <tableColumn id="7952" xr3:uid="{E2EC05BA-9CA8-412A-A88F-518FAC316CBE}" name="Column7904" dataDxfId="8450"/>
    <tableColumn id="7953" xr3:uid="{0FDAB0FC-B2BF-4CAA-B0E0-235719B4B1FD}" name="Column7905" dataDxfId="8449"/>
    <tableColumn id="7954" xr3:uid="{0F04225E-793E-40F8-9C6A-1EB061A83188}" name="Column7906" dataDxfId="8448"/>
    <tableColumn id="7955" xr3:uid="{F310D846-3B81-4245-8541-A8624FBD6B0C}" name="Column7907" dataDxfId="8447"/>
    <tableColumn id="7956" xr3:uid="{7C6097F2-9207-4EC4-AA74-9E8B5C1EFCC0}" name="Column7908" dataDxfId="8446"/>
    <tableColumn id="7957" xr3:uid="{676E9E3E-7C73-4303-A277-E7A5E387CAF7}" name="Column7909" dataDxfId="8445"/>
    <tableColumn id="7958" xr3:uid="{1BD502C9-ABC4-4624-93A3-06C84C929267}" name="Column7910" dataDxfId="8444"/>
    <tableColumn id="7959" xr3:uid="{1B3120CF-362D-4CE6-81EB-8F711F4620E1}" name="Column7911" dataDxfId="8443"/>
    <tableColumn id="7960" xr3:uid="{BCEE9D5E-0BFE-4262-9439-BD78F393FB79}" name="Column7912" dataDxfId="8442"/>
    <tableColumn id="7961" xr3:uid="{662ACD04-67DC-443C-A124-5ECF301860D1}" name="Column7913" dataDxfId="8441"/>
    <tableColumn id="7962" xr3:uid="{5EFD5AD5-4068-40D9-AB59-911D53684C4A}" name="Column7914" dataDxfId="8440"/>
    <tableColumn id="7963" xr3:uid="{D4979BB1-9106-4593-903F-302892A2C8CA}" name="Column7915" dataDxfId="8439"/>
    <tableColumn id="7964" xr3:uid="{3C61CC3D-E9BC-4BE8-8A4B-B04E924A8297}" name="Column7916" dataDxfId="8438"/>
    <tableColumn id="7965" xr3:uid="{74D7F10A-9957-41AB-994C-296E0330C8DE}" name="Column7917" dataDxfId="8437"/>
    <tableColumn id="7966" xr3:uid="{2FB29084-5013-42F2-AE5B-B0CC5CD29F8E}" name="Column7918" dataDxfId="8436"/>
    <tableColumn id="7967" xr3:uid="{F568E00B-C440-4336-B119-9A58EA6312DA}" name="Column7919" dataDxfId="8435"/>
    <tableColumn id="7968" xr3:uid="{F414C7C0-26D1-4424-B146-E204E8738D6A}" name="Column7920" dataDxfId="8434"/>
    <tableColumn id="7969" xr3:uid="{9D3B3E18-7212-421B-8F1B-02963BA758C3}" name="Column7921" dataDxfId="8433"/>
    <tableColumn id="7970" xr3:uid="{88232D5F-1A89-4B21-928E-5C3E6D39AA5A}" name="Column7922" dataDxfId="8432"/>
    <tableColumn id="7971" xr3:uid="{44B6C210-B274-4E65-AB01-4AD9E7A70C77}" name="Column7923" dataDxfId="8431"/>
    <tableColumn id="7972" xr3:uid="{A6B687DB-6500-493A-857F-D789F49ED594}" name="Column7924" dataDxfId="8430"/>
    <tableColumn id="7973" xr3:uid="{4B4BFFB9-3367-4EB5-9758-F0A077E8B072}" name="Column7925" dataDxfId="8429"/>
    <tableColumn id="7974" xr3:uid="{9A72CDB4-58F4-4BD0-80EB-AA3A0FB63C56}" name="Column7926" dataDxfId="8428"/>
    <tableColumn id="7975" xr3:uid="{C0296258-A289-4B28-951E-51ECEDAA922D}" name="Column7927" dataDxfId="8427"/>
    <tableColumn id="7976" xr3:uid="{BB6F8658-8AB3-4604-B656-1734C242FD7D}" name="Column7928" dataDxfId="8426"/>
    <tableColumn id="7977" xr3:uid="{879DA02E-8C92-4FB2-9A69-E8CE91836C38}" name="Column7929" dataDxfId="8425"/>
    <tableColumn id="7978" xr3:uid="{366349D0-DAA5-477E-9372-9354F6001314}" name="Column7930" dataDxfId="8424"/>
    <tableColumn id="7979" xr3:uid="{1686A8FC-9B66-45D6-97E5-941B6F19EDC3}" name="Column7931" dataDxfId="8423"/>
    <tableColumn id="7980" xr3:uid="{28C13951-DA6D-4521-A880-C0E0D9C8C3D7}" name="Column7932" dataDxfId="8422"/>
    <tableColumn id="7981" xr3:uid="{3B2A40A5-97E2-4020-8926-C71FF8BF8F71}" name="Column7933" dataDxfId="8421"/>
    <tableColumn id="7982" xr3:uid="{11DC8EA6-0BBF-45AE-A7E2-1AB648EA23D4}" name="Column7934" dataDxfId="8420"/>
    <tableColumn id="7983" xr3:uid="{088DB42E-8900-4BA5-81C3-FBD3C1D5BF8C}" name="Column7935" dataDxfId="8419"/>
    <tableColumn id="7984" xr3:uid="{FA018FAE-21B3-471C-8801-9441B7F6155F}" name="Column7936" dataDxfId="8418"/>
    <tableColumn id="7985" xr3:uid="{DDFD3905-26D3-4BF3-A297-648BDBBDCE09}" name="Column7937" dataDxfId="8417"/>
    <tableColumn id="7986" xr3:uid="{72F6CB25-1F47-4CCA-889C-01A9F75BBFF0}" name="Column7938" dataDxfId="8416"/>
    <tableColumn id="7987" xr3:uid="{95853222-59F2-46B1-B5A2-5548D240069C}" name="Column7939" dataDxfId="8415"/>
    <tableColumn id="7988" xr3:uid="{B4FA4114-DE88-4809-BD4B-27ADF71AD04E}" name="Column7940" dataDxfId="8414"/>
    <tableColumn id="7989" xr3:uid="{063EF3CC-E2D0-465F-BDEC-DD731CE111FC}" name="Column7941" dataDxfId="8413"/>
    <tableColumn id="7990" xr3:uid="{E8989E99-9DB9-48CA-893C-AD4E587E7C30}" name="Column7942" dataDxfId="8412"/>
    <tableColumn id="7991" xr3:uid="{2957C980-53D0-42FC-87B0-1F576EAE110C}" name="Column7943" dataDxfId="8411"/>
    <tableColumn id="7992" xr3:uid="{A7D04406-1BEA-453A-B03A-E8B3AE748E55}" name="Column7944" dataDxfId="8410"/>
    <tableColumn id="7993" xr3:uid="{86EC69F8-F8B1-4428-A954-011C268B0881}" name="Column7945" dataDxfId="8409"/>
    <tableColumn id="7994" xr3:uid="{2D4C5D8A-B17E-4D0B-B02D-6803E819BE77}" name="Column7946" dataDxfId="8408"/>
    <tableColumn id="7995" xr3:uid="{914C5444-D6DB-4903-A641-713B971310DA}" name="Column7947" dataDxfId="8407"/>
    <tableColumn id="7996" xr3:uid="{D48E572E-C9E1-4AC5-A26B-CEE59C1AF427}" name="Column7948" dataDxfId="8406"/>
    <tableColumn id="7997" xr3:uid="{83A4E69C-F8AD-4667-91C8-C189B015EA9A}" name="Column7949" dataDxfId="8405"/>
    <tableColumn id="7998" xr3:uid="{5A91EC40-F435-4302-8AC5-1BAB661087BF}" name="Column7950" dataDxfId="8404"/>
    <tableColumn id="7999" xr3:uid="{8D23B62E-4A9A-4D4C-98B8-988BEAF18E34}" name="Column7951" dataDxfId="8403"/>
    <tableColumn id="8000" xr3:uid="{C8CBE71D-A6B7-40AD-BF17-A583EC9284E9}" name="Column7952" dataDxfId="8402"/>
    <tableColumn id="8001" xr3:uid="{12A00124-4069-4507-8A02-E93927D87AF5}" name="Column7953" dataDxfId="8401"/>
    <tableColumn id="8002" xr3:uid="{4187C259-B70D-4411-AB0C-CE226347B857}" name="Column7954" dataDxfId="8400"/>
    <tableColumn id="8003" xr3:uid="{8E00B14F-E82B-42DC-8320-0DEBA29E9E87}" name="Column7955" dataDxfId="8399"/>
    <tableColumn id="8004" xr3:uid="{3396FC85-290A-4AF0-9315-25ECA2420B14}" name="Column7956" dataDxfId="8398"/>
    <tableColumn id="8005" xr3:uid="{D8DA23CB-72CA-4FCE-9F0E-C6200DF94E01}" name="Column7957" dataDxfId="8397"/>
    <tableColumn id="8006" xr3:uid="{1E651BB3-80F8-45D2-A7F7-2DA1A97FF97E}" name="Column7958" dataDxfId="8396"/>
    <tableColumn id="8007" xr3:uid="{C361F1AB-5821-4B6B-A9AC-C839B621C675}" name="Column7959" dataDxfId="8395"/>
    <tableColumn id="8008" xr3:uid="{203ADE8A-54CC-4114-B889-9C3EEF74AC9C}" name="Column7960" dataDxfId="8394"/>
    <tableColumn id="8009" xr3:uid="{E411703E-BEA1-4D00-B85D-ADE6A022E76B}" name="Column7961" dataDxfId="8393"/>
    <tableColumn id="8010" xr3:uid="{5FB385F1-502F-4DAB-A347-E97FCE904481}" name="Column7962" dataDxfId="8392"/>
    <tableColumn id="8011" xr3:uid="{A4ABDF8C-E2E9-463D-B4FA-01D892CED6B8}" name="Column7963" dataDxfId="8391"/>
    <tableColumn id="8012" xr3:uid="{1E279AA3-9879-47DB-A4F0-C3B57A2668AD}" name="Column7964" dataDxfId="8390"/>
    <tableColumn id="8013" xr3:uid="{618D4CF5-69F4-4715-B945-3C42AC6E795F}" name="Column7965" dataDxfId="8389"/>
    <tableColumn id="8014" xr3:uid="{D2C177B8-35D8-464C-90CD-5C47BA308A60}" name="Column7966" dataDxfId="8388"/>
    <tableColumn id="8015" xr3:uid="{C8BB25B2-AB70-4CEF-8726-DC06895760A9}" name="Column7967" dataDxfId="8387"/>
    <tableColumn id="8016" xr3:uid="{FBDA9AE2-A4CB-4BB5-8B6A-DC1243C4069E}" name="Column7968" dataDxfId="8386"/>
    <tableColumn id="8017" xr3:uid="{7F3BE40A-91B9-488A-8294-2A0C40153A50}" name="Column7969" dataDxfId="8385"/>
    <tableColumn id="8018" xr3:uid="{356F2A19-62A2-464D-AD8F-4D68A9B0DA30}" name="Column7970" dataDxfId="8384"/>
    <tableColumn id="8019" xr3:uid="{46271EEC-5EB6-4FFF-B5F1-915A4BD3D49E}" name="Column7971" dataDxfId="8383"/>
    <tableColumn id="8020" xr3:uid="{42C23504-1A38-41B8-83B8-16D98A835DF8}" name="Column7972" dataDxfId="8382"/>
    <tableColumn id="8021" xr3:uid="{618B9318-5628-4C77-98B2-BA813729D479}" name="Column7973" dataDxfId="8381"/>
    <tableColumn id="8022" xr3:uid="{50689F53-FDA5-4A50-AA1B-CCDD4605734E}" name="Column7974" dataDxfId="8380"/>
    <tableColumn id="8023" xr3:uid="{81B7A638-07EE-4AE8-8BD9-E9CAF69C2C7A}" name="Column7975" dataDxfId="8379"/>
    <tableColumn id="8024" xr3:uid="{1379AD73-CFF0-41ED-95EE-587167117F16}" name="Column7976" dataDxfId="8378"/>
    <tableColumn id="8025" xr3:uid="{3A28B3EA-CFBB-4D99-8559-6AE314B40096}" name="Column7977" dataDxfId="8377"/>
    <tableColumn id="8026" xr3:uid="{E8BCE211-C498-4133-A780-0FDCA17DFFC0}" name="Column7978" dataDxfId="8376"/>
    <tableColumn id="8027" xr3:uid="{F1577E52-C39C-462E-B28C-6A270ED63A56}" name="Column7979" dataDxfId="8375"/>
    <tableColumn id="8028" xr3:uid="{DA875BAC-4C0C-4667-866E-8448C3363D68}" name="Column7980" dataDxfId="8374"/>
    <tableColumn id="8029" xr3:uid="{09AAB903-EDD6-4283-B303-EAD522D8CE3F}" name="Column7981" dataDxfId="8373"/>
    <tableColumn id="8030" xr3:uid="{F773C19F-D61D-4180-BA06-70D9A0768A3A}" name="Column7982" dataDxfId="8372"/>
    <tableColumn id="8031" xr3:uid="{F53278EF-B111-4CDA-92F9-D2982473F9C2}" name="Column7983" dataDxfId="8371"/>
    <tableColumn id="8032" xr3:uid="{9821F5BA-7FF9-4D3A-97A9-FA0AE43CBF54}" name="Column7984" dataDxfId="8370"/>
    <tableColumn id="8033" xr3:uid="{F5475BE2-1A2A-4BE5-9FFD-AFD73EC44757}" name="Column7985" dataDxfId="8369"/>
    <tableColumn id="8034" xr3:uid="{E367E5FA-2CC3-4AA9-AD50-702041206FA6}" name="Column7986" dataDxfId="8368"/>
    <tableColumn id="8035" xr3:uid="{4F9E885C-3474-455D-A5C8-760B51ABB8CD}" name="Column7987" dataDxfId="8367"/>
    <tableColumn id="8036" xr3:uid="{E32C123B-4BBA-475B-A4C5-2394C9666F75}" name="Column7988" dataDxfId="8366"/>
    <tableColumn id="8037" xr3:uid="{03C0DFE7-D79B-4923-9299-3C1BEC183DA8}" name="Column7989" dataDxfId="8365"/>
    <tableColumn id="8038" xr3:uid="{553E7168-59A7-475C-BE7E-844A5A94374A}" name="Column7990" dataDxfId="8364"/>
    <tableColumn id="8039" xr3:uid="{B1B58680-CE95-4C40-BE5F-D24FCA2F7487}" name="Column7991" dataDxfId="8363"/>
    <tableColumn id="8040" xr3:uid="{04B51309-BDAC-4B61-9085-421118779F19}" name="Column7992" dataDxfId="8362"/>
    <tableColumn id="8041" xr3:uid="{5D81DF1C-5991-4B38-A597-BA81B935A2D9}" name="Column7993" dataDxfId="8361"/>
    <tableColumn id="8042" xr3:uid="{FA6199ED-FE6D-48C8-84D8-FDBAA5F429A4}" name="Column7994" dataDxfId="8360"/>
    <tableColumn id="8043" xr3:uid="{DD7CBCEB-C0DB-4B64-BF97-9952D63E27B4}" name="Column7995" dataDxfId="8359"/>
    <tableColumn id="8044" xr3:uid="{FE4DF475-9C91-4070-902B-B1EB325A1260}" name="Column7996" dataDxfId="8358"/>
    <tableColumn id="8045" xr3:uid="{971A1364-6CB2-4502-B924-7F332ED98677}" name="Column7997" dataDxfId="8357"/>
    <tableColumn id="8046" xr3:uid="{16797DD8-E0A1-40A8-9226-84209592DAA2}" name="Column7998" dataDxfId="8356"/>
    <tableColumn id="8047" xr3:uid="{1498AA79-D6DF-4AEC-84F4-32047543D0DC}" name="Column7999" dataDxfId="8355"/>
    <tableColumn id="8048" xr3:uid="{67F0B4D4-2431-489D-A795-D79466F92EDD}" name="Column8000" dataDxfId="8354"/>
    <tableColumn id="8049" xr3:uid="{F2F8127E-FDFF-4818-BC3C-E0CBB527B75C}" name="Column8001" dataDxfId="8353"/>
    <tableColumn id="8050" xr3:uid="{0A300098-77B3-48A2-A3A0-06A422E1A3CA}" name="Column8002" dataDxfId="8352"/>
    <tableColumn id="8051" xr3:uid="{10BE99EC-B6B0-4E67-9BCB-684211D45107}" name="Column8003" dataDxfId="8351"/>
    <tableColumn id="8052" xr3:uid="{343D9519-7BF9-4D05-9E0D-0AC4896F756E}" name="Column8004" dataDxfId="8350"/>
    <tableColumn id="8053" xr3:uid="{42619284-CA05-4BB3-B7BC-F86185844005}" name="Column8005" dataDxfId="8349"/>
    <tableColumn id="8054" xr3:uid="{C96626AD-CC46-419E-B583-7C5D3BCB1773}" name="Column8006" dataDxfId="8348"/>
    <tableColumn id="8055" xr3:uid="{24E6B4DE-5862-410A-8C63-4F2995E1C96E}" name="Column8007" dataDxfId="8347"/>
    <tableColumn id="8056" xr3:uid="{7841270A-C5B2-4488-8855-F14DD2030E0B}" name="Column8008" dataDxfId="8346"/>
    <tableColumn id="8057" xr3:uid="{45FBB2E7-028C-452B-9CE0-B71242C677F9}" name="Column8009" dataDxfId="8345"/>
    <tableColumn id="8058" xr3:uid="{7F5E00FB-93D8-4675-9B61-9BCCE7FDD524}" name="Column8010" dataDxfId="8344"/>
    <tableColumn id="8059" xr3:uid="{148DF537-848D-4FB6-B314-430F82281808}" name="Column8011" dataDxfId="8343"/>
    <tableColumn id="8060" xr3:uid="{83772EC0-D1B6-4563-8D94-02203C625995}" name="Column8012" dataDxfId="8342"/>
    <tableColumn id="8061" xr3:uid="{AD19B565-C88C-4730-AE94-4A2E1380753A}" name="Column8013" dataDxfId="8341"/>
    <tableColumn id="8062" xr3:uid="{5B2DD07A-CA9D-4B92-A7A7-F024876466F3}" name="Column8014" dataDxfId="8340"/>
    <tableColumn id="8063" xr3:uid="{3E29122B-8131-4141-B3E0-71E9A92E973C}" name="Column8015" dataDxfId="8339"/>
    <tableColumn id="8064" xr3:uid="{C4A37233-73B9-4DF3-93D7-06D95FA2493C}" name="Column8016" dataDxfId="8338"/>
    <tableColumn id="8065" xr3:uid="{4D5B68E7-F706-4124-A4AF-66910FBF5DA5}" name="Column8017" dataDxfId="8337"/>
    <tableColumn id="8066" xr3:uid="{65EA3089-8AD2-44EB-98F8-380B80B5D457}" name="Column8018" dataDxfId="8336"/>
    <tableColumn id="8067" xr3:uid="{B9571801-BD08-4AC8-971E-DC74485406FA}" name="Column8019" dataDxfId="8335"/>
    <tableColumn id="8068" xr3:uid="{02343EF9-AA66-45B9-996C-E1E295CBAAF6}" name="Column8020" dataDxfId="8334"/>
    <tableColumn id="8069" xr3:uid="{0B96F98B-4B33-4030-ABDD-409E85B20711}" name="Column8021" dataDxfId="8333"/>
    <tableColumn id="8070" xr3:uid="{8359F940-91D8-4DE5-A0CB-731244A01ED4}" name="Column8022" dataDxfId="8332"/>
    <tableColumn id="8071" xr3:uid="{4A1F76D6-073D-4985-A296-985FBC8AFA69}" name="Column8023" dataDxfId="8331"/>
    <tableColumn id="8072" xr3:uid="{D13585A0-636E-4FEA-9691-2930ECE607ED}" name="Column8024" dataDxfId="8330"/>
    <tableColumn id="8073" xr3:uid="{EB911137-C1F2-4FB5-8B04-A0785342B05B}" name="Column8025" dataDxfId="8329"/>
    <tableColumn id="8074" xr3:uid="{FEBBF112-1171-4558-B7FA-6E7453E25D40}" name="Column8026" dataDxfId="8328"/>
    <tableColumn id="8075" xr3:uid="{66B4575E-B60A-4840-853E-2F5D51017247}" name="Column8027" dataDxfId="8327"/>
    <tableColumn id="8076" xr3:uid="{944B9D39-2DD3-46F9-AE83-8AC85F98F205}" name="Column8028" dataDxfId="8326"/>
    <tableColumn id="8077" xr3:uid="{7D85E26B-783A-44A1-8E30-C30702E60D36}" name="Column8029" dataDxfId="8325"/>
    <tableColumn id="8078" xr3:uid="{84C10251-8139-449D-8648-91DA73E80B15}" name="Column8030" dataDxfId="8324"/>
    <tableColumn id="8079" xr3:uid="{6E6EA5A4-89B7-4399-91A6-A547036945C3}" name="Column8031" dataDxfId="8323"/>
    <tableColumn id="8080" xr3:uid="{A799A1ED-28D8-4C85-93B5-0A1768E9901B}" name="Column8032" dataDxfId="8322"/>
    <tableColumn id="8081" xr3:uid="{7CA5511E-F3AE-4AD2-B336-D86FE82809FB}" name="Column8033" dataDxfId="8321"/>
    <tableColumn id="8082" xr3:uid="{616D490E-3E8D-4AB8-95B4-6AA06EF1E2BD}" name="Column8034" dataDxfId="8320"/>
    <tableColumn id="8083" xr3:uid="{1F8B627A-635D-491B-8E0B-290CC82E8180}" name="Column8035" dataDxfId="8319"/>
    <tableColumn id="8084" xr3:uid="{98D6E0DB-266F-46E1-914A-AE1C39B2616E}" name="Column8036" dataDxfId="8318"/>
    <tableColumn id="8085" xr3:uid="{CDD2B4BA-38C7-4423-89EA-C5A61170CCBF}" name="Column8037" dataDxfId="8317"/>
    <tableColumn id="8086" xr3:uid="{FF85AA0C-565A-45DA-B910-56AFE55A76A0}" name="Column8038" dataDxfId="8316"/>
    <tableColumn id="8087" xr3:uid="{8DAEB417-C561-45EC-83AA-65D7DF75789D}" name="Column8039" dataDxfId="8315"/>
    <tableColumn id="8088" xr3:uid="{A3015C21-90F8-409E-A6C7-BF6EB282B3C0}" name="Column8040" dataDxfId="8314"/>
    <tableColumn id="8089" xr3:uid="{9DBF42A5-91AB-4D1D-94D4-D40C6EEC95E8}" name="Column8041" dataDxfId="8313"/>
    <tableColumn id="8090" xr3:uid="{1B60D7BC-2582-46AB-AEB5-A5CD7E5E0CF1}" name="Column8042" dataDxfId="8312"/>
    <tableColumn id="8091" xr3:uid="{9419BA32-ED7F-4FE0-B9B1-ECDBA215E234}" name="Column8043" dataDxfId="8311"/>
    <tableColumn id="8092" xr3:uid="{6285F6D5-C8E2-4598-9B09-CEC9E3CAA4DE}" name="Column8044" dataDxfId="8310"/>
    <tableColumn id="8093" xr3:uid="{118BC676-8E30-439D-8EEE-96C9963CE57F}" name="Column8045" dataDxfId="8309"/>
    <tableColumn id="8094" xr3:uid="{3EA848C2-C231-4DC3-A7B0-D580257DC05C}" name="Column8046" dataDxfId="8308"/>
    <tableColumn id="8095" xr3:uid="{26B82DE4-F05E-4DDB-B941-BF57F4A9ECB1}" name="Column8047" dataDxfId="8307"/>
    <tableColumn id="8096" xr3:uid="{CCE80C6B-3934-4B43-8C1D-D975F25379BE}" name="Column8048" dataDxfId="8306"/>
    <tableColumn id="8097" xr3:uid="{99356D5E-940B-45BE-AB8B-0AD7EE125ACF}" name="Column8049" dataDxfId="8305"/>
    <tableColumn id="8098" xr3:uid="{F55220D0-7CC9-4C4B-AEEE-E6C88C10E4BA}" name="Column8050" dataDxfId="8304"/>
    <tableColumn id="8099" xr3:uid="{AE7DD705-7B99-4949-B307-88F200AFE9DF}" name="Column8051" dataDxfId="8303"/>
    <tableColumn id="8100" xr3:uid="{628680D7-57E1-4EAA-9C2A-069BC726666C}" name="Column8052" dataDxfId="8302"/>
    <tableColumn id="8101" xr3:uid="{D1018E56-DD27-4281-890C-52338D1BA78F}" name="Column8053" dataDxfId="8301"/>
    <tableColumn id="8102" xr3:uid="{AB89F416-9EAB-4508-AB39-7A31F9040E11}" name="Column8054" dataDxfId="8300"/>
    <tableColumn id="8103" xr3:uid="{D457CF7C-8F84-4E33-A87B-097C50DD2EA9}" name="Column8055" dataDxfId="8299"/>
    <tableColumn id="8104" xr3:uid="{17AEF62F-EE1A-4850-B74C-1018FDB16966}" name="Column8056" dataDxfId="8298"/>
    <tableColumn id="8105" xr3:uid="{C0009ACB-85A5-4636-904E-DB60A2EC3D13}" name="Column8057" dataDxfId="8297"/>
    <tableColumn id="8106" xr3:uid="{D863D5C7-FDE7-4659-B730-28F41F6540ED}" name="Column8058" dataDxfId="8296"/>
    <tableColumn id="8107" xr3:uid="{4128BA49-EC31-4308-B554-1E35EA46462E}" name="Column8059" dataDxfId="8295"/>
    <tableColumn id="8108" xr3:uid="{6581E0E7-605B-490C-86AB-111A5DBD2BDD}" name="Column8060" dataDxfId="8294"/>
    <tableColumn id="8109" xr3:uid="{C6DB6040-D2BF-4367-B17E-60CA00179933}" name="Column8061" dataDxfId="8293"/>
    <tableColumn id="8110" xr3:uid="{3D4E3DC9-C622-4A0D-BDB6-013D759791A7}" name="Column8062" dataDxfId="8292"/>
    <tableColumn id="8111" xr3:uid="{D5E40060-5CE3-4B77-9C97-0C77AC312980}" name="Column8063" dataDxfId="8291"/>
    <tableColumn id="8112" xr3:uid="{6DCD56F0-7C5F-483B-BD85-FD5B43CC50F6}" name="Column8064" dataDxfId="8290"/>
    <tableColumn id="8113" xr3:uid="{D6233616-9AC7-44E1-AFD0-17F260A5A864}" name="Column8065" dataDxfId="8289"/>
    <tableColumn id="8114" xr3:uid="{367266B0-867F-4BE5-8154-4FA5A2734D53}" name="Column8066" dataDxfId="8288"/>
    <tableColumn id="8115" xr3:uid="{686670C0-76F3-4C65-9D66-6C7742146A56}" name="Column8067" dataDxfId="8287"/>
    <tableColumn id="8116" xr3:uid="{CEF2EE87-9F48-45CE-B68C-E1210D92BF2D}" name="Column8068" dataDxfId="8286"/>
    <tableColumn id="8117" xr3:uid="{DD921685-8CAB-4749-9ADA-6A3E2C456975}" name="Column8069" dataDxfId="8285"/>
    <tableColumn id="8118" xr3:uid="{8FCC1D0D-B188-4797-BC3E-3B81FF06F0A1}" name="Column8070" dataDxfId="8284"/>
    <tableColumn id="8119" xr3:uid="{232FA618-9C22-485A-9271-9F7AA1C25A90}" name="Column8071" dataDxfId="8283"/>
    <tableColumn id="8120" xr3:uid="{AD9A5D59-D7F4-42E2-824F-29BF4D9B5D5B}" name="Column8072" dataDxfId="8282"/>
    <tableColumn id="8121" xr3:uid="{98D03F46-040E-44CC-964F-B8CD19AAE769}" name="Column8073" dataDxfId="8281"/>
    <tableColumn id="8122" xr3:uid="{F2B673E8-3063-40BE-9692-9E3911EB1966}" name="Column8074" dataDxfId="8280"/>
    <tableColumn id="8123" xr3:uid="{50F0776F-480B-4880-93B7-CD5709D4EAE1}" name="Column8075" dataDxfId="8279"/>
    <tableColumn id="8124" xr3:uid="{F8302B66-875F-4936-AFDF-EADDE15E60AD}" name="Column8076" dataDxfId="8278"/>
    <tableColumn id="8125" xr3:uid="{50919262-881A-4CDA-B991-FCB891C44F52}" name="Column8077" dataDxfId="8277"/>
    <tableColumn id="8126" xr3:uid="{BECB6032-2B5C-433F-BD76-1E976AFBA4C6}" name="Column8078" dataDxfId="8276"/>
    <tableColumn id="8127" xr3:uid="{2850D9F6-CC21-4ED7-9CB7-4A6ACBC41E6C}" name="Column8079" dataDxfId="8275"/>
    <tableColumn id="8128" xr3:uid="{70470DE0-2E9E-4277-8EE9-FF71156B47BC}" name="Column8080" dataDxfId="8274"/>
    <tableColumn id="8129" xr3:uid="{9414F876-EE12-411D-9470-3B667DEB3762}" name="Column8081" dataDxfId="8273"/>
    <tableColumn id="8130" xr3:uid="{5C29F3FF-1111-417F-9A63-D468A3D3AE9F}" name="Column8082" dataDxfId="8272"/>
    <tableColumn id="8131" xr3:uid="{688C0BA1-C433-4988-809E-77F038A553C1}" name="Column8083" dataDxfId="8271"/>
    <tableColumn id="8132" xr3:uid="{38B48E2F-258F-4BB4-9BD5-1F8A5CE032F8}" name="Column8084" dataDxfId="8270"/>
    <tableColumn id="8133" xr3:uid="{07EF7112-E702-41E3-AB5F-464369235745}" name="Column8085" dataDxfId="8269"/>
    <tableColumn id="8134" xr3:uid="{0093BA7C-CF8D-4F53-87E6-C88A6748DCB0}" name="Column8086" dataDxfId="8268"/>
    <tableColumn id="8135" xr3:uid="{E46679C7-9D36-4B93-88D3-B2F5DAC3E9FA}" name="Column8087" dataDxfId="8267"/>
    <tableColumn id="8136" xr3:uid="{11816433-E398-4B88-9373-B10DD927BB7B}" name="Column8088" dataDxfId="8266"/>
    <tableColumn id="8137" xr3:uid="{CD2C4826-2204-4363-B160-0B5609A18E9C}" name="Column8089" dataDxfId="8265"/>
    <tableColumn id="8138" xr3:uid="{382AD026-169B-4CC9-B38D-1D0303EADD95}" name="Column8090" dataDxfId="8264"/>
    <tableColumn id="8139" xr3:uid="{BC847B59-EFEC-4CD6-971A-E08C81DC19BB}" name="Column8091" dataDxfId="8263"/>
    <tableColumn id="8140" xr3:uid="{AA09CE8B-59D5-4EE0-BF93-1E413A0D007D}" name="Column8092" dataDxfId="8262"/>
    <tableColumn id="8141" xr3:uid="{65E92D2B-EC0B-48FF-BCF7-15C52A3809DE}" name="Column8093" dataDxfId="8261"/>
    <tableColumn id="8142" xr3:uid="{D4293360-B443-430B-831C-49D604D02961}" name="Column8094" dataDxfId="8260"/>
    <tableColumn id="8143" xr3:uid="{A275DD13-BB39-46F9-9426-965B0C6D89DF}" name="Column8095" dataDxfId="8259"/>
    <tableColumn id="8144" xr3:uid="{F3A2E579-41C1-4762-B281-E3F4AF7437C5}" name="Column8096" dataDxfId="8258"/>
    <tableColumn id="8145" xr3:uid="{6063516A-24DA-4189-B722-A2340567C8CE}" name="Column8097" dataDxfId="8257"/>
    <tableColumn id="8146" xr3:uid="{941ED1A3-2301-4F9F-948C-2BB729B820AA}" name="Column8098" dataDxfId="8256"/>
    <tableColumn id="8147" xr3:uid="{4CBEFD2E-5895-40FB-9FA5-667EE53E1CA2}" name="Column8099" dataDxfId="8255"/>
    <tableColumn id="8148" xr3:uid="{387A1C74-D75F-41F6-A8C2-93FE6FCAC0CE}" name="Column8100" dataDxfId="8254"/>
    <tableColumn id="8149" xr3:uid="{4967A41E-27FE-41D3-98E7-98361CFEB6EF}" name="Column8101" dataDxfId="8253"/>
    <tableColumn id="8150" xr3:uid="{8B74ED09-4746-46A8-828C-ACBE23866D97}" name="Column8102" dataDxfId="8252"/>
    <tableColumn id="8151" xr3:uid="{387A6292-DEBA-4812-8022-2842E0630CB7}" name="Column8103" dataDxfId="8251"/>
    <tableColumn id="8152" xr3:uid="{A1709159-6E96-4926-AF16-5DAE7F56555C}" name="Column8104" dataDxfId="8250"/>
    <tableColumn id="8153" xr3:uid="{5CC57C52-E6BC-400B-B6BD-92806DEDE9CF}" name="Column8105" dataDxfId="8249"/>
    <tableColumn id="8154" xr3:uid="{06907239-197D-40F2-8B12-C46EAFD11722}" name="Column8106" dataDxfId="8248"/>
    <tableColumn id="8155" xr3:uid="{3898D4C4-8F0D-4651-91AA-69C7D247B10D}" name="Column8107" dataDxfId="8247"/>
    <tableColumn id="8156" xr3:uid="{805C5512-25AB-4F69-AECF-C6F973B4701F}" name="Column8108" dataDxfId="8246"/>
    <tableColumn id="8157" xr3:uid="{95A416A2-DF5D-4978-83C8-2290200F2660}" name="Column8109" dataDxfId="8245"/>
    <tableColumn id="8158" xr3:uid="{D52D73FA-EE61-41EA-96A1-4208960444DD}" name="Column8110" dataDxfId="8244"/>
    <tableColumn id="8159" xr3:uid="{11F24FA1-8C46-4E0A-88F6-2F122E70EEDC}" name="Column8111" dataDxfId="8243"/>
    <tableColumn id="8160" xr3:uid="{C3607BCF-2D56-42E3-978F-6677C04D4303}" name="Column8112" dataDxfId="8242"/>
    <tableColumn id="8161" xr3:uid="{B4828D71-4730-4182-B1C0-FA5F44EF73C1}" name="Column8113" dataDxfId="8241"/>
    <tableColumn id="8162" xr3:uid="{D67BAF0B-4CD3-48CC-B1AD-92EFF752AA02}" name="Column8114" dataDxfId="8240"/>
    <tableColumn id="8163" xr3:uid="{BEF3594C-927F-4C39-B15F-D6844BD7D1D9}" name="Column8115" dataDxfId="8239"/>
    <tableColumn id="8164" xr3:uid="{A73C145D-3D35-44E5-89EC-801E606B2C80}" name="Column8116" dataDxfId="8238"/>
    <tableColumn id="8165" xr3:uid="{B3906503-DDD1-42C7-9C4E-E64F253E82E6}" name="Column8117" dataDxfId="8237"/>
    <tableColumn id="8166" xr3:uid="{013236E4-C4B6-462B-A882-D6CD5D29AA33}" name="Column8118" dataDxfId="8236"/>
    <tableColumn id="8167" xr3:uid="{EEE26D97-9011-43C1-B57C-DC3D39728E45}" name="Column8119" dataDxfId="8235"/>
    <tableColumn id="8168" xr3:uid="{EB58EBD1-A379-4AF8-A12C-42245EDA5CBF}" name="Column8120" dataDxfId="8234"/>
    <tableColumn id="8169" xr3:uid="{37759511-C390-41F8-88C9-8CFC78B2E16C}" name="Column8121" dataDxfId="8233"/>
    <tableColumn id="8170" xr3:uid="{F27A4E30-0D60-42EE-8042-6C18D5A79336}" name="Column8122" dataDxfId="8232"/>
    <tableColumn id="8171" xr3:uid="{524EB7E7-0C6A-482D-AF52-2B55BE432F8D}" name="Column8123" dataDxfId="8231"/>
    <tableColumn id="8172" xr3:uid="{FE39DD53-D413-427B-93FC-7CBBD9B6A469}" name="Column8124" dataDxfId="8230"/>
    <tableColumn id="8173" xr3:uid="{B52974A6-6B02-4481-81F9-AEDB9BF091D4}" name="Column8125" dataDxfId="8229"/>
    <tableColumn id="8174" xr3:uid="{EDE28B85-94F1-42F0-9AEB-531D7947AB6A}" name="Column8126" dataDxfId="8228"/>
    <tableColumn id="8175" xr3:uid="{D29D55E3-F403-42DD-AF62-963D619B8449}" name="Column8127" dataDxfId="8227"/>
    <tableColumn id="8176" xr3:uid="{380343A2-B04E-41C7-A976-E006607A2B1B}" name="Column8128" dataDxfId="8226"/>
    <tableColumn id="8177" xr3:uid="{DAEEA528-4564-4CD5-9340-6D3266F58CCA}" name="Column8129" dataDxfId="8225"/>
    <tableColumn id="8178" xr3:uid="{472B46E4-F9FA-4A4F-9B4C-F33C95CC236E}" name="Column8130" dataDxfId="8224"/>
    <tableColumn id="8179" xr3:uid="{A7876DFA-901D-421E-8A3B-0A6A1E5E4414}" name="Column8131" dataDxfId="8223"/>
    <tableColumn id="8180" xr3:uid="{A6753A47-4D7B-4C73-B397-797642D8A2C1}" name="Column8132" dataDxfId="8222"/>
    <tableColumn id="8181" xr3:uid="{0C5D9AFC-950D-48D7-81CF-3B28F56F2D3D}" name="Column8133" dataDxfId="8221"/>
    <tableColumn id="8182" xr3:uid="{1FA78C5E-4937-450C-9382-C284C55F808B}" name="Column8134" dataDxfId="8220"/>
    <tableColumn id="8183" xr3:uid="{3DC8761A-139F-4A1C-B6C2-08573912217F}" name="Column8135" dataDxfId="8219"/>
    <tableColumn id="8184" xr3:uid="{F15F30E2-1487-4745-83E1-61E35613CE66}" name="Column8136" dataDxfId="8218"/>
    <tableColumn id="8185" xr3:uid="{BB96F980-3DA4-4EC8-8703-BCBC6B0AE750}" name="Column8137" dataDxfId="8217"/>
    <tableColumn id="8186" xr3:uid="{AD50978C-E4A8-4415-8576-AC2D219EDC8A}" name="Column8138" dataDxfId="8216"/>
    <tableColumn id="8187" xr3:uid="{F52C46AC-61D7-45BB-BCC4-65E60DD8DFEF}" name="Column8139" dataDxfId="8215"/>
    <tableColumn id="8188" xr3:uid="{28DCA793-B484-4489-9814-241375CADF52}" name="Column8140" dataDxfId="8214"/>
    <tableColumn id="8189" xr3:uid="{6A24E64A-FD7B-4D2E-B99F-C6F03036AD45}" name="Column8141" dataDxfId="8213"/>
    <tableColumn id="8190" xr3:uid="{DCD21530-02BA-428A-8B72-86187BE5C04B}" name="Column8142" dataDxfId="8212"/>
    <tableColumn id="8191" xr3:uid="{CE787575-44B8-4C4E-A52A-7AF0EF677518}" name="Column8143" dataDxfId="8211"/>
    <tableColumn id="8192" xr3:uid="{D5365643-0CA4-46A6-866F-472331C33D4F}" name="Column8144" dataDxfId="8210"/>
    <tableColumn id="8193" xr3:uid="{8A08E145-2953-4B72-BE99-268772E96348}" name="Column8145" dataDxfId="8209"/>
    <tableColumn id="8194" xr3:uid="{D5CD036C-ADD2-4038-A70F-4FF328C931A6}" name="Column8146" dataDxfId="8208"/>
    <tableColumn id="8195" xr3:uid="{64850908-F85C-42FF-A8DB-7BA019CFD099}" name="Column8147" dataDxfId="8207"/>
    <tableColumn id="8196" xr3:uid="{48E6B350-B97A-43D6-BD2F-A3D7DA1AC871}" name="Column8148" dataDxfId="8206"/>
    <tableColumn id="8197" xr3:uid="{DD97FACA-7799-4CF3-A269-D75166444AC4}" name="Column8149" dataDxfId="8205"/>
    <tableColumn id="8198" xr3:uid="{A8CF8D65-3EEA-47A4-89EB-2D731BADD87B}" name="Column8150" dataDxfId="8204"/>
    <tableColumn id="8199" xr3:uid="{028AB2BF-2C85-40F4-A335-4FAAEE5EF03B}" name="Column8151" dataDxfId="8203"/>
    <tableColumn id="8200" xr3:uid="{CB0072DB-C1B3-4A00-80BF-492165D27D3F}" name="Column8152" dataDxfId="8202"/>
    <tableColumn id="8201" xr3:uid="{245E0159-ADC7-4445-ABB0-6597F4320ED4}" name="Column8153" dataDxfId="8201"/>
    <tableColumn id="8202" xr3:uid="{3A5FE2AF-A81C-4F02-8FF8-EEF29202C81F}" name="Column8154" dataDxfId="8200"/>
    <tableColumn id="8203" xr3:uid="{E60DFFB6-2A3D-4B51-852F-7735126D06CA}" name="Column8155" dataDxfId="8199"/>
    <tableColumn id="8204" xr3:uid="{868573C2-6014-4233-AB03-AF9CDCD46B40}" name="Column8156" dataDxfId="8198"/>
    <tableColumn id="8205" xr3:uid="{EAD1234E-51A6-4C07-8ADB-9E5BB94B612C}" name="Column8157" dataDxfId="8197"/>
    <tableColumn id="8206" xr3:uid="{CC1A675E-F552-4CD6-9330-56CB24FC80F3}" name="Column8158" dataDxfId="8196"/>
    <tableColumn id="8207" xr3:uid="{ABE9BB42-3D4F-4D71-88EA-B29778C12EA5}" name="Column8159" dataDxfId="8195"/>
    <tableColumn id="8208" xr3:uid="{D1888B5A-EA87-42BB-93C5-66D0127AB5BA}" name="Column8160" dataDxfId="8194"/>
    <tableColumn id="8209" xr3:uid="{51786222-53B5-4595-8A98-A72579BA9B50}" name="Column8161" dataDxfId="8193"/>
    <tableColumn id="8210" xr3:uid="{BFF3EA94-C1DF-481E-9ECB-1912DCC01DCE}" name="Column8162" dataDxfId="8192"/>
    <tableColumn id="8211" xr3:uid="{AC786352-A871-4BAE-955A-86734DB9CE95}" name="Column8163" dataDxfId="8191"/>
    <tableColumn id="8212" xr3:uid="{218D2D1F-2503-4FF5-8DCE-45C765646598}" name="Column8164" dataDxfId="8190"/>
    <tableColumn id="8213" xr3:uid="{C978D0C3-9EBB-4B7C-AE04-08C77BA2CBDD}" name="Column8165" dataDxfId="8189"/>
    <tableColumn id="8214" xr3:uid="{63B2FB1F-4567-4EC8-B7E5-96CD848477A4}" name="Column8166" dataDxfId="8188"/>
    <tableColumn id="8215" xr3:uid="{7E1B266A-CB0C-4174-BF5E-74F0E70F4B6F}" name="Column8167" dataDxfId="8187"/>
    <tableColumn id="8216" xr3:uid="{9CED906D-8734-4569-9884-02398A0F0B59}" name="Column8168" dataDxfId="8186"/>
    <tableColumn id="8217" xr3:uid="{3BC38A6D-D891-4F8A-B162-4BA4EE01743E}" name="Column8169" dataDxfId="8185"/>
    <tableColumn id="8218" xr3:uid="{28E924E1-2D10-491E-AE6F-7353C8AE3D84}" name="Column8170" dataDxfId="8184"/>
    <tableColumn id="8219" xr3:uid="{2B9C6B4F-77B7-4B20-8795-11A5838390B1}" name="Column8171" dataDxfId="8183"/>
    <tableColumn id="8220" xr3:uid="{B2E828DD-325D-46D8-BA34-0D750023A70A}" name="Column8172" dataDxfId="8182"/>
    <tableColumn id="8221" xr3:uid="{AE2757FC-F213-4759-AAB6-D501BE6FBE40}" name="Column8173" dataDxfId="8181"/>
    <tableColumn id="8222" xr3:uid="{E43D5262-F77E-458A-82CC-12D57F860FE9}" name="Column8174" dataDxfId="8180"/>
    <tableColumn id="8223" xr3:uid="{BDAE2F9C-38DC-426F-8AC1-9DE9FD4ABD80}" name="Column8175" dataDxfId="8179"/>
    <tableColumn id="8224" xr3:uid="{71030797-1078-4F5B-B02A-5499BEBABEE6}" name="Column8176" dataDxfId="8178"/>
    <tableColumn id="8225" xr3:uid="{B6DD540E-E6A2-4F6A-B02D-DA3C26B664A9}" name="Column8177" dataDxfId="8177"/>
    <tableColumn id="8226" xr3:uid="{47CE5447-09EE-4210-BE2A-4AAFA116D829}" name="Column8178" dataDxfId="8176"/>
    <tableColumn id="8227" xr3:uid="{9B27C1E0-F55B-4150-BF23-E2DBB763B5BF}" name="Column8179" dataDxfId="8175"/>
    <tableColumn id="8228" xr3:uid="{39FF402D-5C4A-4D56-B64B-F25BF025744A}" name="Column8180" dataDxfId="8174"/>
    <tableColumn id="8229" xr3:uid="{4247B85C-387C-4579-A7CB-78CB175E13BA}" name="Column8181" dataDxfId="8173"/>
    <tableColumn id="8230" xr3:uid="{872C8D34-C8D7-492C-9394-F071F527420C}" name="Column8182" dataDxfId="8172"/>
    <tableColumn id="8231" xr3:uid="{2A536647-24BB-4C21-A4F3-C8C45701A7E6}" name="Column8183" dataDxfId="8171"/>
    <tableColumn id="8232" xr3:uid="{ADD116AA-EA7D-468C-8B06-4A0315EF9F78}" name="Column8184" dataDxfId="8170"/>
    <tableColumn id="8233" xr3:uid="{08AF61A5-149E-4857-B2FF-C6989F208744}" name="Column8185" dataDxfId="8169"/>
    <tableColumn id="8234" xr3:uid="{8E35B29F-4399-4C29-A326-A087D205BAC7}" name="Column8186" dataDxfId="8168"/>
    <tableColumn id="8235" xr3:uid="{F3ADFDBD-D5B9-448B-82AF-72F383CFE2AB}" name="Column8187" dataDxfId="8167"/>
    <tableColumn id="8236" xr3:uid="{46A4DB7F-A155-461C-921E-94581188A2EA}" name="Column8188" dataDxfId="8166"/>
    <tableColumn id="8237" xr3:uid="{598A2DA4-26EC-41A3-881F-7AC4C654C7CE}" name="Column8189" dataDxfId="8165"/>
    <tableColumn id="8238" xr3:uid="{9A572BFE-89AA-4236-B1F5-328D595D28E1}" name="Column8190" dataDxfId="8164"/>
    <tableColumn id="8239" xr3:uid="{A9CF5E65-844D-48AC-BD27-6A118B498841}" name="Column8191" dataDxfId="8163"/>
    <tableColumn id="8240" xr3:uid="{C3F2EA3C-01BF-4165-A171-52D2CC69B579}" name="Column8192" dataDxfId="8162"/>
    <tableColumn id="8241" xr3:uid="{8F7DF41B-E794-44CF-9D37-57B7A2B68325}" name="Column8193" dataDxfId="8161"/>
    <tableColumn id="8242" xr3:uid="{19A6C10F-0072-487C-A9BB-AA8AB7C262CC}" name="Column8194" dataDxfId="8160"/>
    <tableColumn id="8243" xr3:uid="{107F5EF1-97AC-4CFE-921B-059E43049D12}" name="Column8195" dataDxfId="8159"/>
    <tableColumn id="8244" xr3:uid="{E67FCC4A-FDB7-4C14-8951-0EC22E0A609A}" name="Column8196" dataDxfId="8158"/>
    <tableColumn id="8245" xr3:uid="{FC7E2863-52C2-4CF3-88E3-63E26D1EC1A3}" name="Column8197" dataDxfId="8157"/>
    <tableColumn id="8246" xr3:uid="{C877B059-FB47-40E0-AACE-3C949FABF429}" name="Column8198" dataDxfId="8156"/>
    <tableColumn id="8247" xr3:uid="{293E264F-9E74-4A39-B7A0-1957E62A1E6C}" name="Column8199" dataDxfId="8155"/>
    <tableColumn id="8248" xr3:uid="{1D9E8B3A-A750-42DA-9C82-964D35BBC786}" name="Column8200" dataDxfId="8154"/>
    <tableColumn id="8249" xr3:uid="{BA2C3C4F-DD6F-4EE9-ADB7-E4F20FBE0BD3}" name="Column8201" dataDxfId="8153"/>
    <tableColumn id="8250" xr3:uid="{936E0666-B116-4946-A824-AB67315EF29E}" name="Column8202" dataDxfId="8152"/>
    <tableColumn id="8251" xr3:uid="{2D1FD84B-BE32-41B4-8BE0-B9E906433076}" name="Column8203" dataDxfId="8151"/>
    <tableColumn id="8252" xr3:uid="{2B9E54C4-6019-4AF2-9B90-53AEDB80C211}" name="Column8204" dataDxfId="8150"/>
    <tableColumn id="8253" xr3:uid="{EB528CB6-608A-4008-A7BF-FF8994685159}" name="Column8205" dataDxfId="8149"/>
    <tableColumn id="8254" xr3:uid="{A0A337E2-696F-4239-8B91-24C33F937404}" name="Column8206" dataDxfId="8148"/>
    <tableColumn id="8255" xr3:uid="{2FE5B97E-41F9-4AB2-963C-A58C5BD81DC5}" name="Column8207" dataDxfId="8147"/>
    <tableColumn id="8256" xr3:uid="{18B599BC-B0E2-4AAE-98C2-4F21B91F1C05}" name="Column8208" dataDxfId="8146"/>
    <tableColumn id="8257" xr3:uid="{BB6A2D37-E923-405A-8692-76F334001D44}" name="Column8209" dataDxfId="8145"/>
    <tableColumn id="8258" xr3:uid="{0C276822-F8E9-4E81-8EF7-5EE1EF53E525}" name="Column8210" dataDxfId="8144"/>
    <tableColumn id="8259" xr3:uid="{08067F14-A5A7-49B9-86B0-3C328B584000}" name="Column8211" dataDxfId="8143"/>
    <tableColumn id="8260" xr3:uid="{AFABF696-3ECD-467A-9DA5-F9327D33B4DC}" name="Column8212" dataDxfId="8142"/>
    <tableColumn id="8261" xr3:uid="{E1A22C2B-1184-428A-B0B0-68FCEABE151C}" name="Column8213" dataDxfId="8141"/>
    <tableColumn id="8262" xr3:uid="{5ADC5A70-95D4-4C72-BE27-C27E3F395F45}" name="Column8214" dataDxfId="8140"/>
    <tableColumn id="8263" xr3:uid="{DD2CA239-FD79-4123-9B8A-F381D0416DC4}" name="Column8215" dataDxfId="8139"/>
    <tableColumn id="8264" xr3:uid="{E6B3D811-E059-4E4D-8A3A-9CD1E347897A}" name="Column8216" dataDxfId="8138"/>
    <tableColumn id="8265" xr3:uid="{EA095445-AE59-44F9-9BF0-E8DF6CEC3DE9}" name="Column8217" dataDxfId="8137"/>
    <tableColumn id="8266" xr3:uid="{75891D3F-FF9E-410E-828D-C14FCC501A67}" name="Column8218" dataDxfId="8136"/>
    <tableColumn id="8267" xr3:uid="{42050917-263D-4827-8A64-878B9F34F374}" name="Column8219" dataDxfId="8135"/>
    <tableColumn id="8268" xr3:uid="{6B56484B-18CA-4C8F-B4B4-007FF8BDD6A8}" name="Column8220" dataDxfId="8134"/>
    <tableColumn id="8269" xr3:uid="{1AA88CA6-FAB0-4A4A-9CFC-3C4F15CCD04B}" name="Column8221" dataDxfId="8133"/>
    <tableColumn id="8270" xr3:uid="{AF4B5778-B6D0-4BAF-B6D6-B1846BD10BF3}" name="Column8222" dataDxfId="8132"/>
    <tableColumn id="8271" xr3:uid="{3576471B-11B0-4462-B7A4-48159A577D4D}" name="Column8223" dataDxfId="8131"/>
    <tableColumn id="8272" xr3:uid="{6332B39C-C0DC-41B6-BF48-A7FF432A40CD}" name="Column8224" dataDxfId="8130"/>
    <tableColumn id="8273" xr3:uid="{FB8BFB46-B5CE-415E-B4EC-61E0E5BC736E}" name="Column8225" dataDxfId="8129"/>
    <tableColumn id="8274" xr3:uid="{04E8A4DE-EB91-4CA1-9C95-4BBB10A149DE}" name="Column8226" dataDxfId="8128"/>
    <tableColumn id="8275" xr3:uid="{5A533690-91DF-458B-AA58-336572F6177F}" name="Column8227" dataDxfId="8127"/>
    <tableColumn id="8276" xr3:uid="{A51BBF72-D9CE-4DFF-9172-6325D6963076}" name="Column8228" dataDxfId="8126"/>
    <tableColumn id="8277" xr3:uid="{60B20866-0307-4791-855A-AB54A1815DC3}" name="Column8229" dataDxfId="8125"/>
    <tableColumn id="8278" xr3:uid="{F8F3AC2C-3BC3-4047-945A-3B4C661BB2FD}" name="Column8230" dataDxfId="8124"/>
    <tableColumn id="8279" xr3:uid="{71E6BA4E-4EF9-4597-9CC9-A5CD7E4FD0FA}" name="Column8231" dataDxfId="8123"/>
    <tableColumn id="8280" xr3:uid="{8C664633-EA2F-494D-AB1A-0ED1EC17A79D}" name="Column8232" dataDxfId="8122"/>
    <tableColumn id="8281" xr3:uid="{470DB27E-7CAB-459E-9E80-6644F301746A}" name="Column8233" dataDxfId="8121"/>
    <tableColumn id="8282" xr3:uid="{E4E39E24-B1C9-4FB1-B30E-3D86502A7207}" name="Column8234" dataDxfId="8120"/>
    <tableColumn id="8283" xr3:uid="{947A2B48-C623-401C-9FC2-EC37874CCBFE}" name="Column8235" dataDxfId="8119"/>
    <tableColumn id="8284" xr3:uid="{2CB6D356-8357-4525-A705-EF8BE458363F}" name="Column8236" dataDxfId="8118"/>
    <tableColumn id="8285" xr3:uid="{8FD7FC23-E873-47B6-81B8-ACB6C197466B}" name="Column8237" dataDxfId="8117"/>
    <tableColumn id="8286" xr3:uid="{A5CF4CE9-DBCE-49F7-8F84-2147B7896F83}" name="Column8238" dataDxfId="8116"/>
    <tableColumn id="8287" xr3:uid="{8E3BFB04-661A-4FC0-AAD2-BA14CBE8D48A}" name="Column8239" dataDxfId="8115"/>
    <tableColumn id="8288" xr3:uid="{955695DD-DE50-4D5A-B1AB-CABBF4F3FE39}" name="Column8240" dataDxfId="8114"/>
    <tableColumn id="8289" xr3:uid="{0F6BB221-BCDA-47D9-B30B-F7782EFFDE6E}" name="Column8241" dataDxfId="8113"/>
    <tableColumn id="8290" xr3:uid="{AEA3FDC1-B8E7-4FC0-AA61-CFB65FD55ECB}" name="Column8242" dataDxfId="8112"/>
    <tableColumn id="8291" xr3:uid="{5589936F-6F41-4529-8F57-C3D324B0ECF8}" name="Column8243" dataDxfId="8111"/>
    <tableColumn id="8292" xr3:uid="{3DE9994F-0248-47D8-A4CB-384C4435D22F}" name="Column8244" dataDxfId="8110"/>
    <tableColumn id="8293" xr3:uid="{394F95F7-5392-4B60-80A6-64D4728BF305}" name="Column8245" dataDxfId="8109"/>
    <tableColumn id="8294" xr3:uid="{88D3C8C1-8663-4BBD-B24E-BA02C35C6755}" name="Column8246" dataDxfId="8108"/>
    <tableColumn id="8295" xr3:uid="{7687063A-9721-48E7-9E7C-2C53E0B5F337}" name="Column8247" dataDxfId="8107"/>
    <tableColumn id="8296" xr3:uid="{5508BB99-2839-432E-98B0-01C6E9C42668}" name="Column8248" dataDxfId="8106"/>
    <tableColumn id="8297" xr3:uid="{1E82BE70-EC2B-45B6-B892-F21A52CCD799}" name="Column8249" dataDxfId="8105"/>
    <tableColumn id="8298" xr3:uid="{8BC32E97-84E7-4D9D-9A22-406680E01E89}" name="Column8250" dataDxfId="8104"/>
    <tableColumn id="8299" xr3:uid="{4336D321-8014-452A-B959-B8B51E9A57AB}" name="Column8251" dataDxfId="8103"/>
    <tableColumn id="8300" xr3:uid="{1092D2C3-5A9B-4D3C-AEED-B354E42FE42A}" name="Column8252" dataDxfId="8102"/>
    <tableColumn id="8301" xr3:uid="{C13B8D7C-5654-493D-8577-E874E69DF1EA}" name="Column8253" dataDxfId="8101"/>
    <tableColumn id="8302" xr3:uid="{8A91B1EC-42C2-435F-9D40-58AE3741B036}" name="Column8254" dataDxfId="8100"/>
    <tableColumn id="8303" xr3:uid="{2517D0A7-9B63-42B5-9BB2-294BF661C313}" name="Column8255" dataDxfId="8099"/>
    <tableColumn id="8304" xr3:uid="{31449F03-BDA9-4B30-915E-BFDA0D79EE53}" name="Column8256" dataDxfId="8098"/>
    <tableColumn id="8305" xr3:uid="{7886EF41-B342-4FCA-B0EE-5BE8598111DC}" name="Column8257" dataDxfId="8097"/>
    <tableColumn id="8306" xr3:uid="{E4CF5F23-A80E-40B4-8B4A-912B2F5EF5DC}" name="Column8258" dataDxfId="8096"/>
    <tableColumn id="8307" xr3:uid="{C402EB6D-CEA3-4454-AFB2-EB6448B16E53}" name="Column8259" dataDxfId="8095"/>
    <tableColumn id="8308" xr3:uid="{471A9E58-AF04-416F-8BB9-04074C1E673B}" name="Column8260" dataDxfId="8094"/>
    <tableColumn id="8309" xr3:uid="{ACE3D72E-9621-4788-94D5-AA4C07FD6030}" name="Column8261" dataDxfId="8093"/>
    <tableColumn id="8310" xr3:uid="{7F68AAC1-2B7D-40CC-8890-6C12D2728618}" name="Column8262" dataDxfId="8092"/>
    <tableColumn id="8311" xr3:uid="{14E8309F-683A-4541-BB0D-E567C99610D1}" name="Column8263" dataDxfId="8091"/>
    <tableColumn id="8312" xr3:uid="{475D27DE-0F38-4F66-916B-24D437928529}" name="Column8264" dataDxfId="8090"/>
    <tableColumn id="8313" xr3:uid="{35BE4A66-756F-49EC-9F06-21CE460A14EA}" name="Column8265" dataDxfId="8089"/>
    <tableColumn id="8314" xr3:uid="{8CD02FBD-34E4-4274-8357-2E5EBD8D3F92}" name="Column8266" dataDxfId="8088"/>
    <tableColumn id="8315" xr3:uid="{85D7045D-F68E-4911-B50F-7549CAFE40E7}" name="Column8267" dataDxfId="8087"/>
    <tableColumn id="8316" xr3:uid="{DDF9FD2A-F5D3-4D11-8BC1-0703EBEFE8CD}" name="Column8268" dataDxfId="8086"/>
    <tableColumn id="8317" xr3:uid="{0317EEBF-BBBB-4A97-8D23-0B9C22627A82}" name="Column8269" dataDxfId="8085"/>
    <tableColumn id="8318" xr3:uid="{C168CFDC-64A0-4490-9CC9-81F2448604C4}" name="Column8270" dataDxfId="8084"/>
    <tableColumn id="8319" xr3:uid="{27056287-7D2E-4B36-9EEE-E6BC0C3897B7}" name="Column8271" dataDxfId="8083"/>
    <tableColumn id="8320" xr3:uid="{B2F56628-DE72-49AE-A7E2-978F3D0363FE}" name="Column8272" dataDxfId="8082"/>
    <tableColumn id="8321" xr3:uid="{5C1A813C-9936-498E-BB0D-412A876B7EF6}" name="Column8273" dataDxfId="8081"/>
    <tableColumn id="8322" xr3:uid="{928614A8-B66E-4CF5-A67D-203DEFEC02D7}" name="Column8274" dataDxfId="8080"/>
    <tableColumn id="8323" xr3:uid="{37B2ECE7-DAC3-45E8-B719-75A6606BDD74}" name="Column8275" dataDxfId="8079"/>
    <tableColumn id="8324" xr3:uid="{AA25BACC-5A09-486D-9B1F-B6505025F0DB}" name="Column8276" dataDxfId="8078"/>
    <tableColumn id="8325" xr3:uid="{B58F8B4A-3768-4363-9E85-77157D6B933E}" name="Column8277" dataDxfId="8077"/>
    <tableColumn id="8326" xr3:uid="{FB9FCE97-44FC-4C02-8ECC-A736E96BAC92}" name="Column8278" dataDxfId="8076"/>
    <tableColumn id="8327" xr3:uid="{318B2FFD-112C-4DA2-8F58-9B10B0380F6C}" name="Column8279" dataDxfId="8075"/>
    <tableColumn id="8328" xr3:uid="{0C1EE5F5-D81D-4662-98EA-714076B6DFDA}" name="Column8280" dataDxfId="8074"/>
    <tableColumn id="8329" xr3:uid="{B551D885-9297-4042-ABB5-5A41B77FA7F0}" name="Column8281" dataDxfId="8073"/>
    <tableColumn id="8330" xr3:uid="{6E58B9D5-50D3-4621-B8E8-DF7E705390A4}" name="Column8282" dataDxfId="8072"/>
    <tableColumn id="8331" xr3:uid="{D6603F08-98CD-496C-B904-7CADF677AC5D}" name="Column8283" dataDxfId="8071"/>
    <tableColumn id="8332" xr3:uid="{068ECEE4-7C54-4864-A763-C1A20857F61C}" name="Column8284" dataDxfId="8070"/>
    <tableColumn id="8333" xr3:uid="{D014F15E-4415-4F9A-AF8D-70EC90A37C07}" name="Column8285" dataDxfId="8069"/>
    <tableColumn id="8334" xr3:uid="{66D45E66-CC2D-49B0-B824-7FC7AE9FBC06}" name="Column8286" dataDxfId="8068"/>
    <tableColumn id="8335" xr3:uid="{996A8B08-17F4-4A4C-BAD8-B595520223DB}" name="Column8287" dataDxfId="8067"/>
    <tableColumn id="8336" xr3:uid="{9C56A535-5CAD-46F0-8354-A6E526E34FFB}" name="Column8288" dataDxfId="8066"/>
    <tableColumn id="8337" xr3:uid="{1600EC9F-5866-4BFE-B4A9-4CA65C5BF1FB}" name="Column8289" dataDxfId="8065"/>
    <tableColumn id="8338" xr3:uid="{E44A0B67-26DA-45D0-ACAB-8315710F14B4}" name="Column8290" dataDxfId="8064"/>
    <tableColumn id="8339" xr3:uid="{A5B7965E-1906-4E5B-ADD6-A53FDB15FD50}" name="Column8291" dataDxfId="8063"/>
    <tableColumn id="8340" xr3:uid="{E1E5A699-9638-4421-94B4-13A84F8FC576}" name="Column8292" dataDxfId="8062"/>
    <tableColumn id="8341" xr3:uid="{165CA025-4931-4105-BE24-CF89D4763A22}" name="Column8293" dataDxfId="8061"/>
    <tableColumn id="8342" xr3:uid="{6CE3B559-57E2-4CEB-9A17-BEF0B4FE1E98}" name="Column8294" dataDxfId="8060"/>
    <tableColumn id="8343" xr3:uid="{8472FF0E-25A0-40A8-A4BE-07497D12682E}" name="Column8295" dataDxfId="8059"/>
    <tableColumn id="8344" xr3:uid="{34A0014A-0718-42A5-9FD4-9081E0ACE00C}" name="Column8296" dataDxfId="8058"/>
    <tableColumn id="8345" xr3:uid="{9D747644-151D-4586-A8A1-0817C2571325}" name="Column8297" dataDxfId="8057"/>
    <tableColumn id="8346" xr3:uid="{7123DE6D-C9EE-4852-ABA5-0CA24D482993}" name="Column8298" dataDxfId="8056"/>
    <tableColumn id="8347" xr3:uid="{8717D596-54F7-4594-AB9D-E5E9472E5A66}" name="Column8299" dataDxfId="8055"/>
    <tableColumn id="8348" xr3:uid="{04C60EFF-F21F-4705-B304-BB71DE66F1D5}" name="Column8300" dataDxfId="8054"/>
    <tableColumn id="8349" xr3:uid="{DB4031CB-609B-4509-BDBC-27C18170869B}" name="Column8301" dataDxfId="8053"/>
    <tableColumn id="8350" xr3:uid="{4320C9C9-F1D0-4168-B40F-D8BFDE849E1D}" name="Column8302" dataDxfId="8052"/>
    <tableColumn id="8351" xr3:uid="{01F44546-B52E-44D9-9B52-102B7D3FE32B}" name="Column8303" dataDxfId="8051"/>
    <tableColumn id="8352" xr3:uid="{D1FBBCA2-7D45-40AA-95B9-47AC0C11A8AF}" name="Column8304" dataDxfId="8050"/>
    <tableColumn id="8353" xr3:uid="{513A817E-AE13-48B2-AC54-BC05155E2E7D}" name="Column8305" dataDxfId="8049"/>
    <tableColumn id="8354" xr3:uid="{6C9130C1-FA7F-43FF-84F1-D5012830E197}" name="Column8306" dataDxfId="8048"/>
    <tableColumn id="8355" xr3:uid="{D3A605BE-F342-40AC-BC94-FE8965B03E6B}" name="Column8307" dataDxfId="8047"/>
    <tableColumn id="8356" xr3:uid="{2A5312D5-8B95-4A9D-A840-892D79BCFD30}" name="Column8308" dataDxfId="8046"/>
    <tableColumn id="8357" xr3:uid="{202CF5DE-B686-47D7-9F69-04975B11A00C}" name="Column8309" dataDxfId="8045"/>
    <tableColumn id="8358" xr3:uid="{30FF0FE0-584C-4C8A-8A1A-2A80CEEFC744}" name="Column8310" dataDxfId="8044"/>
    <tableColumn id="8359" xr3:uid="{A48C893E-58A7-4374-9F02-792596C9F352}" name="Column8311" dataDxfId="8043"/>
    <tableColumn id="8360" xr3:uid="{E94CB955-C5A3-4480-9606-5710FD4DF812}" name="Column8312" dataDxfId="8042"/>
    <tableColumn id="8361" xr3:uid="{C893BF50-744B-4A25-9C89-D797410F3646}" name="Column8313" dataDxfId="8041"/>
    <tableColumn id="8362" xr3:uid="{A73521D5-BEAB-47D5-B237-4678F889CE85}" name="Column8314" dataDxfId="8040"/>
    <tableColumn id="8363" xr3:uid="{17CF23A3-BE73-4E16-A3F0-D1E6493CD560}" name="Column8315" dataDxfId="8039"/>
    <tableColumn id="8364" xr3:uid="{1F27EEB7-067E-4007-AA6F-86C5C89267E2}" name="Column8316" dataDxfId="8038"/>
    <tableColumn id="8365" xr3:uid="{4B2D2076-4702-4CF8-B992-75998B7B8322}" name="Column8317" dataDxfId="8037"/>
    <tableColumn id="8366" xr3:uid="{0DCD9C95-A1A5-4A7F-BE85-2747D2E5F0E2}" name="Column8318" dataDxfId="8036"/>
    <tableColumn id="8367" xr3:uid="{8251685A-CCE8-46FE-971D-3549F611FD92}" name="Column8319" dataDxfId="8035"/>
    <tableColumn id="8368" xr3:uid="{50742AEC-06D7-4BC8-8E1E-FBFBDF5C49C3}" name="Column8320" dataDxfId="8034"/>
    <tableColumn id="8369" xr3:uid="{1D496BDD-4D6A-4B18-8183-DE8EF58AD80C}" name="Column8321" dataDxfId="8033"/>
    <tableColumn id="8370" xr3:uid="{C1224CD9-A273-4B33-AB60-89521A330BC1}" name="Column8322" dataDxfId="8032"/>
    <tableColumn id="8371" xr3:uid="{76BD921C-EF70-4A89-8446-DCAD5F32FED0}" name="Column8323" dataDxfId="8031"/>
    <tableColumn id="8372" xr3:uid="{ABFD3E9F-61B6-4992-8BAE-7ECACF7E994B}" name="Column8324" dataDxfId="8030"/>
    <tableColumn id="8373" xr3:uid="{2955A2FE-D3A8-4FC8-B185-1A57B8C2E04B}" name="Column8325" dataDxfId="8029"/>
    <tableColumn id="8374" xr3:uid="{DB78F7E2-591A-4CD0-9307-604AD467E2ED}" name="Column8326" dataDxfId="8028"/>
    <tableColumn id="8375" xr3:uid="{C259765A-58B4-4034-AD7B-01C1C5E807D4}" name="Column8327" dataDxfId="8027"/>
    <tableColumn id="8376" xr3:uid="{896E9729-9AFA-41DB-AC7E-9EF3188664EE}" name="Column8328" dataDxfId="8026"/>
    <tableColumn id="8377" xr3:uid="{4AB90AE5-29DF-4D53-A1D0-B84D8A9B5CC9}" name="Column8329" dataDxfId="8025"/>
    <tableColumn id="8378" xr3:uid="{45A58895-5DE7-460F-AE17-E7C2FD40FF1E}" name="Column8330" dataDxfId="8024"/>
    <tableColumn id="8379" xr3:uid="{AC0C5AD4-F633-4197-9990-556859A0DE46}" name="Column8331" dataDxfId="8023"/>
    <tableColumn id="8380" xr3:uid="{FCB07ED5-C309-40CF-95B4-CA3FCD0E4864}" name="Column8332" dataDxfId="8022"/>
    <tableColumn id="8381" xr3:uid="{74DC35C9-2724-42C2-AA56-81CE411C3008}" name="Column8333" dataDxfId="8021"/>
    <tableColumn id="8382" xr3:uid="{DF20AA93-32C0-4774-A094-58071DDFD25F}" name="Column8334" dataDxfId="8020"/>
    <tableColumn id="8383" xr3:uid="{EE4A845E-40B5-4073-A745-DEE11C35E7A4}" name="Column8335" dataDxfId="8019"/>
    <tableColumn id="8384" xr3:uid="{B51B8147-BCDA-46B7-A6F9-40B4B6AFA767}" name="Column8336" dataDxfId="8018"/>
    <tableColumn id="8385" xr3:uid="{6C8E784C-EFD7-45D4-AB68-2E6FC836EDFF}" name="Column8337" dataDxfId="8017"/>
    <tableColumn id="8386" xr3:uid="{DB86F853-6137-42F3-8253-FE4BA52ED465}" name="Column8338" dataDxfId="8016"/>
    <tableColumn id="8387" xr3:uid="{164D19E3-6FE1-44B9-B846-91ECC06DFE0B}" name="Column8339" dataDxfId="8015"/>
    <tableColumn id="8388" xr3:uid="{6E14699B-3E61-45CA-8143-CB4B40760BDC}" name="Column8340" dataDxfId="8014"/>
    <tableColumn id="8389" xr3:uid="{22EAF22F-D5C7-4F70-8952-73AAC40A4C86}" name="Column8341" dataDxfId="8013"/>
    <tableColumn id="8390" xr3:uid="{0CC91BD1-EED0-4122-B210-6EAEE1ECCE01}" name="Column8342" dataDxfId="8012"/>
    <tableColumn id="8391" xr3:uid="{071247C9-228F-4D6B-AB78-97CB6FAD1006}" name="Column8343" dataDxfId="8011"/>
    <tableColumn id="8392" xr3:uid="{42F16558-FC15-4675-BC87-48F205A209B9}" name="Column8344" dataDxfId="8010"/>
    <tableColumn id="8393" xr3:uid="{0325790F-617E-41D4-8A7C-415DE060498F}" name="Column8345" dataDxfId="8009"/>
    <tableColumn id="8394" xr3:uid="{5E065339-6244-46F9-B6EB-20A60DA1C895}" name="Column8346" dataDxfId="8008"/>
    <tableColumn id="8395" xr3:uid="{30925985-5F83-47F5-843C-ED55D98567E6}" name="Column8347" dataDxfId="8007"/>
    <tableColumn id="8396" xr3:uid="{9445C6BC-9DA1-4686-B474-3589A81BC014}" name="Column8348" dataDxfId="8006"/>
    <tableColumn id="8397" xr3:uid="{3803F46F-BA3C-4275-9768-4362804A3B29}" name="Column8349" dataDxfId="8005"/>
    <tableColumn id="8398" xr3:uid="{FF3946DA-B46F-41E3-914A-AAC7DA4C45D9}" name="Column8350" dataDxfId="8004"/>
    <tableColumn id="8399" xr3:uid="{E1AAD636-4A56-45FF-9B4A-763A2C7FB80B}" name="Column8351" dataDxfId="8003"/>
    <tableColumn id="8400" xr3:uid="{B29CDE38-44CE-4601-8E6D-60727099CCA0}" name="Column8352" dataDxfId="8002"/>
    <tableColumn id="8401" xr3:uid="{3BDC7A37-2C55-484C-852E-6DD51C3255F2}" name="Column8353" dataDxfId="8001"/>
    <tableColumn id="8402" xr3:uid="{AF99B74A-7F03-46DB-86B0-A325C0CFAE29}" name="Column8354" dataDxfId="8000"/>
    <tableColumn id="8403" xr3:uid="{46E509FD-F2C7-4B44-B3C4-FE977249E83C}" name="Column8355" dataDxfId="7999"/>
    <tableColumn id="8404" xr3:uid="{B963D17E-62FF-4E68-8363-FCEB76220616}" name="Column8356" dataDxfId="7998"/>
    <tableColumn id="8405" xr3:uid="{D8FDD249-FD5B-478F-B995-E66CB8FDB1CE}" name="Column8357" dataDxfId="7997"/>
    <tableColumn id="8406" xr3:uid="{234C8999-7D1D-4F1C-9E4D-F2BC77AA265B}" name="Column8358" dataDxfId="7996"/>
    <tableColumn id="8407" xr3:uid="{4FA39402-CEE4-4B03-9153-B1AA325DE36A}" name="Column8359" dataDxfId="7995"/>
    <tableColumn id="8408" xr3:uid="{CE3F81D1-AA72-4935-AA4C-26ADBA432B9F}" name="Column8360" dataDxfId="7994"/>
    <tableColumn id="8409" xr3:uid="{F2C40717-EEA7-4DCA-830C-79A525DB387B}" name="Column8361" dataDxfId="7993"/>
    <tableColumn id="8410" xr3:uid="{75902FD4-2CD4-4C54-9D3B-513E26AAA134}" name="Column8362" dataDxfId="7992"/>
    <tableColumn id="8411" xr3:uid="{D17CA6B0-23F8-4EF5-BAD5-3DC889F6BBA6}" name="Column8363" dataDxfId="7991"/>
    <tableColumn id="8412" xr3:uid="{CBABE094-1944-49CE-B5AD-EB2223917F2C}" name="Column8364" dataDxfId="7990"/>
    <tableColumn id="8413" xr3:uid="{ADD21ACE-F065-417D-8854-B750E65B70D8}" name="Column8365" dataDxfId="7989"/>
    <tableColumn id="8414" xr3:uid="{A9098E1D-E596-4B7A-A00B-C93ECDD805AC}" name="Column8366" dataDxfId="7988"/>
    <tableColumn id="8415" xr3:uid="{D14420A5-CEBB-4C81-A03B-681F8945686A}" name="Column8367" dataDxfId="7987"/>
    <tableColumn id="8416" xr3:uid="{F8A7B297-C3F8-47F7-8003-82CAA408485F}" name="Column8368" dataDxfId="7986"/>
    <tableColumn id="8417" xr3:uid="{8A5EFF49-DFBA-41D9-AC50-25F20CBC5381}" name="Column8369" dataDxfId="7985"/>
    <tableColumn id="8418" xr3:uid="{7E5E2B6E-DF04-4183-B1D8-7615151F5A41}" name="Column8370" dataDxfId="7984"/>
    <tableColumn id="8419" xr3:uid="{3168DD6D-1530-41B8-A982-02E79A6186C5}" name="Column8371" dataDxfId="7983"/>
    <tableColumn id="8420" xr3:uid="{9656F919-65A9-4881-8CAD-52296F1772D9}" name="Column8372" dataDxfId="7982"/>
    <tableColumn id="8421" xr3:uid="{C87AED74-5DAD-4FD9-A5F1-E2E29ADAF2EC}" name="Column8373" dataDxfId="7981"/>
    <tableColumn id="8422" xr3:uid="{72080574-DFF0-4446-8F27-4F527E87E689}" name="Column8374" dataDxfId="7980"/>
    <tableColumn id="8423" xr3:uid="{22ABE5C0-687E-46F1-89A6-A1C49117FA37}" name="Column8375" dataDxfId="7979"/>
    <tableColumn id="8424" xr3:uid="{164C5700-59F2-421B-96D9-0DEEE38EED8E}" name="Column8376" dataDxfId="7978"/>
    <tableColumn id="8425" xr3:uid="{BE8433EA-D554-4443-8412-D7373CC722AF}" name="Column8377" dataDxfId="7977"/>
    <tableColumn id="8426" xr3:uid="{3F514444-FFB2-4035-A980-76F3C8AC7C51}" name="Column8378" dataDxfId="7976"/>
    <tableColumn id="8427" xr3:uid="{5151C56A-F813-4521-83A1-9451FDD4900B}" name="Column8379" dataDxfId="7975"/>
    <tableColumn id="8428" xr3:uid="{3AD48A64-C832-4C65-A5EE-394560DF047B}" name="Column8380" dataDxfId="7974"/>
    <tableColumn id="8429" xr3:uid="{DC501995-5CC2-4A5A-B280-4FC7A615A3FD}" name="Column8381" dataDxfId="7973"/>
    <tableColumn id="8430" xr3:uid="{7290995E-514B-4428-8EA7-1A4BF0A4ACA8}" name="Column8382" dataDxfId="7972"/>
    <tableColumn id="8431" xr3:uid="{6E8F496C-FC60-488A-9F00-4E1DC50DBFA2}" name="Column8383" dataDxfId="7971"/>
    <tableColumn id="8432" xr3:uid="{E2862E80-A751-475A-81AE-7BE45C4FE9F9}" name="Column8384" dataDxfId="7970"/>
    <tableColumn id="8433" xr3:uid="{F3F8E906-82CD-4BC5-9B90-380B00E24764}" name="Column8385" dataDxfId="7969"/>
    <tableColumn id="8434" xr3:uid="{09565476-26EA-49BB-97F1-42B4783A36B6}" name="Column8386" dataDxfId="7968"/>
    <tableColumn id="8435" xr3:uid="{ED2FD1DC-D8B2-4273-8CC2-9B2447DDDE18}" name="Column8387" dataDxfId="7967"/>
    <tableColumn id="8436" xr3:uid="{0F97143A-7B18-461B-A640-54DB8E09261B}" name="Column8388" dataDxfId="7966"/>
    <tableColumn id="8437" xr3:uid="{21D1EC47-FF2E-4E25-B51E-FAD936BEBCF4}" name="Column8389" dataDxfId="7965"/>
    <tableColumn id="8438" xr3:uid="{D344CBE4-B639-4826-ADBD-FE4CACB77F22}" name="Column8390" dataDxfId="7964"/>
    <tableColumn id="8439" xr3:uid="{B08DA75C-8AC3-477B-9537-01AB90182C72}" name="Column8391" dataDxfId="7963"/>
    <tableColumn id="8440" xr3:uid="{2A433D07-9CB1-4C53-AF1A-9815B3FF4000}" name="Column8392" dataDxfId="7962"/>
    <tableColumn id="8441" xr3:uid="{4EA11231-8FDC-4CD8-9241-A982DB4C8678}" name="Column8393" dataDxfId="7961"/>
    <tableColumn id="8442" xr3:uid="{546E9A86-9FD0-4F4A-9032-8B496D407CC6}" name="Column8394" dataDxfId="7960"/>
    <tableColumn id="8443" xr3:uid="{2C1C6739-7A56-4289-ABCD-C751C21638B8}" name="Column8395" dataDxfId="7959"/>
    <tableColumn id="8444" xr3:uid="{15EB7059-39C2-475E-8D8C-4A42B22E8AB1}" name="Column8396" dataDxfId="7958"/>
    <tableColumn id="8445" xr3:uid="{6285F41E-A69F-4400-93DE-4D0A96D33AEC}" name="Column8397" dataDxfId="7957"/>
    <tableColumn id="8446" xr3:uid="{34153E8E-5C3E-456D-A508-07CC28B07254}" name="Column8398" dataDxfId="7956"/>
    <tableColumn id="8447" xr3:uid="{EE6810F9-9E3B-4658-BA0E-422698788DA2}" name="Column8399" dataDxfId="7955"/>
    <tableColumn id="8448" xr3:uid="{656E992C-AFB4-4328-849A-74D7BFD37841}" name="Column8400" dataDxfId="7954"/>
    <tableColumn id="8449" xr3:uid="{154BE422-958A-4232-BE6A-511A2C694F9F}" name="Column8401" dataDxfId="7953"/>
    <tableColumn id="8450" xr3:uid="{F13A8D7C-7252-4D9A-AC93-05193FB5CE29}" name="Column8402" dataDxfId="7952"/>
    <tableColumn id="8451" xr3:uid="{68AAB620-4F89-44EA-8929-96DFAC6B6469}" name="Column8403" dataDxfId="7951"/>
    <tableColumn id="8452" xr3:uid="{568C42F3-E1A1-42B4-81FD-F21A07F5288E}" name="Column8404" dataDxfId="7950"/>
    <tableColumn id="8453" xr3:uid="{6EBCEE1B-6B8A-4C90-BADA-95F116A8EC52}" name="Column8405" dataDxfId="7949"/>
    <tableColumn id="8454" xr3:uid="{F6E6DCFA-A232-42B3-AC76-7043BE71F390}" name="Column8406" dataDxfId="7948"/>
    <tableColumn id="8455" xr3:uid="{5BE76833-05B0-4D3A-B36D-28815B4B9766}" name="Column8407" dataDxfId="7947"/>
    <tableColumn id="8456" xr3:uid="{7BF69369-1A80-4032-92B3-84753B75AC3F}" name="Column8408" dataDxfId="7946"/>
    <tableColumn id="8457" xr3:uid="{2B834234-EFC7-4A34-B1B1-35201FE1B066}" name="Column8409" dataDxfId="7945"/>
    <tableColumn id="8458" xr3:uid="{6ABA36DA-C5DE-4E7E-81B6-93B18BBE6FFE}" name="Column8410" dataDxfId="7944"/>
    <tableColumn id="8459" xr3:uid="{2F8FE86C-33FE-4054-9BE8-8B093EB5BC77}" name="Column8411" dataDxfId="7943"/>
    <tableColumn id="8460" xr3:uid="{EE42F24A-32D2-4579-9D0A-6D31E90C2BED}" name="Column8412" dataDxfId="7942"/>
    <tableColumn id="8461" xr3:uid="{79F3FF15-4F7D-4305-ADF9-AE710708EE0D}" name="Column8413" dataDxfId="7941"/>
    <tableColumn id="8462" xr3:uid="{C8BAD17A-14DA-4E1A-9D91-18428A3A3BE2}" name="Column8414" dataDxfId="7940"/>
    <tableColumn id="8463" xr3:uid="{DD30A900-105C-4FE4-9A30-3561F8FF9932}" name="Column8415" dataDxfId="7939"/>
    <tableColumn id="8464" xr3:uid="{9D4190BE-75A3-43C3-8FA2-C5C1D1A4E333}" name="Column8416" dataDxfId="7938"/>
    <tableColumn id="8465" xr3:uid="{CB60F798-1AB0-4FF7-8079-DA80775F100D}" name="Column8417" dataDxfId="7937"/>
    <tableColumn id="8466" xr3:uid="{0008CD42-1781-42A1-BD6A-2F61D5F6458A}" name="Column8418" dataDxfId="7936"/>
    <tableColumn id="8467" xr3:uid="{1ACE3C0D-4E93-4736-B476-DF970F030C71}" name="Column8419" dataDxfId="7935"/>
    <tableColumn id="8468" xr3:uid="{4F668EEE-F59F-4054-9EDE-1BEC7F380963}" name="Column8420" dataDxfId="7934"/>
    <tableColumn id="8469" xr3:uid="{D148D4C4-057E-4978-8F0E-84DA3ECFC2AB}" name="Column8421" dataDxfId="7933"/>
    <tableColumn id="8470" xr3:uid="{4F32DC2D-B243-439E-BF6A-1A67303AFBFE}" name="Column8422" dataDxfId="7932"/>
    <tableColumn id="8471" xr3:uid="{657F2D7F-74D9-40E3-BD7E-BC438CC29707}" name="Column8423" dataDxfId="7931"/>
    <tableColumn id="8472" xr3:uid="{51BB613A-0B8B-4F4C-B6D4-6A03F758E1EB}" name="Column8424" dataDxfId="7930"/>
    <tableColumn id="8473" xr3:uid="{2C05BFEA-1E8A-4C19-A0D8-0780297899B1}" name="Column8425" dataDxfId="7929"/>
    <tableColumn id="8474" xr3:uid="{25E152E0-A7E5-46C1-92CD-921F20A64D8D}" name="Column8426" dataDxfId="7928"/>
    <tableColumn id="8475" xr3:uid="{7FD9114D-8453-48C5-98C8-57F5BBB93788}" name="Column8427" dataDxfId="7927"/>
    <tableColumn id="8476" xr3:uid="{22F32F97-BDAE-4251-929B-E71DB8447A0D}" name="Column8428" dataDxfId="7926"/>
    <tableColumn id="8477" xr3:uid="{C1A456B4-2BF4-4004-B5A7-89A1A221F841}" name="Column8429" dataDxfId="7925"/>
    <tableColumn id="8478" xr3:uid="{920F473C-FF15-4B31-9BCA-0FC163028474}" name="Column8430" dataDxfId="7924"/>
    <tableColumn id="8479" xr3:uid="{F50147D2-90CC-4260-A7E2-68990DA22D70}" name="Column8431" dataDxfId="7923"/>
    <tableColumn id="8480" xr3:uid="{0EFC37F6-D4A2-4C85-98EB-8BA0E87635F7}" name="Column8432" dataDxfId="7922"/>
    <tableColumn id="8481" xr3:uid="{E6ACA05C-57A7-44C6-B33B-16D46B610205}" name="Column8433" dataDxfId="7921"/>
    <tableColumn id="8482" xr3:uid="{DB417AC0-50FF-4F48-B4F9-DD28B541FB68}" name="Column8434" dataDxfId="7920"/>
    <tableColumn id="8483" xr3:uid="{445C9AA8-9494-47D6-912E-591976738ED7}" name="Column8435" dataDxfId="7919"/>
    <tableColumn id="8484" xr3:uid="{06208FC8-B864-4AD7-B697-B9B3D8259F37}" name="Column8436" dataDxfId="7918"/>
    <tableColumn id="8485" xr3:uid="{837A8AB4-C432-4787-AE90-40E2253A3595}" name="Column8437" dataDxfId="7917"/>
    <tableColumn id="8486" xr3:uid="{11036BFC-60CA-416A-A4FB-E1A49726EE43}" name="Column8438" dataDxfId="7916"/>
    <tableColumn id="8487" xr3:uid="{1F4DD17A-2A1B-44E5-A335-5AD4D75BBDF6}" name="Column8439" dataDxfId="7915"/>
    <tableColumn id="8488" xr3:uid="{42E29F08-94E0-4B25-ABD3-7CA361B62921}" name="Column8440" dataDxfId="7914"/>
    <tableColumn id="8489" xr3:uid="{BA3B05B0-C9E1-4980-B96C-42DD460F4B6D}" name="Column8441" dataDxfId="7913"/>
    <tableColumn id="8490" xr3:uid="{C3EC004E-3986-4D26-8716-A06C823D547E}" name="Column8442" dataDxfId="7912"/>
    <tableColumn id="8491" xr3:uid="{CB8EE77F-9685-4F67-8C80-8F866F435172}" name="Column8443" dataDxfId="7911"/>
    <tableColumn id="8492" xr3:uid="{D0F998CB-0E8B-4506-B1FF-6569E9D63878}" name="Column8444" dataDxfId="7910"/>
    <tableColumn id="8493" xr3:uid="{9D4F3FB7-3324-44A3-8AEC-49D6A249F8F5}" name="Column8445" dataDxfId="7909"/>
    <tableColumn id="8494" xr3:uid="{D8A46BF2-CF91-430D-B7D6-BC033D54A095}" name="Column8446" dataDxfId="7908"/>
    <tableColumn id="8495" xr3:uid="{E7F5BE39-1C40-4D15-82EF-2B4895154F7D}" name="Column8447" dataDxfId="7907"/>
    <tableColumn id="8496" xr3:uid="{0C9207E6-E1FA-4662-885B-1E83399CB2EA}" name="Column8448" dataDxfId="7906"/>
    <tableColumn id="8497" xr3:uid="{6A4333AC-B6B6-40D4-AB2B-EEA42CE3EC7D}" name="Column8449" dataDxfId="7905"/>
    <tableColumn id="8498" xr3:uid="{397F9F11-F2A2-407A-B22D-28251D4889B4}" name="Column8450" dataDxfId="7904"/>
    <tableColumn id="8499" xr3:uid="{6644C895-FE2F-47E5-9D65-41BE05BF1275}" name="Column8451" dataDxfId="7903"/>
    <tableColumn id="8500" xr3:uid="{57498044-EC38-4093-BEFB-AFA523DA0C20}" name="Column8452" dataDxfId="7902"/>
    <tableColumn id="8501" xr3:uid="{CA2E2E37-2824-4429-9191-7ACACA377CDD}" name="Column8453" dataDxfId="7901"/>
    <tableColumn id="8502" xr3:uid="{8671681D-5654-46FD-A638-646B00F44ADC}" name="Column8454" dataDxfId="7900"/>
    <tableColumn id="8503" xr3:uid="{F3019175-02E7-4BF9-9875-DF785D7D4E94}" name="Column8455" dataDxfId="7899"/>
    <tableColumn id="8504" xr3:uid="{CB792C89-AA98-42F9-901D-57F25F960ED6}" name="Column8456" dataDxfId="7898"/>
    <tableColumn id="8505" xr3:uid="{B459C8B4-5480-48A9-AB46-0F8280E56619}" name="Column8457" dataDxfId="7897"/>
    <tableColumn id="8506" xr3:uid="{2BC3979E-7DA6-410E-9D01-A0023219F2C8}" name="Column8458" dataDxfId="7896"/>
    <tableColumn id="8507" xr3:uid="{4CF25010-ABFF-4D97-8FA2-EC84FFC85CF2}" name="Column8459" dataDxfId="7895"/>
    <tableColumn id="8508" xr3:uid="{F063B3E4-98D7-4964-92D6-585C4D911782}" name="Column8460" dataDxfId="7894"/>
    <tableColumn id="8509" xr3:uid="{2DFA0172-236F-47E5-9AFF-4A132C921DAA}" name="Column8461" dataDxfId="7893"/>
    <tableColumn id="8510" xr3:uid="{F484417E-9375-48A9-B15D-9E71E40D4D00}" name="Column8462" dataDxfId="7892"/>
    <tableColumn id="8511" xr3:uid="{91FAD6BD-7B35-4F84-9348-90B898EB2760}" name="Column8463" dataDxfId="7891"/>
    <tableColumn id="8512" xr3:uid="{09A81D76-5233-4334-A479-A50707D6C80A}" name="Column8464" dataDxfId="7890"/>
    <tableColumn id="8513" xr3:uid="{EC522ECC-C639-41F5-8FEE-94E1C1769290}" name="Column8465" dataDxfId="7889"/>
    <tableColumn id="8514" xr3:uid="{BD5899FC-A84B-4229-BE5C-1BEA5B5F00CA}" name="Column8466" dataDxfId="7888"/>
    <tableColumn id="8515" xr3:uid="{4E7C104A-3B95-4439-8FB0-DD7AE90CC190}" name="Column8467" dataDxfId="7887"/>
    <tableColumn id="8516" xr3:uid="{02B6DF84-C6B5-462F-8A6C-B8F188B71837}" name="Column8468" dataDxfId="7886"/>
    <tableColumn id="8517" xr3:uid="{2143FF54-1146-454A-854F-0AA15458B814}" name="Column8469" dataDxfId="7885"/>
    <tableColumn id="8518" xr3:uid="{750BAB9A-D751-49CB-8FF7-3ADAC8BEC0FF}" name="Column8470" dataDxfId="7884"/>
    <tableColumn id="8519" xr3:uid="{3F286558-23B7-48F2-B240-8E63007A1ED5}" name="Column8471" dataDxfId="7883"/>
    <tableColumn id="8520" xr3:uid="{90A4EBF5-88D7-4834-8F4F-9A5270ACFBC1}" name="Column8472" dataDxfId="7882"/>
    <tableColumn id="8521" xr3:uid="{855CD732-0A18-444E-A380-47D664248553}" name="Column8473" dataDxfId="7881"/>
    <tableColumn id="8522" xr3:uid="{7C2C7990-AD40-44EB-9782-7291FDADD7E7}" name="Column8474" dataDxfId="7880"/>
    <tableColumn id="8523" xr3:uid="{B261A015-9343-40EA-A096-998E00538A5D}" name="Column8475" dataDxfId="7879"/>
    <tableColumn id="8524" xr3:uid="{98C17E1E-76CA-4913-969F-AFA2834ACAF8}" name="Column8476" dataDxfId="7878"/>
    <tableColumn id="8525" xr3:uid="{EE11C86F-0180-443F-9F6E-0C5C5460D874}" name="Column8477" dataDxfId="7877"/>
    <tableColumn id="8526" xr3:uid="{4BA26DC1-E04F-4294-AE4A-720A5F2F7253}" name="Column8478" dataDxfId="7876"/>
    <tableColumn id="8527" xr3:uid="{CB662C96-D0E7-4AB0-91BA-E9049655E350}" name="Column8479" dataDxfId="7875"/>
    <tableColumn id="8528" xr3:uid="{52738D8A-B80A-44D0-BDE6-B03CD3039C4F}" name="Column8480" dataDxfId="7874"/>
    <tableColumn id="8529" xr3:uid="{532EDBBC-4408-48EA-B73F-E91F9A7E3628}" name="Column8481" dataDxfId="7873"/>
    <tableColumn id="8530" xr3:uid="{D114A731-FFAC-432F-BE3E-327C8517EAEA}" name="Column8482" dataDxfId="7872"/>
    <tableColumn id="8531" xr3:uid="{9B223C7F-340D-49A4-9369-AD9DF2F79FB6}" name="Column8483" dataDxfId="7871"/>
    <tableColumn id="8532" xr3:uid="{ACA51CEF-B2AB-4B60-9194-8DC2EAF2C3E6}" name="Column8484" dataDxfId="7870"/>
    <tableColumn id="8533" xr3:uid="{8D1DEB21-0502-4BF3-8107-9B589ABF5B81}" name="Column8485" dataDxfId="7869"/>
    <tableColumn id="8534" xr3:uid="{913DEB36-113C-442A-8C7B-A3BBE1694078}" name="Column8486" dataDxfId="7868"/>
    <tableColumn id="8535" xr3:uid="{00FB10FC-D6EC-45DD-A966-ED1A1A9A8CAF}" name="Column8487" dataDxfId="7867"/>
    <tableColumn id="8536" xr3:uid="{F1755080-4420-4A93-B93F-1316F92EC7D9}" name="Column8488" dataDxfId="7866"/>
    <tableColumn id="8537" xr3:uid="{9C4802F5-B87E-4203-B0B3-549AA0E68B4F}" name="Column8489" dataDxfId="7865"/>
    <tableColumn id="8538" xr3:uid="{D801E227-B71A-43D0-9C09-DFCEAA69A3A3}" name="Column8490" dataDxfId="7864"/>
    <tableColumn id="8539" xr3:uid="{24BF7169-0D34-4BF0-8E26-40F120772A2B}" name="Column8491" dataDxfId="7863"/>
    <tableColumn id="8540" xr3:uid="{D4A9FEB8-5161-4409-BF37-F7F50D92FADB}" name="Column8492" dataDxfId="7862"/>
    <tableColumn id="8541" xr3:uid="{04A340B3-F840-47C4-BB55-5E5C10D8B8FB}" name="Column8493" dataDxfId="7861"/>
    <tableColumn id="8542" xr3:uid="{7FAE9B0E-ABB2-42EC-BB8A-7106B98D10C6}" name="Column8494" dataDxfId="7860"/>
    <tableColumn id="8543" xr3:uid="{199B048D-5D0E-4FE6-9CAF-21E794CAF72D}" name="Column8495" dataDxfId="7859"/>
    <tableColumn id="8544" xr3:uid="{A45F40EA-3772-47DB-BB3D-44FBF6A69527}" name="Column8496" dataDxfId="7858"/>
    <tableColumn id="8545" xr3:uid="{B4D72F4D-B0B9-419C-AAE7-FE6F5AAAE378}" name="Column8497" dataDxfId="7857"/>
    <tableColumn id="8546" xr3:uid="{D85732BC-A472-4F49-A724-237C0C996690}" name="Column8498" dataDxfId="7856"/>
    <tableColumn id="8547" xr3:uid="{CE91E1ED-BCC1-43EB-927F-E700F54AD3F3}" name="Column8499" dataDxfId="7855"/>
    <tableColumn id="8548" xr3:uid="{E0F794B1-C6BA-4FEB-980B-538EADC700FF}" name="Column8500" dataDxfId="7854"/>
    <tableColumn id="8549" xr3:uid="{D46A1319-40A1-4CA5-B010-012BCCBD3461}" name="Column8501" dataDxfId="7853"/>
    <tableColumn id="8550" xr3:uid="{E119877C-A38C-472B-B2EF-B86B7EEDB65C}" name="Column8502" dataDxfId="7852"/>
    <tableColumn id="8551" xr3:uid="{05783F4A-4BC8-4417-9E57-D49529A6028F}" name="Column8503" dataDxfId="7851"/>
    <tableColumn id="8552" xr3:uid="{C109D88B-AF83-4184-8407-2BBE23675105}" name="Column8504" dataDxfId="7850"/>
    <tableColumn id="8553" xr3:uid="{92B91B9E-E79C-4F2A-ADF6-4A4B9ECBA4AD}" name="Column8505" dataDxfId="7849"/>
    <tableColumn id="8554" xr3:uid="{61FE724E-A7BD-4A44-AA28-071EDF0ED275}" name="Column8506" dataDxfId="7848"/>
    <tableColumn id="8555" xr3:uid="{8F4EDB4C-22E4-4953-A5F4-BB1CF44833A1}" name="Column8507" dataDxfId="7847"/>
    <tableColumn id="8556" xr3:uid="{AB044605-A196-4417-90B2-A42CA91E6952}" name="Column8508" dataDxfId="7846"/>
    <tableColumn id="8557" xr3:uid="{86396C8C-E613-40E6-8AE7-9748096D9E4B}" name="Column8509" dataDxfId="7845"/>
    <tableColumn id="8558" xr3:uid="{D27D7F62-C2D7-4579-9E4A-DAAA95FA4279}" name="Column8510" dataDxfId="7844"/>
    <tableColumn id="8559" xr3:uid="{374D6AC4-02FD-4B64-95E4-0897D98A24C7}" name="Column8511" dataDxfId="7843"/>
    <tableColumn id="8560" xr3:uid="{3E84EC14-CA5F-4126-AD7C-07CE491AE3FE}" name="Column8512" dataDxfId="7842"/>
    <tableColumn id="8561" xr3:uid="{191613F5-9423-491F-A7B8-23B0B788CEFA}" name="Column8513" dataDxfId="7841"/>
    <tableColumn id="8562" xr3:uid="{F5B239A9-D267-4EEC-BC84-C502FEBD9162}" name="Column8514" dataDxfId="7840"/>
    <tableColumn id="8563" xr3:uid="{6CD0CECF-58A3-4C6C-9301-1EB9852CC9C3}" name="Column8515" dataDxfId="7839"/>
    <tableColumn id="8564" xr3:uid="{14ECE430-BEC3-43BB-9305-15D4BF7388BA}" name="Column8516" dataDxfId="7838"/>
    <tableColumn id="8565" xr3:uid="{41C2D2F0-D345-40AC-B817-146B7FC2AD49}" name="Column8517" dataDxfId="7837"/>
    <tableColumn id="8566" xr3:uid="{3124FA09-EFD3-4870-89BE-284B2B951030}" name="Column8518" dataDxfId="7836"/>
    <tableColumn id="8567" xr3:uid="{4AA79367-76DC-4726-9267-4A527AFA451B}" name="Column8519" dataDxfId="7835"/>
    <tableColumn id="8568" xr3:uid="{C64DF21C-53B3-4735-BE1F-A47711D33E76}" name="Column8520" dataDxfId="7834"/>
    <tableColumn id="8569" xr3:uid="{5FE954D9-AB99-42C4-96B4-F043B51E15E8}" name="Column8521" dataDxfId="7833"/>
    <tableColumn id="8570" xr3:uid="{26AA5350-736B-44C6-8E96-57BF7BA75818}" name="Column8522" dataDxfId="7832"/>
    <tableColumn id="8571" xr3:uid="{77C94898-40F7-4CFE-AC4B-9491AAF596A2}" name="Column8523" dataDxfId="7831"/>
    <tableColumn id="8572" xr3:uid="{EDC83457-CE40-4A88-BE56-90B8D39900F0}" name="Column8524" dataDxfId="7830"/>
    <tableColumn id="8573" xr3:uid="{6241B264-266F-4D5C-8F9B-CFB110149E5B}" name="Column8525" dataDxfId="7829"/>
    <tableColumn id="8574" xr3:uid="{06B6EB6F-83B6-4097-8EE5-07F5D1DB44B5}" name="Column8526" dataDxfId="7828"/>
    <tableColumn id="8575" xr3:uid="{D4F21E37-0C68-4EA0-8F48-A50726018EC4}" name="Column8527" dataDxfId="7827"/>
    <tableColumn id="8576" xr3:uid="{265E3E9F-A65F-48F4-8495-95EAEBC915AF}" name="Column8528" dataDxfId="7826"/>
    <tableColumn id="8577" xr3:uid="{6811D2DD-1148-426B-9BCD-54E77002A652}" name="Column8529" dataDxfId="7825"/>
    <tableColumn id="8578" xr3:uid="{E891F9B7-B85B-419E-BF48-87FAC212A8C5}" name="Column8530" dataDxfId="7824"/>
    <tableColumn id="8579" xr3:uid="{ECBD2314-C7CB-4C8C-8CBE-FDA0D5C164BB}" name="Column8531" dataDxfId="7823"/>
    <tableColumn id="8580" xr3:uid="{1F46E766-4F85-4633-829A-8D7D774F4A89}" name="Column8532" dataDxfId="7822"/>
    <tableColumn id="8581" xr3:uid="{255B1CDA-D7CE-4660-80B5-E9ED79FB05BC}" name="Column8533" dataDxfId="7821"/>
    <tableColumn id="8582" xr3:uid="{60AB6C02-0672-4643-A3AD-C128C77C854A}" name="Column8534" dataDxfId="7820"/>
    <tableColumn id="8583" xr3:uid="{A40A2AEF-5B43-40E0-8431-B06C6CCDB19D}" name="Column8535" dataDxfId="7819"/>
    <tableColumn id="8584" xr3:uid="{B2BEEB50-E24A-4C2D-8799-C6933C8E7176}" name="Column8536" dataDxfId="7818"/>
    <tableColumn id="8585" xr3:uid="{BAC11F7C-15E4-44FA-9CCA-C3F83747164E}" name="Column8537" dataDxfId="7817"/>
    <tableColumn id="8586" xr3:uid="{D4117C65-7C73-4290-9CDF-24336A293FBF}" name="Column8538" dataDxfId="7816"/>
    <tableColumn id="8587" xr3:uid="{ABD219E0-BEC2-4535-A776-FB7CB66514C9}" name="Column8539" dataDxfId="7815"/>
    <tableColumn id="8588" xr3:uid="{813F18C8-9375-4921-BE89-86603533B808}" name="Column8540" dataDxfId="7814"/>
    <tableColumn id="8589" xr3:uid="{511660F7-723A-44EC-8FBF-89DE6A388583}" name="Column8541" dataDxfId="7813"/>
    <tableColumn id="8590" xr3:uid="{6B9D93B3-8024-47B5-A9E4-F015F45CF966}" name="Column8542" dataDxfId="7812"/>
    <tableColumn id="8591" xr3:uid="{11359A5A-453A-46A0-BD85-9922CC1219FE}" name="Column8543" dataDxfId="7811"/>
    <tableColumn id="8592" xr3:uid="{0F977DD7-D45D-4EA1-817C-A0F17FAC6921}" name="Column8544" dataDxfId="7810"/>
    <tableColumn id="8593" xr3:uid="{B1E76295-58A9-47EC-8442-8BEE01EBB468}" name="Column8545" dataDxfId="7809"/>
    <tableColumn id="8594" xr3:uid="{58E72DE5-F471-4BD4-A003-9C5C56A1DCBC}" name="Column8546" dataDxfId="7808"/>
    <tableColumn id="8595" xr3:uid="{04FC6C4E-9C68-492A-B5D6-492178FDBB8F}" name="Column8547" dataDxfId="7807"/>
    <tableColumn id="8596" xr3:uid="{A547F03E-A0E9-4598-A248-4C2FC3A5C3AC}" name="Column8548" dataDxfId="7806"/>
    <tableColumn id="8597" xr3:uid="{3973C5E7-CA25-4A1C-8215-8751DAA20B96}" name="Column8549" dataDxfId="7805"/>
    <tableColumn id="8598" xr3:uid="{39115781-A345-412B-B6F6-2DC9F7F99D86}" name="Column8550" dataDxfId="7804"/>
    <tableColumn id="8599" xr3:uid="{1CB667A7-AACF-432A-B5CE-30956F5D5FAB}" name="Column8551" dataDxfId="7803"/>
    <tableColumn id="8600" xr3:uid="{3B09554C-A02E-4E1B-9F52-2455FBE5AC80}" name="Column8552" dataDxfId="7802"/>
    <tableColumn id="8601" xr3:uid="{62A62BA9-57F0-495C-A3C9-EDB4829F0938}" name="Column8553" dataDxfId="7801"/>
    <tableColumn id="8602" xr3:uid="{92831F82-2EF6-48F8-BC89-741B61EDF8F2}" name="Column8554" dataDxfId="7800"/>
    <tableColumn id="8603" xr3:uid="{7429B9F0-A272-4166-A868-48801AFFEEAA}" name="Column8555" dataDxfId="7799"/>
    <tableColumn id="8604" xr3:uid="{A52B1D58-6D1C-4BD1-BA56-B9714CEEE63B}" name="Column8556" dataDxfId="7798"/>
    <tableColumn id="8605" xr3:uid="{B1054325-606D-40A3-BAB9-BCF71D7DDD12}" name="Column8557" dataDxfId="7797"/>
    <tableColumn id="8606" xr3:uid="{41939D03-6AE6-4FEB-A926-A485FDB8B65D}" name="Column8558" dataDxfId="7796"/>
    <tableColumn id="8607" xr3:uid="{1B02DCDF-AD91-4236-B4CE-F91CDB4D82A1}" name="Column8559" dataDxfId="7795"/>
    <tableColumn id="8608" xr3:uid="{007605A9-45D6-45DE-B98F-C0E276176884}" name="Column8560" dataDxfId="7794"/>
    <tableColumn id="8609" xr3:uid="{844B7E0E-C564-4119-A41E-3B3DB01C8680}" name="Column8561" dataDxfId="7793"/>
    <tableColumn id="8610" xr3:uid="{9831D96B-85FA-4965-ADD3-02BC1C211754}" name="Column8562" dataDxfId="7792"/>
    <tableColumn id="8611" xr3:uid="{9E9D0022-338A-4FD0-A307-2F8C9FE9CD57}" name="Column8563" dataDxfId="7791"/>
    <tableColumn id="8612" xr3:uid="{5E0978CF-162E-45ED-B475-487435C19276}" name="Column8564" dataDxfId="7790"/>
    <tableColumn id="8613" xr3:uid="{08364EDF-8B0D-4E1B-9FD6-56A55E201F99}" name="Column8565" dataDxfId="7789"/>
    <tableColumn id="8614" xr3:uid="{F48B1B9F-ECF9-42E2-AC9D-2605475D6BFF}" name="Column8566" dataDxfId="7788"/>
    <tableColumn id="8615" xr3:uid="{EA949AF6-BA1A-4E72-91BB-DB3C3AA6C4E7}" name="Column8567" dataDxfId="7787"/>
    <tableColumn id="8616" xr3:uid="{5DD3FE8D-2EEF-4E9A-9D2A-EB35CCD1BE47}" name="Column8568" dataDxfId="7786"/>
    <tableColumn id="8617" xr3:uid="{B7915F13-C8D3-4712-AA50-18FCEEBCA798}" name="Column8569" dataDxfId="7785"/>
    <tableColumn id="8618" xr3:uid="{B2A9D32F-D1A3-4D60-BCAA-031BB4847FE5}" name="Column8570" dataDxfId="7784"/>
    <tableColumn id="8619" xr3:uid="{EDC52EE0-B658-43C2-A6B2-4A17892C9C6A}" name="Column8571" dataDxfId="7783"/>
    <tableColumn id="8620" xr3:uid="{220DFD3B-A162-4C67-A450-81182D45DD2E}" name="Column8572" dataDxfId="7782"/>
    <tableColumn id="8621" xr3:uid="{ED9F7987-0CAB-409E-BB33-B5569D6D59FA}" name="Column8573" dataDxfId="7781"/>
    <tableColumn id="8622" xr3:uid="{C1BCCF52-2E72-40D8-A5DF-45FE9B7F30A2}" name="Column8574" dataDxfId="7780"/>
    <tableColumn id="8623" xr3:uid="{5899D00C-C0FD-4DBA-A067-0D7B44AA4555}" name="Column8575" dataDxfId="7779"/>
    <tableColumn id="8624" xr3:uid="{F4FFAF9B-8593-4767-975A-DCBB59CFDCAC}" name="Column8576" dataDxfId="7778"/>
    <tableColumn id="8625" xr3:uid="{FF83883E-59E2-4CE1-B2A7-808C11E7E955}" name="Column8577" dataDxfId="7777"/>
    <tableColumn id="8626" xr3:uid="{5C80E91A-ED97-4669-8651-1156993E204E}" name="Column8578" dataDxfId="7776"/>
    <tableColumn id="8627" xr3:uid="{E449B506-FAAF-474C-ABB7-4A54919DAE81}" name="Column8579" dataDxfId="7775"/>
    <tableColumn id="8628" xr3:uid="{BBEB029F-E4FA-4876-9B77-9742D19A6E47}" name="Column8580" dataDxfId="7774"/>
    <tableColumn id="8629" xr3:uid="{F66268C0-AFE0-4473-8A7E-1B9DEB655820}" name="Column8581" dataDxfId="7773"/>
    <tableColumn id="8630" xr3:uid="{A2A3EEB3-F6C4-4160-B24F-26090AF43F37}" name="Column8582" dataDxfId="7772"/>
    <tableColumn id="8631" xr3:uid="{2619ADC9-8CDD-4C87-B688-4502E622BCB7}" name="Column8583" dataDxfId="7771"/>
    <tableColumn id="8632" xr3:uid="{B951EAAD-0A8F-4AAC-B859-271D5874DFD7}" name="Column8584" dataDxfId="7770"/>
    <tableColumn id="8633" xr3:uid="{2A39FA93-CC12-4656-A5AE-F3DC7F6C43DA}" name="Column8585" dataDxfId="7769"/>
    <tableColumn id="8634" xr3:uid="{143D39D3-0515-472C-8AA8-7825DD973156}" name="Column8586" dataDxfId="7768"/>
    <tableColumn id="8635" xr3:uid="{D22074AE-520E-4481-8B93-16CA826E0451}" name="Column8587" dataDxfId="7767"/>
    <tableColumn id="8636" xr3:uid="{B77AA20D-75F2-4DB0-93B5-357306C8250D}" name="Column8588" dataDxfId="7766"/>
    <tableColumn id="8637" xr3:uid="{AFE83C13-C159-469B-9EAF-083598D58329}" name="Column8589" dataDxfId="7765"/>
    <tableColumn id="8638" xr3:uid="{C7D4197F-A0C2-4141-B6B0-30CC19CC7349}" name="Column8590" dataDxfId="7764"/>
    <tableColumn id="8639" xr3:uid="{5645D5F0-E17F-4286-BED3-C07ADBAA985E}" name="Column8591" dataDxfId="7763"/>
    <tableColumn id="8640" xr3:uid="{760A5D4E-18B7-4FC8-B1A2-DF9C548C6065}" name="Column8592" dataDxfId="7762"/>
    <tableColumn id="8641" xr3:uid="{46F11347-BFD2-4BD0-BD50-7B68AA68CDD0}" name="Column8593" dataDxfId="7761"/>
    <tableColumn id="8642" xr3:uid="{FFB376E6-30DA-4A62-B88F-70ECDE29D9FD}" name="Column8594" dataDxfId="7760"/>
    <tableColumn id="8643" xr3:uid="{8CE1257C-3BB1-40CB-B3F1-62D615EAAE09}" name="Column8595" dataDxfId="7759"/>
    <tableColumn id="8644" xr3:uid="{04B93F29-DCEA-49E2-8665-CB81078345E4}" name="Column8596" dataDxfId="7758"/>
    <tableColumn id="8645" xr3:uid="{808F6E36-1E62-4E4B-A08B-BA2EB6F921CC}" name="Column8597" dataDxfId="7757"/>
    <tableColumn id="8646" xr3:uid="{8AC629D2-9EA2-46B1-9E96-D9039587DC0B}" name="Column8598" dataDxfId="7756"/>
    <tableColumn id="8647" xr3:uid="{87973B5D-9049-466B-9D63-615AD4BDF4B8}" name="Column8599" dataDxfId="7755"/>
    <tableColumn id="8648" xr3:uid="{70E6EA77-4CE6-4912-9AA6-13B361AE61F6}" name="Column8600" dataDxfId="7754"/>
    <tableColumn id="8649" xr3:uid="{D9B5C1EB-20A5-45BC-BE14-12356D9F3501}" name="Column8601" dataDxfId="7753"/>
    <tableColumn id="8650" xr3:uid="{8BBD5DD7-F8F4-4CFD-8A01-56D20E98D3AC}" name="Column8602" dataDxfId="7752"/>
    <tableColumn id="8651" xr3:uid="{5C21B5AA-7A1F-420B-9EBD-EFE3AD45D1EE}" name="Column8603" dataDxfId="7751"/>
    <tableColumn id="8652" xr3:uid="{1790EB4B-235C-4897-AFB7-7E9258A0B1A3}" name="Column8604" dataDxfId="7750"/>
    <tableColumn id="8653" xr3:uid="{962A1DEA-9187-4621-87D3-BAE19A9D37B7}" name="Column8605" dataDxfId="7749"/>
    <tableColumn id="8654" xr3:uid="{5314E7DC-DC08-4617-92CC-965E0E7A81B9}" name="Column8606" dataDxfId="7748"/>
    <tableColumn id="8655" xr3:uid="{B64B6667-E75E-47DF-86AC-5C06F47944BD}" name="Column8607" dataDxfId="7747"/>
    <tableColumn id="8656" xr3:uid="{FCD297E4-5386-4673-A6E9-44137E22371A}" name="Column8608" dataDxfId="7746"/>
    <tableColumn id="8657" xr3:uid="{E72FE914-7FA5-4BA7-8BA5-DC7A2B78690F}" name="Column8609" dataDxfId="7745"/>
    <tableColumn id="8658" xr3:uid="{BC7E0F7C-211C-4FCA-82D1-D09409BD792B}" name="Column8610" dataDxfId="7744"/>
    <tableColumn id="8659" xr3:uid="{E08C3F07-B851-4E10-8B30-B83E710D09D9}" name="Column8611" dataDxfId="7743"/>
    <tableColumn id="8660" xr3:uid="{E4129C08-8B4D-4C84-97A2-BD918E3DDE9C}" name="Column8612" dataDxfId="7742"/>
    <tableColumn id="8661" xr3:uid="{69B29C99-6E13-4625-B8E5-AD5EDE973228}" name="Column8613" dataDxfId="7741"/>
    <tableColumn id="8662" xr3:uid="{DB79D81C-9A64-407F-8B35-19685B4A7DFF}" name="Column8614" dataDxfId="7740"/>
    <tableColumn id="8663" xr3:uid="{33AD10C5-27CB-4C51-AA2D-4C6CE56C4EC0}" name="Column8615" dataDxfId="7739"/>
    <tableColumn id="8664" xr3:uid="{CE9EA456-6596-4D91-B7A8-24182D0D2C8C}" name="Column8616" dataDxfId="7738"/>
    <tableColumn id="8665" xr3:uid="{2FEEB030-485C-4FBC-B7AF-4F5B5FC8F662}" name="Column8617" dataDxfId="7737"/>
    <tableColumn id="8666" xr3:uid="{A52350BF-7F6C-45B1-9EA8-929BA6D70202}" name="Column8618" dataDxfId="7736"/>
    <tableColumn id="8667" xr3:uid="{36A25359-A03C-4CD9-BF9B-37C0E280EAA4}" name="Column8619" dataDxfId="7735"/>
    <tableColumn id="8668" xr3:uid="{EDC7CDF8-E1DD-4AB9-AACF-8A60859F5643}" name="Column8620" dataDxfId="7734"/>
    <tableColumn id="8669" xr3:uid="{3FF429BE-ACB5-44BC-99F4-1D478723653D}" name="Column8621" dataDxfId="7733"/>
    <tableColumn id="8670" xr3:uid="{6C72D880-6C52-42A4-A7D5-B0E5FF16FCA3}" name="Column8622" dataDxfId="7732"/>
    <tableColumn id="8671" xr3:uid="{DE20B785-32CD-4842-B1EE-639987BC0B68}" name="Column8623" dataDxfId="7731"/>
    <tableColumn id="8672" xr3:uid="{522E459E-4831-43A7-AB08-84BE9043720F}" name="Column8624" dataDxfId="7730"/>
    <tableColumn id="8673" xr3:uid="{FCC593C0-444F-471D-9646-0CF96421E8FB}" name="Column8625" dataDxfId="7729"/>
    <tableColumn id="8674" xr3:uid="{E880DC74-208D-43B3-AE5D-45257B19F4E3}" name="Column8626" dataDxfId="7728"/>
    <tableColumn id="8675" xr3:uid="{5C482C91-6A94-46BE-94B4-3FE18F8F146E}" name="Column8627" dataDxfId="7727"/>
    <tableColumn id="8676" xr3:uid="{E227CF74-2670-4659-A43F-1DE46A62F449}" name="Column8628" dataDxfId="7726"/>
    <tableColumn id="8677" xr3:uid="{36ED01C1-4A6F-416F-8376-41AE8E5AB432}" name="Column8629" dataDxfId="7725"/>
    <tableColumn id="8678" xr3:uid="{34018654-A99C-49AB-A28A-4A793982C0DA}" name="Column8630" dataDxfId="7724"/>
    <tableColumn id="8679" xr3:uid="{A0E525CA-C0C6-4EEB-B3E6-27CC40479057}" name="Column8631" dataDxfId="7723"/>
    <tableColumn id="8680" xr3:uid="{7B8C391D-1DA1-42F4-A47E-3740FB392B2D}" name="Column8632" dataDxfId="7722"/>
    <tableColumn id="8681" xr3:uid="{DD5B41E2-EFA9-49F7-B352-4BC5003CF6BC}" name="Column8633" dataDxfId="7721"/>
    <tableColumn id="8682" xr3:uid="{14C52559-BBFF-4AFD-87AE-812A78AC074B}" name="Column8634" dataDxfId="7720"/>
    <tableColumn id="8683" xr3:uid="{7AD1367B-C44E-4F0D-A474-BDB44F1E18D5}" name="Column8635" dataDxfId="7719"/>
    <tableColumn id="8684" xr3:uid="{F00F56B5-80B8-41B2-8D69-9435682405F7}" name="Column8636" dataDxfId="7718"/>
    <tableColumn id="8685" xr3:uid="{AA66839E-D56C-4212-A52E-92CF0E73CB47}" name="Column8637" dataDxfId="7717"/>
    <tableColumn id="8686" xr3:uid="{64BFBD69-DFAA-4E13-A061-CAB633761D16}" name="Column8638" dataDxfId="7716"/>
    <tableColumn id="8687" xr3:uid="{36D46265-178E-49CE-AF4F-20643582F306}" name="Column8639" dataDxfId="7715"/>
    <tableColumn id="8688" xr3:uid="{1FAF9E7F-1447-44E6-B3E0-6749106CBBF0}" name="Column8640" dataDxfId="7714"/>
    <tableColumn id="8689" xr3:uid="{16ED370B-3B79-4109-8189-4D5283C312F5}" name="Column8641" dataDxfId="7713"/>
    <tableColumn id="8690" xr3:uid="{BEC9F8C6-98E1-4D24-AEFC-DAD633186D03}" name="Column8642" dataDxfId="7712"/>
    <tableColumn id="8691" xr3:uid="{70543FC8-4D29-4966-85D6-C3D4F44EBC6F}" name="Column8643" dataDxfId="7711"/>
    <tableColumn id="8692" xr3:uid="{EEAE98DF-B8A9-4113-8DBE-D17FD72565B2}" name="Column8644" dataDxfId="7710"/>
    <tableColumn id="8693" xr3:uid="{58A6906C-D7A5-4C14-BAC0-A32037406417}" name="Column8645" dataDxfId="7709"/>
    <tableColumn id="8694" xr3:uid="{D76796D9-B6D9-45C1-9F51-EDAD9483A36D}" name="Column8646" dataDxfId="7708"/>
    <tableColumn id="8695" xr3:uid="{DBD727AE-B44E-403A-B863-A1BBF453F70C}" name="Column8647" dataDxfId="7707"/>
    <tableColumn id="8696" xr3:uid="{7D2718CB-4759-40EA-9AB6-D71B2C0E8981}" name="Column8648" dataDxfId="7706"/>
    <tableColumn id="8697" xr3:uid="{08953240-A8F0-4C43-A48A-F2EAA518EC7F}" name="Column8649" dataDxfId="7705"/>
    <tableColumn id="8698" xr3:uid="{945D7495-047A-4450-99F9-B1AB18D39CEA}" name="Column8650" dataDxfId="7704"/>
    <tableColumn id="8699" xr3:uid="{B43B9BAB-9FFB-4AB2-BE9C-D6D5D5B28B2B}" name="Column8651" dataDxfId="7703"/>
    <tableColumn id="8700" xr3:uid="{71854AD9-5F34-4C10-A056-94709CC5D8DE}" name="Column8652" dataDxfId="7702"/>
    <tableColumn id="8701" xr3:uid="{F7E13090-FAAE-4ABA-9A00-C8E56A8669F9}" name="Column8653" dataDxfId="7701"/>
    <tableColumn id="8702" xr3:uid="{759D21AC-BB42-45C3-8871-54CBB26C5C17}" name="Column8654" dataDxfId="7700"/>
    <tableColumn id="8703" xr3:uid="{F1CC5669-8597-465A-80FB-0952AA0F99F0}" name="Column8655" dataDxfId="7699"/>
    <tableColumn id="8704" xr3:uid="{7554CD3F-D29A-426C-A513-66A5EFF7AC6D}" name="Column8656" dataDxfId="7698"/>
    <tableColumn id="8705" xr3:uid="{9A9CFA53-08B8-4ACD-8449-A5E92DC185F9}" name="Column8657" dataDxfId="7697"/>
    <tableColumn id="8706" xr3:uid="{D054C8B0-EBFE-476A-8810-640535F9E9F1}" name="Column8658" dataDxfId="7696"/>
    <tableColumn id="8707" xr3:uid="{3D7516FE-E8E0-461B-9704-9EA5C0F14814}" name="Column8659" dataDxfId="7695"/>
    <tableColumn id="8708" xr3:uid="{A81DA2A5-FF96-4272-B61D-0957F34BAF79}" name="Column8660" dataDxfId="7694"/>
    <tableColumn id="8709" xr3:uid="{D1DF1628-098A-423C-9BC6-54F4BE98F9EC}" name="Column8661" dataDxfId="7693"/>
    <tableColumn id="8710" xr3:uid="{3C612E76-DA88-4299-90DC-6A7CDCBC6BCB}" name="Column8662" dataDxfId="7692"/>
    <tableColumn id="8711" xr3:uid="{3F3BF814-922E-49AD-AA72-EF2BBBCFBAB5}" name="Column8663" dataDxfId="7691"/>
    <tableColumn id="8712" xr3:uid="{F8BFC538-BCBA-4739-BB57-04D3BBC68A9A}" name="Column8664" dataDxfId="7690"/>
    <tableColumn id="8713" xr3:uid="{7BC79B03-B178-4BD7-A5A0-47A8128F7904}" name="Column8665" dataDxfId="7689"/>
    <tableColumn id="8714" xr3:uid="{42D6457E-33A0-4235-BA63-0E95B1410096}" name="Column8666" dataDxfId="7688"/>
    <tableColumn id="8715" xr3:uid="{E85CC26E-9EA0-41A9-A048-ADE46B3A8A53}" name="Column8667" dataDxfId="7687"/>
    <tableColumn id="8716" xr3:uid="{0D3A413D-D4DF-4F53-B0DB-00F7253EC037}" name="Column8668" dataDxfId="7686"/>
    <tableColumn id="8717" xr3:uid="{EC2E5C0B-AE52-4809-80A1-8FEC82302F94}" name="Column8669" dataDxfId="7685"/>
    <tableColumn id="8718" xr3:uid="{776BECE6-C85F-4062-A37A-66D9943CD940}" name="Column8670" dataDxfId="7684"/>
    <tableColumn id="8719" xr3:uid="{D25DCB5C-E8CC-4AA5-83D1-D91854036133}" name="Column8671" dataDxfId="7683"/>
    <tableColumn id="8720" xr3:uid="{3E8AD1B5-3F19-4916-8EF9-AD661097CB77}" name="Column8672" dataDxfId="7682"/>
    <tableColumn id="8721" xr3:uid="{DBAB8C38-77ED-492F-8F5A-FF12175C89C8}" name="Column8673" dataDxfId="7681"/>
    <tableColumn id="8722" xr3:uid="{F5FE3615-DD79-4350-AA91-D1DB011EA2A4}" name="Column8674" dataDxfId="7680"/>
    <tableColumn id="8723" xr3:uid="{03E51132-9C6C-4F8E-B9F6-4511687956DF}" name="Column8675" dataDxfId="7679"/>
    <tableColumn id="8724" xr3:uid="{E442AE5B-417D-4F47-B86B-BBBCBD947CFB}" name="Column8676" dataDxfId="7678"/>
    <tableColumn id="8725" xr3:uid="{4D172671-52C8-4093-9077-2CAC8BBDBD2F}" name="Column8677" dataDxfId="7677"/>
    <tableColumn id="8726" xr3:uid="{D8802E84-763F-428D-900C-071ACC4E0D10}" name="Column8678" dataDxfId="7676"/>
    <tableColumn id="8727" xr3:uid="{517239F8-A059-4A2A-95A0-021CAEECE4FA}" name="Column8679" dataDxfId="7675"/>
    <tableColumn id="8728" xr3:uid="{7182ECFD-B60E-46D3-8E1B-7822758131A7}" name="Column8680" dataDxfId="7674"/>
    <tableColumn id="8729" xr3:uid="{CBDCA7DD-91E0-4B3A-B123-DE75260E680F}" name="Column8681" dataDxfId="7673"/>
    <tableColumn id="8730" xr3:uid="{E6ABF422-0895-4B10-B1DE-BDCEF48447D8}" name="Column8682" dataDxfId="7672"/>
    <tableColumn id="8731" xr3:uid="{A4933F1B-0F47-4CB8-897E-40D7D9553EA4}" name="Column8683" dataDxfId="7671"/>
    <tableColumn id="8732" xr3:uid="{67B9756F-5CBF-402E-AA72-D36755755AC2}" name="Column8684" dataDxfId="7670"/>
    <tableColumn id="8733" xr3:uid="{31239AEC-2429-48FE-9B7E-1DDAE179F2B5}" name="Column8685" dataDxfId="7669"/>
    <tableColumn id="8734" xr3:uid="{F1307851-C08D-42BB-BA66-1218AD6CD0F8}" name="Column8686" dataDxfId="7668"/>
    <tableColumn id="8735" xr3:uid="{BB50C61A-1969-4B9D-8480-2564A8CD0FB9}" name="Column8687" dataDxfId="7667"/>
    <tableColumn id="8736" xr3:uid="{06962A48-74BA-421E-9844-BA13CBCFBDCA}" name="Column8688" dataDxfId="7666"/>
    <tableColumn id="8737" xr3:uid="{0347BB58-EF47-4372-B200-A25B263A55C2}" name="Column8689" dataDxfId="7665"/>
    <tableColumn id="8738" xr3:uid="{B030BA37-A74A-4532-A8C8-AB99D36BDD05}" name="Column8690" dataDxfId="7664"/>
    <tableColumn id="8739" xr3:uid="{838EDA2A-D223-4AB3-A301-4C8DC49C6C98}" name="Column8691" dataDxfId="7663"/>
    <tableColumn id="8740" xr3:uid="{9B581D05-810A-4135-9F9F-9FF1DB3FF0ED}" name="Column8692" dataDxfId="7662"/>
    <tableColumn id="8741" xr3:uid="{4DC3459D-E61A-4CF7-A817-D1CA6CF0065B}" name="Column8693" dataDxfId="7661"/>
    <tableColumn id="8742" xr3:uid="{9BDC5F0E-91CF-47CC-9E4F-0A3F6A6BD787}" name="Column8694" dataDxfId="7660"/>
    <tableColumn id="8743" xr3:uid="{BFF93C97-09CB-4DD3-9FC9-427B28B5483F}" name="Column8695" dataDxfId="7659"/>
    <tableColumn id="8744" xr3:uid="{C4BBB1A9-893B-4AE6-AD32-1125EA9919F8}" name="Column8696" dataDxfId="7658"/>
    <tableColumn id="8745" xr3:uid="{54D35234-E1AB-4AC5-8058-F7782F3F31F7}" name="Column8697" dataDxfId="7657"/>
    <tableColumn id="8746" xr3:uid="{DC21F722-79A0-415A-A826-C12247EB595B}" name="Column8698" dataDxfId="7656"/>
    <tableColumn id="8747" xr3:uid="{9580F348-F6CD-493F-B33C-CBB9DAFCAED7}" name="Column8699" dataDxfId="7655"/>
    <tableColumn id="8748" xr3:uid="{C1F49F36-6DD2-4FE4-B57B-2199974ABC5B}" name="Column8700" dataDxfId="7654"/>
    <tableColumn id="8749" xr3:uid="{2E13F89B-456C-46B0-9841-7F039A1639B1}" name="Column8701" dataDxfId="7653"/>
    <tableColumn id="8750" xr3:uid="{33371A0D-4213-43F6-89C8-60588B5BC29C}" name="Column8702" dataDxfId="7652"/>
    <tableColumn id="8751" xr3:uid="{ABF7085D-5510-4010-B5F1-F55E0C308897}" name="Column8703" dataDxfId="7651"/>
    <tableColumn id="8752" xr3:uid="{9A7AE410-776D-4F00-BFBE-F3697E7DE07D}" name="Column8704" dataDxfId="7650"/>
    <tableColumn id="8753" xr3:uid="{5D02636E-A7B0-4438-B624-7456ECBA3C6F}" name="Column8705" dataDxfId="7649"/>
    <tableColumn id="8754" xr3:uid="{38CD8FF9-4C7E-4D5F-B7EB-202B00A1191F}" name="Column8706" dataDxfId="7648"/>
    <tableColumn id="8755" xr3:uid="{FEBDDA03-4D3F-4D1E-8C21-82DB75786177}" name="Column8707" dataDxfId="7647"/>
    <tableColumn id="8756" xr3:uid="{17F3EB55-FDB1-43FD-A589-F41A9BEA12D7}" name="Column8708" dataDxfId="7646"/>
    <tableColumn id="8757" xr3:uid="{6A232A49-0E2E-4611-A196-01EC66D4AA6D}" name="Column8709" dataDxfId="7645"/>
    <tableColumn id="8758" xr3:uid="{368369F7-5E3E-45B4-A423-159580BE5AE6}" name="Column8710" dataDxfId="7644"/>
    <tableColumn id="8759" xr3:uid="{64523C9F-C5BA-4CA8-9CB4-E585BDE91833}" name="Column8711" dataDxfId="7643"/>
    <tableColumn id="8760" xr3:uid="{D9E5B058-36C2-4394-AE4F-BFDFAD3FC7F6}" name="Column8712" dataDxfId="7642"/>
    <tableColumn id="8761" xr3:uid="{55A1D622-D5E1-4223-B756-CA591863E56D}" name="Column8713" dataDxfId="7641"/>
    <tableColumn id="8762" xr3:uid="{0DDE34FA-9486-4FF1-BA24-58AE62C56C73}" name="Column8714" dataDxfId="7640"/>
    <tableColumn id="8763" xr3:uid="{78F078CC-7DE9-4686-825F-BFDD0C8777E3}" name="Column8715" dataDxfId="7639"/>
    <tableColumn id="8764" xr3:uid="{FE0B1A92-C506-43FB-B45C-571E02DEA7CE}" name="Column8716" dataDxfId="7638"/>
    <tableColumn id="8765" xr3:uid="{D119B9D0-1324-4913-859C-754BDED32DF8}" name="Column8717" dataDxfId="7637"/>
    <tableColumn id="8766" xr3:uid="{4434CF04-0217-45B0-A0A7-4EC82CCFE1A4}" name="Column8718" dataDxfId="7636"/>
    <tableColumn id="8767" xr3:uid="{EBB341B3-DEE9-41E7-A9A5-C179B6085882}" name="Column8719" dataDxfId="7635"/>
    <tableColumn id="8768" xr3:uid="{8414AD46-F0A7-4D1B-B21B-A99B62E34A21}" name="Column8720" dataDxfId="7634"/>
    <tableColumn id="8769" xr3:uid="{1D602838-1320-4BF4-B80C-AB6FD8B7D280}" name="Column8721" dataDxfId="7633"/>
    <tableColumn id="8770" xr3:uid="{FA0E8F72-B75D-48FB-A734-2CB3ADBF5936}" name="Column8722" dataDxfId="7632"/>
    <tableColumn id="8771" xr3:uid="{21A68EBA-4C78-4AE6-A2E0-C8DE0EF8F23B}" name="Column8723" dataDxfId="7631"/>
    <tableColumn id="8772" xr3:uid="{412D0240-CB67-4930-AB95-32A9400183BE}" name="Column8724" dataDxfId="7630"/>
    <tableColumn id="8773" xr3:uid="{36BF6AC3-F059-4480-8097-4C68631789A7}" name="Column8725" dataDxfId="7629"/>
    <tableColumn id="8774" xr3:uid="{84EDE0D2-D071-459F-9950-F80C00BBC78A}" name="Column8726" dataDxfId="7628"/>
    <tableColumn id="8775" xr3:uid="{A97525FB-7FB0-4F66-A5FB-A679F1FC98F6}" name="Column8727" dataDxfId="7627"/>
    <tableColumn id="8776" xr3:uid="{937DE3D9-9CD4-41E0-940F-653C201EB328}" name="Column8728" dataDxfId="7626"/>
    <tableColumn id="8777" xr3:uid="{159150ED-7851-435F-98D9-CF89EF03FBAF}" name="Column8729" dataDxfId="7625"/>
    <tableColumn id="8778" xr3:uid="{E6883F44-30A3-4E7C-98B7-7F6071D4CC1F}" name="Column8730" dataDxfId="7624"/>
    <tableColumn id="8779" xr3:uid="{12D2C13C-B45C-4522-9708-1FE2E1A58396}" name="Column8731" dataDxfId="7623"/>
    <tableColumn id="8780" xr3:uid="{32AB120D-B752-40AA-AAB5-2E1916B9C7FE}" name="Column8732" dataDxfId="7622"/>
    <tableColumn id="8781" xr3:uid="{EBA73908-D907-4766-8A24-A3DC02839D9C}" name="Column8733" dataDxfId="7621"/>
    <tableColumn id="8782" xr3:uid="{471712AC-A622-4FA4-91B4-B532EE82A4ED}" name="Column8734" dataDxfId="7620"/>
    <tableColumn id="8783" xr3:uid="{CE17DA15-A1F1-4AD6-8C82-F161ACBE6CA3}" name="Column8735" dataDxfId="7619"/>
    <tableColumn id="8784" xr3:uid="{70973A4D-BAB0-486C-8849-A74C24C19926}" name="Column8736" dataDxfId="7618"/>
    <tableColumn id="8785" xr3:uid="{B19232B8-53E7-4832-B34B-8D0CC91B2274}" name="Column8737" dataDxfId="7617"/>
    <tableColumn id="8786" xr3:uid="{BD017FDF-4D16-4C0D-BDA9-D7A35B2753B2}" name="Column8738" dataDxfId="7616"/>
    <tableColumn id="8787" xr3:uid="{50992032-2F08-452B-A294-9BF55E4ED329}" name="Column8739" dataDxfId="7615"/>
    <tableColumn id="8788" xr3:uid="{B5E5D6E6-5997-4B47-99DA-AFCA2EEA7FC9}" name="Column8740" dataDxfId="7614"/>
    <tableColumn id="8789" xr3:uid="{3BC4B469-93DB-413F-A764-EE6B990B495D}" name="Column8741" dataDxfId="7613"/>
    <tableColumn id="8790" xr3:uid="{A92FBB42-1152-4A43-9824-F96AD6607FAA}" name="Column8742" dataDxfId="7612"/>
    <tableColumn id="8791" xr3:uid="{08701F81-26DB-4FB1-BCB1-E7D0B01AC8C8}" name="Column8743" dataDxfId="7611"/>
    <tableColumn id="8792" xr3:uid="{D216A5F2-A60B-43AD-B8B3-F2C7C29D59D9}" name="Column8744" dataDxfId="7610"/>
    <tableColumn id="8793" xr3:uid="{09983729-8587-4741-921C-382561C8E1EB}" name="Column8745" dataDxfId="7609"/>
    <tableColumn id="8794" xr3:uid="{C82C4F2A-9242-4AD7-A789-7C8825D26968}" name="Column8746" dataDxfId="7608"/>
    <tableColumn id="8795" xr3:uid="{5F07234B-AD92-47BF-86EB-EA4762EFDAD3}" name="Column8747" dataDxfId="7607"/>
    <tableColumn id="8796" xr3:uid="{D1F1AF6B-B386-4C10-8852-8D185EEA5BC3}" name="Column8748" dataDxfId="7606"/>
    <tableColumn id="8797" xr3:uid="{CACA8171-ECF7-4711-812C-436953FF9A0E}" name="Column8749" dataDxfId="7605"/>
    <tableColumn id="8798" xr3:uid="{B1A9AB44-18B9-478A-A6FC-7916EB9B5228}" name="Column8750" dataDxfId="7604"/>
    <tableColumn id="8799" xr3:uid="{26F71582-D14F-434A-B8AB-F9CDF1877D6B}" name="Column8751" dataDxfId="7603"/>
    <tableColumn id="8800" xr3:uid="{084D890E-0F00-436E-B346-20BFBC8B2FA9}" name="Column8752" dataDxfId="7602"/>
    <tableColumn id="8801" xr3:uid="{FFC68D89-8397-42CD-9701-213C5D9064AE}" name="Column8753" dataDxfId="7601"/>
    <tableColumn id="8802" xr3:uid="{A0F4AC26-4166-47E7-A0A0-B891FD7CFD09}" name="Column8754" dataDxfId="7600"/>
    <tableColumn id="8803" xr3:uid="{EDB29CC1-3CB6-4857-9D25-A16FC1B3A260}" name="Column8755" dataDxfId="7599"/>
    <tableColumn id="8804" xr3:uid="{926E2519-5363-4ACE-BA2B-2C709B342A66}" name="Column8756" dataDxfId="7598"/>
    <tableColumn id="8805" xr3:uid="{E401E261-AB79-49E6-984C-C4C4E4FAE91C}" name="Column8757" dataDxfId="7597"/>
    <tableColumn id="8806" xr3:uid="{7668D68F-CB9D-42A4-97E4-45AC5C8BD70E}" name="Column8758" dataDxfId="7596"/>
    <tableColumn id="8807" xr3:uid="{2BAEE429-3BD8-4CDA-A438-F049166F27D6}" name="Column8759" dataDxfId="7595"/>
    <tableColumn id="8808" xr3:uid="{CA4FBB30-F69E-4AC2-A442-0B7003A4C21F}" name="Column8760" dataDxfId="7594"/>
    <tableColumn id="8809" xr3:uid="{A1C120CF-4E83-47B2-A654-929D53FA58F8}" name="Column8761" dataDxfId="7593"/>
    <tableColumn id="8810" xr3:uid="{1CD42F77-FC52-4023-9507-D7F9FB7ED0C1}" name="Column8762" dataDxfId="7592"/>
    <tableColumn id="8811" xr3:uid="{94E5AA51-329E-4F41-9636-CE186DDFE4F9}" name="Column8763" dataDxfId="7591"/>
    <tableColumn id="8812" xr3:uid="{74986893-45FF-4734-A242-D96D759DC5F6}" name="Column8764" dataDxfId="7590"/>
    <tableColumn id="8813" xr3:uid="{8B6FEA81-EE56-42FD-8A6B-8242B30E6B76}" name="Column8765" dataDxfId="7589"/>
    <tableColumn id="8814" xr3:uid="{56463F3A-50D8-4920-A2C2-45847F49EDA3}" name="Column8766" dataDxfId="7588"/>
    <tableColumn id="8815" xr3:uid="{1D5EED3C-582B-4663-94BF-2A080A17A46A}" name="Column8767" dataDxfId="7587"/>
    <tableColumn id="8816" xr3:uid="{34E7D975-2B69-4061-A4B7-894208B26C44}" name="Column8768" dataDxfId="7586"/>
    <tableColumn id="8817" xr3:uid="{AD091AAA-AF5B-4BA1-A5DE-F0211DB23EC0}" name="Column8769" dataDxfId="7585"/>
    <tableColumn id="8818" xr3:uid="{94B12E7E-12AE-4F77-A689-6AFDB4F8BE90}" name="Column8770" dataDxfId="7584"/>
    <tableColumn id="8819" xr3:uid="{A904155B-E9C6-4CD8-8728-BCE946C5DFB0}" name="Column8771" dataDxfId="7583"/>
    <tableColumn id="8820" xr3:uid="{991B4192-14EB-4DD4-A42E-BC2FCAF79298}" name="Column8772" dataDxfId="7582"/>
    <tableColumn id="8821" xr3:uid="{C1BCB3B8-1D40-4584-AAF9-B83663C04682}" name="Column8773" dataDxfId="7581"/>
    <tableColumn id="8822" xr3:uid="{40B8DB17-AFE6-4144-9727-1343677EE8B3}" name="Column8774" dataDxfId="7580"/>
    <tableColumn id="8823" xr3:uid="{9F4DFC7D-CB95-4BA4-89B3-77AA3A9A2C9B}" name="Column8775" dataDxfId="7579"/>
    <tableColumn id="8824" xr3:uid="{CC8C83E1-974E-4BB7-9671-645B74E81F11}" name="Column8776" dataDxfId="7578"/>
    <tableColumn id="8825" xr3:uid="{50A3D201-EC7C-4476-B494-B1475F957E24}" name="Column8777" dataDxfId="7577"/>
    <tableColumn id="8826" xr3:uid="{773A8E6A-1037-431E-BDD5-6B2B9FB58FFF}" name="Column8778" dataDxfId="7576"/>
    <tableColumn id="8827" xr3:uid="{BBFDFFE6-C521-41DA-97CD-1B9BD0BBDD4E}" name="Column8779" dataDxfId="7575"/>
    <tableColumn id="8828" xr3:uid="{5E17409C-A091-4B65-AE61-BF9FF8904830}" name="Column8780" dataDxfId="7574"/>
    <tableColumn id="8829" xr3:uid="{E7F59D2E-237E-47C9-A4F2-1FFAD52E5630}" name="Column8781" dataDxfId="7573"/>
    <tableColumn id="8830" xr3:uid="{3C6B8E1F-D897-4C1D-9B57-D77578290F68}" name="Column8782" dataDxfId="7572"/>
    <tableColumn id="8831" xr3:uid="{BBE8D2E8-3C52-4B20-8565-8C08AD0433E5}" name="Column8783" dataDxfId="7571"/>
    <tableColumn id="8832" xr3:uid="{86613C81-DF79-437B-A4E6-6F49D4138F8B}" name="Column8784" dataDxfId="7570"/>
    <tableColumn id="8833" xr3:uid="{135C2A9E-614E-4933-9DB0-CA6E0788EEF3}" name="Column8785" dataDxfId="7569"/>
    <tableColumn id="8834" xr3:uid="{E6204A24-FA44-4DC1-B64F-5E97B91F148F}" name="Column8786" dataDxfId="7568"/>
    <tableColumn id="8835" xr3:uid="{C2045806-B25E-4A50-B4D5-3F2E9DF08A7D}" name="Column8787" dataDxfId="7567"/>
    <tableColumn id="8836" xr3:uid="{AA421A93-DEA8-4E02-9A66-CF795F59985D}" name="Column8788" dataDxfId="7566"/>
    <tableColumn id="8837" xr3:uid="{82705A32-DFA3-4430-AFE8-456C9451DF8C}" name="Column8789" dataDxfId="7565"/>
    <tableColumn id="8838" xr3:uid="{B049DC56-9B8B-474C-B32B-41699E5441F0}" name="Column8790" dataDxfId="7564"/>
    <tableColumn id="8839" xr3:uid="{8BB8FDFF-88A0-4642-B905-C465CB85240A}" name="Column8791" dataDxfId="7563"/>
    <tableColumn id="8840" xr3:uid="{19A0ACD6-9BAC-4963-9293-309789732392}" name="Column8792" dataDxfId="7562"/>
    <tableColumn id="8841" xr3:uid="{556E4D0B-E24A-4248-B597-C08FEB77AAB3}" name="Column8793" dataDxfId="7561"/>
    <tableColumn id="8842" xr3:uid="{1EF7567E-A38B-4DED-94DD-7FDC5B4DBB17}" name="Column8794" dataDxfId="7560"/>
    <tableColumn id="8843" xr3:uid="{63048A9E-FB3F-4589-85D0-AC3CF278ABBC}" name="Column8795" dataDxfId="7559"/>
    <tableColumn id="8844" xr3:uid="{456B89CF-24AB-4E6E-BC7F-A1329994C093}" name="Column8796" dataDxfId="7558"/>
    <tableColumn id="8845" xr3:uid="{B3A45A44-FBC5-4601-AA85-65D296DF12A4}" name="Column8797" dataDxfId="7557"/>
    <tableColumn id="8846" xr3:uid="{59FAFC91-6AC9-473E-8CFD-CD02D9BFB4E2}" name="Column8798" dataDxfId="7556"/>
    <tableColumn id="8847" xr3:uid="{1AFE7DEB-8953-4AA5-88A7-A11DCB3D9FEF}" name="Column8799" dataDxfId="7555"/>
    <tableColumn id="8848" xr3:uid="{AE040F30-E7F7-46AC-A433-B02D90BC6E79}" name="Column8800" dataDxfId="7554"/>
    <tableColumn id="8849" xr3:uid="{E99FF7EC-6FDD-4E67-91B4-A74BD1C026D0}" name="Column8801" dataDxfId="7553"/>
    <tableColumn id="8850" xr3:uid="{1B730C78-5890-4F3B-B826-4441B3A7B05D}" name="Column8802" dataDxfId="7552"/>
    <tableColumn id="8851" xr3:uid="{5DAF3768-8806-4F80-8368-992F824B97FB}" name="Column8803" dataDxfId="7551"/>
    <tableColumn id="8852" xr3:uid="{76C84495-7B4E-4BA4-87BA-FB5FF7A90070}" name="Column8804" dataDxfId="7550"/>
    <tableColumn id="8853" xr3:uid="{5680DC3C-7B78-4603-AF40-239DCAAA0B2B}" name="Column8805" dataDxfId="7549"/>
    <tableColumn id="8854" xr3:uid="{7D3956D5-7E7C-4F52-B4EB-4C6BE72C0396}" name="Column8806" dataDxfId="7548"/>
    <tableColumn id="8855" xr3:uid="{41E37230-8805-4ADB-BF53-6EF9F481C85F}" name="Column8807" dataDxfId="7547"/>
    <tableColumn id="8856" xr3:uid="{F5DA70EE-50C7-4BA8-ABE8-525C275087E6}" name="Column8808" dataDxfId="7546"/>
    <tableColumn id="8857" xr3:uid="{4F36A7C6-D963-40D4-B9A9-EA812321FB04}" name="Column8809" dataDxfId="7545"/>
    <tableColumn id="8858" xr3:uid="{12C842EF-DC8F-45A6-A265-B3A5385B0F99}" name="Column8810" dataDxfId="7544"/>
    <tableColumn id="8859" xr3:uid="{CC3CDA5F-9BB8-4A99-9FF3-F18015B0D6CB}" name="Column8811" dataDxfId="7543"/>
    <tableColumn id="8860" xr3:uid="{2F426658-1AC7-438C-B452-ABD237EDE9A3}" name="Column8812" dataDxfId="7542"/>
    <tableColumn id="8861" xr3:uid="{F48951F2-9C01-4673-9E0B-EBBDACE562F8}" name="Column8813" dataDxfId="7541"/>
    <tableColumn id="8862" xr3:uid="{69B808C9-5C89-4D78-9124-A1FC4B471E94}" name="Column8814" dataDxfId="7540"/>
    <tableColumn id="8863" xr3:uid="{DEB7E00D-81A6-4262-B43E-096F993AB326}" name="Column8815" dataDxfId="7539"/>
    <tableColumn id="8864" xr3:uid="{0FA42CEA-5E54-4767-AC6F-696ACFEDC7D2}" name="Column8816" dataDxfId="7538"/>
    <tableColumn id="8865" xr3:uid="{B37E82B2-C247-4CE9-A21B-F98C9BCE8D2F}" name="Column8817" dataDxfId="7537"/>
    <tableColumn id="8866" xr3:uid="{45DED2B0-067E-457C-846B-880280169F01}" name="Column8818" dataDxfId="7536"/>
    <tableColumn id="8867" xr3:uid="{CF674D62-CC25-4E4B-ADD9-7B3C57656E0F}" name="Column8819" dataDxfId="7535"/>
    <tableColumn id="8868" xr3:uid="{36603027-BB43-4BFD-A1BD-7ADF4C1889FF}" name="Column8820" dataDxfId="7534"/>
    <tableColumn id="8869" xr3:uid="{D610650A-98C1-4D4F-AA2C-7813D5E47C82}" name="Column8821" dataDxfId="7533"/>
    <tableColumn id="8870" xr3:uid="{B2745CBD-670C-41D3-9F34-1A4616A5D865}" name="Column8822" dataDxfId="7532"/>
    <tableColumn id="8871" xr3:uid="{16C281F4-01F7-466C-9E47-E58944CC891F}" name="Column8823" dataDxfId="7531"/>
    <tableColumn id="8872" xr3:uid="{70534C9B-4161-4BAF-AA74-D057CF13C7DB}" name="Column8824" dataDxfId="7530"/>
    <tableColumn id="8873" xr3:uid="{C22827FC-D25B-47BA-A869-7BAE836F9E25}" name="Column8825" dataDxfId="7529"/>
    <tableColumn id="8874" xr3:uid="{55E79C36-A683-4C10-A8C0-8F806E4E40C4}" name="Column8826" dataDxfId="7528"/>
    <tableColumn id="8875" xr3:uid="{A886E097-4F4A-49E4-A9BD-6F10275489E0}" name="Column8827" dataDxfId="7527"/>
    <tableColumn id="8876" xr3:uid="{77EF265B-A3AE-42D1-907C-10DBE442DDED}" name="Column8828" dataDxfId="7526"/>
    <tableColumn id="8877" xr3:uid="{50D80958-C375-43FF-9E1A-BE9C32952E35}" name="Column8829" dataDxfId="7525"/>
    <tableColumn id="8878" xr3:uid="{2EE2FC73-4C22-4D31-A322-FD27D6A42F01}" name="Column8830" dataDxfId="7524"/>
    <tableColumn id="8879" xr3:uid="{558C6B96-FF24-4BB4-9057-A85A68B18F3E}" name="Column8831" dataDxfId="7523"/>
    <tableColumn id="8880" xr3:uid="{6686F4EF-E108-406B-A65D-1D5A4249E0EB}" name="Column8832" dataDxfId="7522"/>
    <tableColumn id="8881" xr3:uid="{4A690CE1-07F0-4833-AE19-15BDEB3C0D37}" name="Column8833" dataDxfId="7521"/>
    <tableColumn id="8882" xr3:uid="{557DB8B3-FF41-4E82-BA66-AE99D1D65806}" name="Column8834" dataDxfId="7520"/>
    <tableColumn id="8883" xr3:uid="{7C8E2700-1405-4A50-9099-513EC9D026F8}" name="Column8835" dataDxfId="7519"/>
    <tableColumn id="8884" xr3:uid="{F6D45DFF-59A7-4848-826C-737A22FC0FB0}" name="Column8836" dataDxfId="7518"/>
    <tableColumn id="8885" xr3:uid="{DFD94816-C791-4EBA-93C7-3EF24479BEBF}" name="Column8837" dataDxfId="7517"/>
    <tableColumn id="8886" xr3:uid="{BD161298-2DD9-436F-A7EB-8917ACF6FC5C}" name="Column8838" dataDxfId="7516"/>
    <tableColumn id="8887" xr3:uid="{5A62C0A3-CC17-4F51-950E-EF561584ECFC}" name="Column8839" dataDxfId="7515"/>
    <tableColumn id="8888" xr3:uid="{5743C9A2-832B-41A8-AEDA-12DE9B59E0A1}" name="Column8840" dataDxfId="7514"/>
    <tableColumn id="8889" xr3:uid="{72FBFD4F-5031-4585-8786-A202788855B2}" name="Column8841" dataDxfId="7513"/>
    <tableColumn id="8890" xr3:uid="{23744145-D360-4AAF-9904-38F4D65AE07B}" name="Column8842" dataDxfId="7512"/>
    <tableColumn id="8891" xr3:uid="{3CCB269B-FE33-4D66-886D-98F2D0FA45F2}" name="Column8843" dataDxfId="7511"/>
    <tableColumn id="8892" xr3:uid="{AE661343-589E-46A4-91E7-52FF1AED61A3}" name="Column8844" dataDxfId="7510"/>
    <tableColumn id="8893" xr3:uid="{8E392F36-8DAC-4A20-B3C7-6F61A7891F53}" name="Column8845" dataDxfId="7509"/>
    <tableColumn id="8894" xr3:uid="{EE98D1E3-401E-4AB8-9F4C-05C97C5DA7FC}" name="Column8846" dataDxfId="7508"/>
    <tableColumn id="8895" xr3:uid="{B87936FF-BE71-41E0-9458-5DACA113DCE7}" name="Column8847" dataDxfId="7507"/>
    <tableColumn id="8896" xr3:uid="{E616D1D8-5E6F-4BD6-BA69-B2EF821FD690}" name="Column8848" dataDxfId="7506"/>
    <tableColumn id="8897" xr3:uid="{695F999C-321C-4F6B-98F0-A67E62A265F9}" name="Column8849" dataDxfId="7505"/>
    <tableColumn id="8898" xr3:uid="{FCE18B12-3C22-4CA8-B902-8C1AD5C287AE}" name="Column8850" dataDxfId="7504"/>
    <tableColumn id="8899" xr3:uid="{39728962-CBC2-4680-9767-B315F84CF07F}" name="Column8851" dataDxfId="7503"/>
    <tableColumn id="8900" xr3:uid="{94C69FD5-C99A-43A8-90D3-377D010DB747}" name="Column8852" dataDxfId="7502"/>
    <tableColumn id="8901" xr3:uid="{646AB282-29FA-41AE-89D8-B900ED1F4B82}" name="Column8853" dataDxfId="7501"/>
    <tableColumn id="8902" xr3:uid="{1F4C608C-0A1F-41B8-AC84-7AA4302A325B}" name="Column8854" dataDxfId="7500"/>
    <tableColumn id="8903" xr3:uid="{0C73426C-049F-40AF-AD2A-6DA82AD77131}" name="Column8855" dataDxfId="7499"/>
    <tableColumn id="8904" xr3:uid="{BFF0D207-9E6B-4EA3-8941-E7181C30C118}" name="Column8856" dataDxfId="7498"/>
    <tableColumn id="8905" xr3:uid="{A3F76494-6FBA-4B5C-8456-12CB6A9918F5}" name="Column8857" dataDxfId="7497"/>
    <tableColumn id="8906" xr3:uid="{DB5F3018-9C1C-4F54-946D-C5DBB09FE6BF}" name="Column8858" dataDxfId="7496"/>
    <tableColumn id="8907" xr3:uid="{C02D1B41-A361-4292-8D1F-11F9EAC8F92E}" name="Column8859" dataDxfId="7495"/>
    <tableColumn id="8908" xr3:uid="{E19803B1-9E81-42B5-A45F-4AFC4045602C}" name="Column8860" dataDxfId="7494"/>
    <tableColumn id="8909" xr3:uid="{E8E75C6E-9807-49F2-9059-9FC4ECCECC51}" name="Column8861" dataDxfId="7493"/>
    <tableColumn id="8910" xr3:uid="{3DC1F6E1-66E8-456C-8D96-6532917201E5}" name="Column8862" dataDxfId="7492"/>
    <tableColumn id="8911" xr3:uid="{A271DFF6-29AC-4CD7-8CCB-E03AE4D44D34}" name="Column8863" dataDxfId="7491"/>
    <tableColumn id="8912" xr3:uid="{0E9F63FD-7A3D-4B87-9147-E1DACD0977BD}" name="Column8864" dataDxfId="7490"/>
    <tableColumn id="8913" xr3:uid="{6BBC28E5-9099-4F1F-A61E-9090F41836D7}" name="Column8865" dataDxfId="7489"/>
    <tableColumn id="8914" xr3:uid="{EE3E9DC8-CC92-4C66-AB21-418CBD609390}" name="Column8866" dataDxfId="7488"/>
    <tableColumn id="8915" xr3:uid="{4755E294-1A3D-4198-A535-FCC50C5414BD}" name="Column8867" dataDxfId="7487"/>
    <tableColumn id="8916" xr3:uid="{4D2E9344-2E36-4FC5-B47A-3C04280D1493}" name="Column8868" dataDxfId="7486"/>
    <tableColumn id="8917" xr3:uid="{240292A9-C47C-476F-973A-0321773C66C3}" name="Column8869" dataDxfId="7485"/>
    <tableColumn id="8918" xr3:uid="{9FF1E800-37FF-4A88-9679-803D6E7DAF51}" name="Column8870" dataDxfId="7484"/>
    <tableColumn id="8919" xr3:uid="{264833D4-B6F8-49BB-8AD7-DACAAD4D77F1}" name="Column8871" dataDxfId="7483"/>
    <tableColumn id="8920" xr3:uid="{ED76842E-6535-4536-A793-5F85CD313598}" name="Column8872" dataDxfId="7482"/>
    <tableColumn id="8921" xr3:uid="{20527951-9BCC-418D-ADA7-04B016C009C3}" name="Column8873" dataDxfId="7481"/>
    <tableColumn id="8922" xr3:uid="{B8ECDF3D-99C2-4D12-8463-A521CA97B992}" name="Column8874" dataDxfId="7480"/>
    <tableColumn id="8923" xr3:uid="{61DFE443-3721-439B-984D-5950D187BF1E}" name="Column8875" dataDxfId="7479"/>
    <tableColumn id="8924" xr3:uid="{F72C1630-C631-48A7-B073-FAE2C6D919FB}" name="Column8876" dataDxfId="7478"/>
    <tableColumn id="8925" xr3:uid="{E44DD615-F4DB-4AE2-81F6-58568540C927}" name="Column8877" dataDxfId="7477"/>
    <tableColumn id="8926" xr3:uid="{E8B199AF-85F7-440D-B296-D0D7F79F5BD1}" name="Column8878" dataDxfId="7476"/>
    <tableColumn id="8927" xr3:uid="{5C680495-7843-4260-879E-13A221AA3673}" name="Column8879" dataDxfId="7475"/>
    <tableColumn id="8928" xr3:uid="{AD2C5273-102D-4F74-99D7-1D472BA670A2}" name="Column8880" dataDxfId="7474"/>
    <tableColumn id="8929" xr3:uid="{CA933A1C-5A5C-4E25-85C7-EF8A6D5EC57D}" name="Column8881" dataDxfId="7473"/>
    <tableColumn id="8930" xr3:uid="{7FD8C758-223F-4439-BB6D-1160F6021142}" name="Column8882" dataDxfId="7472"/>
    <tableColumn id="8931" xr3:uid="{2CCC0C5C-93A6-4920-A7ED-FC5DE7ECE6B8}" name="Column8883" dataDxfId="7471"/>
    <tableColumn id="8932" xr3:uid="{1F874283-CCED-457E-9EBD-DA23765767A5}" name="Column8884" dataDxfId="7470"/>
    <tableColumn id="8933" xr3:uid="{61FC5ADA-BBEE-4B4C-B39A-2E1C5C1A8956}" name="Column8885" dataDxfId="7469"/>
    <tableColumn id="8934" xr3:uid="{D289DEE9-ACAF-4E59-840B-A197B07B6E9E}" name="Column8886" dataDxfId="7468"/>
    <tableColumn id="8935" xr3:uid="{43DAF363-7FCB-4FF8-94ED-FBC28F7AC315}" name="Column8887" dataDxfId="7467"/>
    <tableColumn id="8936" xr3:uid="{C04F6445-0679-41F4-B0C1-467FFFFB70D7}" name="Column8888" dataDxfId="7466"/>
    <tableColumn id="8937" xr3:uid="{0A72CC50-B34B-48C7-B69E-7C6B187E31C8}" name="Column8889" dataDxfId="7465"/>
    <tableColumn id="8938" xr3:uid="{5B9AEC80-FF3C-46EE-9EEA-85357A328824}" name="Column8890" dataDxfId="7464"/>
    <tableColumn id="8939" xr3:uid="{9DC2D557-99FB-4746-8B17-5B4B1AC20F27}" name="Column8891" dataDxfId="7463"/>
    <tableColumn id="8940" xr3:uid="{8992AA9B-DE72-4ED8-B3E4-D80B6ED9972A}" name="Column8892" dataDxfId="7462"/>
    <tableColumn id="8941" xr3:uid="{E721616F-50A1-4A27-A4A9-AAA804B1F7BD}" name="Column8893" dataDxfId="7461"/>
    <tableColumn id="8942" xr3:uid="{09AA1C35-BC08-4FB4-AB44-792AB1A094AA}" name="Column8894" dataDxfId="7460"/>
    <tableColumn id="8943" xr3:uid="{B3225703-DCCF-4A36-B49E-A81E1DF474FE}" name="Column8895" dataDxfId="7459"/>
    <tableColumn id="8944" xr3:uid="{979E50BC-4E97-4457-B743-170149A21C27}" name="Column8896" dataDxfId="7458"/>
    <tableColumn id="8945" xr3:uid="{6E56DC4E-B51E-4B4C-A3A5-10C89621CB8A}" name="Column8897" dataDxfId="7457"/>
    <tableColumn id="8946" xr3:uid="{38559170-FDE8-48D1-8B07-4BEAE3D95949}" name="Column8898" dataDxfId="7456"/>
    <tableColumn id="8947" xr3:uid="{770793DA-4DCC-4CD0-AB51-D3420EC73BE9}" name="Column8899" dataDxfId="7455"/>
    <tableColumn id="8948" xr3:uid="{CCDE8903-2CC3-4EEE-A08C-FB8419FD4FF1}" name="Column8900" dataDxfId="7454"/>
    <tableColumn id="8949" xr3:uid="{0595A1F7-1332-4E20-AB4C-3E1C4E398E9E}" name="Column8901" dataDxfId="7453"/>
    <tableColumn id="8950" xr3:uid="{04FDAD8C-03C9-43B9-BB2F-11FE6D026F90}" name="Column8902" dataDxfId="7452"/>
    <tableColumn id="8951" xr3:uid="{A602CE70-8052-446D-A2C2-FB3A6A1C90D0}" name="Column8903" dataDxfId="7451"/>
    <tableColumn id="8952" xr3:uid="{830BE516-6969-46B8-A312-2AD06A73FC44}" name="Column8904" dataDxfId="7450"/>
    <tableColumn id="8953" xr3:uid="{08256999-6095-4E79-AA46-8728CE221E73}" name="Column8905" dataDxfId="7449"/>
    <tableColumn id="8954" xr3:uid="{E3FE8DAF-C058-4256-B5E6-A241C6CB0FE1}" name="Column8906" dataDxfId="7448"/>
    <tableColumn id="8955" xr3:uid="{B88E772B-B672-401D-AF7C-4787703E87E2}" name="Column8907" dataDxfId="7447"/>
    <tableColumn id="8956" xr3:uid="{07931381-141B-4BD5-A7B0-77CA74672C93}" name="Column8908" dataDxfId="7446"/>
    <tableColumn id="8957" xr3:uid="{550EC666-8850-4B70-85C2-9AED8E64B6CE}" name="Column8909" dataDxfId="7445"/>
    <tableColumn id="8958" xr3:uid="{3AB8399D-E47C-4FBD-B795-330E4C10DCE4}" name="Column8910" dataDxfId="7444"/>
    <tableColumn id="8959" xr3:uid="{A40FDCFB-F29B-42B0-AB1F-B781956D17CE}" name="Column8911" dataDxfId="7443"/>
    <tableColumn id="8960" xr3:uid="{02220BFA-BD02-499C-A5F9-54D28C2D5C29}" name="Column8912" dataDxfId="7442"/>
    <tableColumn id="8961" xr3:uid="{DBD9FB15-1B83-45EA-9806-C31A7FCB4647}" name="Column8913" dataDxfId="7441"/>
    <tableColumn id="8962" xr3:uid="{B0AED8A6-B54A-41DA-8D47-A8FD2415BCC6}" name="Column8914" dataDxfId="7440"/>
    <tableColumn id="8963" xr3:uid="{42890930-80F2-4DC1-A08F-FF8C67BDF3FC}" name="Column8915" dataDxfId="7439"/>
    <tableColumn id="8964" xr3:uid="{FD810D38-A1F2-47F3-8D16-746B945BC5F8}" name="Column8916" dataDxfId="7438"/>
    <tableColumn id="8965" xr3:uid="{89BC53F8-D143-454C-80C2-9AB1661B4169}" name="Column8917" dataDxfId="7437"/>
    <tableColumn id="8966" xr3:uid="{0D1EDB2A-5E15-47DE-86BC-86B554ABE5A0}" name="Column8918" dataDxfId="7436"/>
    <tableColumn id="8967" xr3:uid="{5B4BE564-5CA2-4D56-8797-4EF9F6EF7B38}" name="Column8919" dataDxfId="7435"/>
    <tableColumn id="8968" xr3:uid="{5CE05E60-04D3-43CA-8062-52833C2AE2C1}" name="Column8920" dataDxfId="7434"/>
    <tableColumn id="8969" xr3:uid="{8505E595-B5B8-4E39-8C68-1CC6690F6B4C}" name="Column8921" dataDxfId="7433"/>
    <tableColumn id="8970" xr3:uid="{2C23C036-22C6-4AFD-89A6-F019D4E06E85}" name="Column8922" dataDxfId="7432"/>
    <tableColumn id="8971" xr3:uid="{10DCA2AD-222D-4C32-A177-8D4CD50F1ACC}" name="Column8923" dataDxfId="7431"/>
    <tableColumn id="8972" xr3:uid="{78C53124-555F-4718-8B01-AC0DFBFE9456}" name="Column8924" dataDxfId="7430"/>
    <tableColumn id="8973" xr3:uid="{3EA70B62-1194-4AC1-A5B8-5272DD2BADCA}" name="Column8925" dataDxfId="7429"/>
    <tableColumn id="8974" xr3:uid="{C1C887E8-25F4-4CBF-9698-BB8F8D701110}" name="Column8926" dataDxfId="7428"/>
    <tableColumn id="8975" xr3:uid="{A2117D47-7309-4D1B-95CB-5680E62E6DB5}" name="Column8927" dataDxfId="7427"/>
    <tableColumn id="8976" xr3:uid="{67320497-F913-4D89-812F-7398497114E3}" name="Column8928" dataDxfId="7426"/>
    <tableColumn id="8977" xr3:uid="{69FDC4B8-F737-4A53-9D8F-BA1A93C82E83}" name="Column8929" dataDxfId="7425"/>
    <tableColumn id="8978" xr3:uid="{E639F8A1-3C53-453E-934E-71A545F4CE76}" name="Column8930" dataDxfId="7424"/>
    <tableColumn id="8979" xr3:uid="{89E4FB2F-5CED-4F49-972E-E352EF0C13F1}" name="Column8931" dataDxfId="7423"/>
    <tableColumn id="8980" xr3:uid="{F9924815-4989-4B0C-A60B-114D00802577}" name="Column8932" dataDxfId="7422"/>
    <tableColumn id="8981" xr3:uid="{E8AC46C0-603A-4182-977A-55C972663109}" name="Column8933" dataDxfId="7421"/>
    <tableColumn id="8982" xr3:uid="{13BD284A-7132-4453-8EE2-72EC01B3D72E}" name="Column8934" dataDxfId="7420"/>
    <tableColumn id="8983" xr3:uid="{2A6F8108-D30E-4932-ACA3-9CA83E14233B}" name="Column8935" dataDxfId="7419"/>
    <tableColumn id="8984" xr3:uid="{36561D1C-0145-45E0-BD92-736BAD14590A}" name="Column8936" dataDxfId="7418"/>
    <tableColumn id="8985" xr3:uid="{747D27F8-72E8-4CC6-BCAD-AF880FE9196A}" name="Column8937" dataDxfId="7417"/>
    <tableColumn id="8986" xr3:uid="{6BF415DB-43F7-4C75-9834-0559E19B7D46}" name="Column8938" dataDxfId="7416"/>
    <tableColumn id="8987" xr3:uid="{59A7D628-DBF4-4EA4-A263-80D2E58DAC07}" name="Column8939" dataDxfId="7415"/>
    <tableColumn id="8988" xr3:uid="{0AAFDFC2-3E3D-4740-8C10-21F563E4716C}" name="Column8940" dataDxfId="7414"/>
    <tableColumn id="8989" xr3:uid="{F471A5C2-9C8D-428B-B5C2-E64F2058E475}" name="Column8941" dataDxfId="7413"/>
    <tableColumn id="8990" xr3:uid="{60A04AA7-5178-42C7-9A04-FC0F4CF97C4E}" name="Column8942" dataDxfId="7412"/>
    <tableColumn id="8991" xr3:uid="{E4576FF9-E3AA-4728-B50D-B1D078016819}" name="Column8943" dataDxfId="7411"/>
    <tableColumn id="8992" xr3:uid="{033E5C52-FCD2-4B05-9C88-AB553E9A676A}" name="Column8944" dataDxfId="7410"/>
    <tableColumn id="8993" xr3:uid="{BE017540-BA6F-483A-BE91-38C261A87501}" name="Column8945" dataDxfId="7409"/>
    <tableColumn id="8994" xr3:uid="{0086BB80-A308-40E6-8A0B-116B17AA8DD7}" name="Column8946" dataDxfId="7408"/>
    <tableColumn id="8995" xr3:uid="{6141D9EF-5D20-46EA-A7BF-0287BC8A0C8B}" name="Column8947" dataDxfId="7407"/>
    <tableColumn id="8996" xr3:uid="{1C2388B3-104C-4FCF-A56C-1E39F882A6D9}" name="Column8948" dataDxfId="7406"/>
    <tableColumn id="8997" xr3:uid="{038BD805-C79B-4AF7-AC44-20338346395D}" name="Column8949" dataDxfId="7405"/>
    <tableColumn id="8998" xr3:uid="{B7C917F1-708A-4E2F-A51F-4F93943DD7B1}" name="Column8950" dataDxfId="7404"/>
    <tableColumn id="8999" xr3:uid="{AD24ED52-2D67-4705-BEEC-50B6C22643D0}" name="Column8951" dataDxfId="7403"/>
    <tableColumn id="9000" xr3:uid="{DC25059B-2656-45F9-A46B-06A25F567933}" name="Column8952" dataDxfId="7402"/>
    <tableColumn id="9001" xr3:uid="{A8B3AA70-C8C4-4B69-B37D-67FD82DD84EB}" name="Column8953" dataDxfId="7401"/>
    <tableColumn id="9002" xr3:uid="{FDCE2504-2AA5-4762-949F-8D574CACECE2}" name="Column8954" dataDxfId="7400"/>
    <tableColumn id="9003" xr3:uid="{94967014-EB18-4D60-B492-6867F8C378D4}" name="Column8955" dataDxfId="7399"/>
    <tableColumn id="9004" xr3:uid="{C4B4634B-3B56-4349-BA92-21FD203AD5DA}" name="Column8956" dataDxfId="7398"/>
    <tableColumn id="9005" xr3:uid="{32B76B61-E765-4F55-AE04-52CEA338A2A8}" name="Column8957" dataDxfId="7397"/>
    <tableColumn id="9006" xr3:uid="{63A9EACF-12E3-4E1D-A805-B3340FE8F193}" name="Column8958" dataDxfId="7396"/>
    <tableColumn id="9007" xr3:uid="{E1EBBF5F-2AF4-4CF1-ADB6-81DB0878843E}" name="Column8959" dataDxfId="7395"/>
    <tableColumn id="9008" xr3:uid="{52BF3489-2071-45C4-8C62-40C6DE57A89D}" name="Column8960" dataDxfId="7394"/>
    <tableColumn id="9009" xr3:uid="{205C42AD-792A-4BF3-B5A5-5B3EF75F36B6}" name="Column8961" dataDxfId="7393"/>
    <tableColumn id="9010" xr3:uid="{5D03EBAF-326F-4535-9616-E7F6E4CDA52B}" name="Column8962" dataDxfId="7392"/>
    <tableColumn id="9011" xr3:uid="{0226FA52-4BDC-46F3-B817-3145A7E8C385}" name="Column8963" dataDxfId="7391"/>
    <tableColumn id="9012" xr3:uid="{462113B2-846E-44A3-ACBF-513EAF443B39}" name="Column8964" dataDxfId="7390"/>
    <tableColumn id="9013" xr3:uid="{812DCFFC-CEEF-464F-9890-FB4672CE8592}" name="Column8965" dataDxfId="7389"/>
    <tableColumn id="9014" xr3:uid="{F06F4ED2-AB7E-40A5-8781-D3DD298D2E63}" name="Column8966" dataDxfId="7388"/>
    <tableColumn id="9015" xr3:uid="{07DA3FAA-E79D-47D6-8ED5-0385C3F04B89}" name="Column8967" dataDxfId="7387"/>
    <tableColumn id="9016" xr3:uid="{AEEAF169-B37C-48A7-8247-D9C653ACA0FA}" name="Column8968" dataDxfId="7386"/>
    <tableColumn id="9017" xr3:uid="{186D6C69-48DE-40BE-9FC8-51FE6CB1B3D3}" name="Column8969" dataDxfId="7385"/>
    <tableColumn id="9018" xr3:uid="{4F88E7A3-F305-459A-9BF4-BCB7B5E2ADF7}" name="Column8970" dataDxfId="7384"/>
    <tableColumn id="9019" xr3:uid="{C329061A-BDB2-495F-B20E-293ABE4574CF}" name="Column8971" dataDxfId="7383"/>
    <tableColumn id="9020" xr3:uid="{F685D8B8-2F74-4D4C-B7A9-E1C3E39FF0A6}" name="Column8972" dataDxfId="7382"/>
    <tableColumn id="9021" xr3:uid="{D1653571-80C9-421F-8D91-D444F583737B}" name="Column8973" dataDxfId="7381"/>
    <tableColumn id="9022" xr3:uid="{0333F7D0-FA9F-4292-AF95-5ABEF94490D9}" name="Column8974" dataDxfId="7380"/>
    <tableColumn id="9023" xr3:uid="{6CF4080B-F21B-44A1-8B3C-8F4FBB9A59A5}" name="Column8975" dataDxfId="7379"/>
    <tableColumn id="9024" xr3:uid="{12202E9B-5E7D-4A71-87B2-FEEF47AAE800}" name="Column8976" dataDxfId="7378"/>
    <tableColumn id="9025" xr3:uid="{AC3FFE2D-3786-48C9-AD79-162C7E9B3AAA}" name="Column8977" dataDxfId="7377"/>
    <tableColumn id="9026" xr3:uid="{506C197A-ED38-45F7-A855-29B5E0F74A08}" name="Column8978" dataDxfId="7376"/>
    <tableColumn id="9027" xr3:uid="{1AEA4A92-24A7-4085-B93E-DBB369754CA4}" name="Column8979" dataDxfId="7375"/>
    <tableColumn id="9028" xr3:uid="{E662FE5A-07F2-47FC-883A-8D2D38ED8B45}" name="Column8980" dataDxfId="7374"/>
    <tableColumn id="9029" xr3:uid="{9E645E8A-CFE4-404E-9DEB-08B617E222AD}" name="Column8981" dataDxfId="7373"/>
    <tableColumn id="9030" xr3:uid="{714F5D10-D719-4930-A855-06D78A2C3F64}" name="Column8982" dataDxfId="7372"/>
    <tableColumn id="9031" xr3:uid="{FEB208C1-BB3C-4486-8964-FF6DEEEEB5A1}" name="Column8983" dataDxfId="7371"/>
    <tableColumn id="9032" xr3:uid="{8F1752FA-310F-4EEA-9349-420D3056E038}" name="Column8984" dataDxfId="7370"/>
    <tableColumn id="9033" xr3:uid="{F6E61BE2-07B2-4597-B891-969786E55A57}" name="Column8985" dataDxfId="7369"/>
    <tableColumn id="9034" xr3:uid="{F6A738A3-5FA1-4067-B7BC-9DCF48B82CBB}" name="Column8986" dataDxfId="7368"/>
    <tableColumn id="9035" xr3:uid="{64E27CAF-54AE-472D-9D19-3819E39A6BED}" name="Column8987" dataDxfId="7367"/>
    <tableColumn id="9036" xr3:uid="{CE707F35-05C0-42BA-9E58-5F3124CBFB49}" name="Column8988" dataDxfId="7366"/>
    <tableColumn id="9037" xr3:uid="{1BE28851-3751-4A9A-A4CF-F128025B7712}" name="Column8989" dataDxfId="7365"/>
    <tableColumn id="9038" xr3:uid="{40FE0663-13B7-483E-A1AC-AB38D34972B1}" name="Column8990" dataDxfId="7364"/>
    <tableColumn id="9039" xr3:uid="{7FF77F21-23C9-4854-81E3-79257CA2B977}" name="Column8991" dataDxfId="7363"/>
    <tableColumn id="9040" xr3:uid="{B84EF437-B00B-4C04-A3E1-37FF989BD259}" name="Column8992" dataDxfId="7362"/>
    <tableColumn id="9041" xr3:uid="{5BB7E6C6-C2D3-4FE3-813D-088E810611ED}" name="Column8993" dataDxfId="7361"/>
    <tableColumn id="9042" xr3:uid="{17ABB48E-DF6B-4B9E-9B15-596BD0335E14}" name="Column8994" dataDxfId="7360"/>
    <tableColumn id="9043" xr3:uid="{04CFB7DD-F68C-4A4B-ABCB-BE3EE8DB51ED}" name="Column8995" dataDxfId="7359"/>
    <tableColumn id="9044" xr3:uid="{E4DC8F8C-27E8-4781-B8B9-0A695158FA9D}" name="Column8996" dataDxfId="7358"/>
    <tableColumn id="9045" xr3:uid="{7140F13E-5EF2-4528-9613-BE44521DA781}" name="Column8997" dataDxfId="7357"/>
    <tableColumn id="9046" xr3:uid="{3219DD3F-1AC6-4DAA-824C-D7063E385151}" name="Column8998" dataDxfId="7356"/>
    <tableColumn id="9047" xr3:uid="{2C41C2F8-71E5-41A5-ADED-036DB67A5254}" name="Column8999" dataDxfId="7355"/>
    <tableColumn id="9048" xr3:uid="{3852BB28-B34A-41DE-9227-55B591493FB7}" name="Column9000" dataDxfId="7354"/>
    <tableColumn id="9049" xr3:uid="{649E7196-1A42-4E06-8B8C-9969B1BE0072}" name="Column9001" dataDxfId="7353"/>
    <tableColumn id="9050" xr3:uid="{58F14132-A6BE-4575-B3FC-E75C65FBF184}" name="Column9002" dataDxfId="7352"/>
    <tableColumn id="9051" xr3:uid="{312A2ACF-D38C-46E4-A22D-A7116BE8C4DF}" name="Column9003" dataDxfId="7351"/>
    <tableColumn id="9052" xr3:uid="{8B0302E5-51D1-4591-9A50-B60D77337629}" name="Column9004" dataDxfId="7350"/>
    <tableColumn id="9053" xr3:uid="{24A6787B-A3D1-466A-B8F0-98B33E651AB9}" name="Column9005" dataDxfId="7349"/>
    <tableColumn id="9054" xr3:uid="{58BB5718-03C7-4BCC-A0D1-B46F604274AA}" name="Column9006" dataDxfId="7348"/>
    <tableColumn id="9055" xr3:uid="{83B468C9-5BC5-4308-9605-C7E3F8F53846}" name="Column9007" dataDxfId="7347"/>
    <tableColumn id="9056" xr3:uid="{84B4D0E0-7CBA-407A-8330-A9E9506ECE13}" name="Column9008" dataDxfId="7346"/>
    <tableColumn id="9057" xr3:uid="{EDA32049-1734-4A63-A570-A631D9168FD9}" name="Column9009" dataDxfId="7345"/>
    <tableColumn id="9058" xr3:uid="{E2A77CCB-37C2-448C-9B69-D8D0EC41B0EC}" name="Column9010" dataDxfId="7344"/>
    <tableColumn id="9059" xr3:uid="{810818A1-469C-457F-AAF8-8A2C17FB709F}" name="Column9011" dataDxfId="7343"/>
    <tableColumn id="9060" xr3:uid="{C2098FE0-B23A-4332-AA16-FFA596537741}" name="Column9012" dataDxfId="7342"/>
    <tableColumn id="9061" xr3:uid="{5A5CDB65-1908-408D-8EF5-3977610BAA8E}" name="Column9013" dataDxfId="7341"/>
    <tableColumn id="9062" xr3:uid="{15EE43AD-7248-4F11-8DBC-DA1828AA23CA}" name="Column9014" dataDxfId="7340"/>
    <tableColumn id="9063" xr3:uid="{B3479EC7-F55A-4F83-ACBC-BBACC7D407A6}" name="Column9015" dataDxfId="7339"/>
    <tableColumn id="9064" xr3:uid="{6114E2C8-D857-4DBB-8EE2-C50C1AA6C3A8}" name="Column9016" dataDxfId="7338"/>
    <tableColumn id="9065" xr3:uid="{4505054D-4AC3-4E10-ACE0-517637CAC69B}" name="Column9017" dataDxfId="7337"/>
    <tableColumn id="9066" xr3:uid="{539B2679-7C11-4E8A-8D3B-E4E2CE56BF96}" name="Column9018" dataDxfId="7336"/>
    <tableColumn id="9067" xr3:uid="{3250EA7A-1A91-450E-9BC2-4A7282D6E1FC}" name="Column9019" dataDxfId="7335"/>
    <tableColumn id="9068" xr3:uid="{C59FD26D-3160-488D-A165-E4419B7ED783}" name="Column9020" dataDxfId="7334"/>
    <tableColumn id="9069" xr3:uid="{C5E9D57E-C434-4928-B46E-5B1C77363EFC}" name="Column9021" dataDxfId="7333"/>
    <tableColumn id="9070" xr3:uid="{FBF05939-98D0-4679-A7CC-9E3E020B0814}" name="Column9022" dataDxfId="7332"/>
    <tableColumn id="9071" xr3:uid="{9FA4D3EC-F135-470C-9601-930756CAE74B}" name="Column9023" dataDxfId="7331"/>
    <tableColumn id="9072" xr3:uid="{E90A8AC2-6877-40BB-A3ED-D178351CC594}" name="Column9024" dataDxfId="7330"/>
    <tableColumn id="9073" xr3:uid="{00BCACCE-893A-417C-B991-8C2E4AFDEFEE}" name="Column9025" dataDxfId="7329"/>
    <tableColumn id="9074" xr3:uid="{F4E6D82C-F598-438E-9034-C349F9BDC1CC}" name="Column9026" dataDxfId="7328"/>
    <tableColumn id="9075" xr3:uid="{E8FEB1AF-1368-44C0-8B1B-D3611D1DFB9E}" name="Column9027" dataDxfId="7327"/>
    <tableColumn id="9076" xr3:uid="{B28EEE68-64BF-49E5-A380-29CDFF8E7FE6}" name="Column9028" dataDxfId="7326"/>
    <tableColumn id="9077" xr3:uid="{FC640224-49C0-476C-90F8-AE7B8C867D8D}" name="Column9029" dataDxfId="7325"/>
    <tableColumn id="9078" xr3:uid="{BE248C81-07CF-4079-9D7E-2BEC3FAF379B}" name="Column9030" dataDxfId="7324"/>
    <tableColumn id="9079" xr3:uid="{8ED80FEF-D122-4D5E-ADE3-24D8D6BA4F55}" name="Column9031" dataDxfId="7323"/>
    <tableColumn id="9080" xr3:uid="{7226D801-4D35-419F-854C-51DF9C2F29A6}" name="Column9032" dataDxfId="7322"/>
    <tableColumn id="9081" xr3:uid="{08D22EDF-8853-464C-8317-E3A62B46C469}" name="Column9033" dataDxfId="7321"/>
    <tableColumn id="9082" xr3:uid="{DC21D7D5-3DFB-4974-B3AD-1E629B8439E1}" name="Column9034" dataDxfId="7320"/>
    <tableColumn id="9083" xr3:uid="{BC79C6FC-E2AF-415E-8A67-81D9EBB32DEA}" name="Column9035" dataDxfId="7319"/>
    <tableColumn id="9084" xr3:uid="{FFF70CCE-44BB-4ADB-8EBB-65D04CFB9B5C}" name="Column9036" dataDxfId="7318"/>
    <tableColumn id="9085" xr3:uid="{4D56F7BC-4DF2-4C46-93DC-6BF42C180144}" name="Column9037" dataDxfId="7317"/>
    <tableColumn id="9086" xr3:uid="{9259CA96-F5F4-42B9-953F-D67111D513EB}" name="Column9038" dataDxfId="7316"/>
    <tableColumn id="9087" xr3:uid="{5B0BA89C-AA83-48AD-B5CF-00FE9A5E7C33}" name="Column9039" dataDxfId="7315"/>
    <tableColumn id="9088" xr3:uid="{2D0E92C7-C556-4B3B-A370-2601D12E539E}" name="Column9040" dataDxfId="7314"/>
    <tableColumn id="9089" xr3:uid="{4BC4E0FE-04ED-4F3F-B4BE-5696B4CBCF9F}" name="Column9041" dataDxfId="7313"/>
    <tableColumn id="9090" xr3:uid="{4A0E5B6A-299A-4454-8529-3DD23A0443DC}" name="Column9042" dataDxfId="7312"/>
    <tableColumn id="9091" xr3:uid="{8FAE811C-5B1F-4619-8FA1-8816C6903F61}" name="Column9043" dataDxfId="7311"/>
    <tableColumn id="9092" xr3:uid="{1866EFD3-902F-4BE5-96FD-1F17C2424896}" name="Column9044" dataDxfId="7310"/>
    <tableColumn id="9093" xr3:uid="{FA98E4F7-97AF-453A-ADA0-A742CDB0C8D9}" name="Column9045" dataDxfId="7309"/>
    <tableColumn id="9094" xr3:uid="{C24B8C50-E069-4F19-A4AD-1CA9C3F259EA}" name="Column9046" dataDxfId="7308"/>
    <tableColumn id="9095" xr3:uid="{BE0C198B-2F4B-4B5A-805A-6D1DB2654621}" name="Column9047" dataDxfId="7307"/>
    <tableColumn id="9096" xr3:uid="{B3433E32-2D70-4B08-BA6B-45A85FA7B1B8}" name="Column9048" dataDxfId="7306"/>
    <tableColumn id="9097" xr3:uid="{FD806F1D-C31F-4AF8-8EF7-80BD10ED2965}" name="Column9049" dataDxfId="7305"/>
    <tableColumn id="9098" xr3:uid="{CD8C26F5-978D-42B1-9FBD-C8D275A9DCCA}" name="Column9050" dataDxfId="7304"/>
    <tableColumn id="9099" xr3:uid="{BF939A57-250F-469D-85D2-B0737F01E327}" name="Column9051" dataDxfId="7303"/>
    <tableColumn id="9100" xr3:uid="{BFA702C7-3093-415D-B573-5D061442DFE8}" name="Column9052" dataDxfId="7302"/>
    <tableColumn id="9101" xr3:uid="{7011BE26-F142-443D-B561-7BB94C9353FD}" name="Column9053" dataDxfId="7301"/>
    <tableColumn id="9102" xr3:uid="{FA5D1AC4-E0D0-44C6-8BBA-66D43D50DD62}" name="Column9054" dataDxfId="7300"/>
    <tableColumn id="9103" xr3:uid="{B95EE146-52F2-4B89-A538-3A74C69D60E7}" name="Column9055" dataDxfId="7299"/>
    <tableColumn id="9104" xr3:uid="{78C964CB-B6D7-4E3F-A2C6-06D8554B3B50}" name="Column9056" dataDxfId="7298"/>
    <tableColumn id="9105" xr3:uid="{D15D5E6E-1D84-4A22-A48C-60DEE1A3D439}" name="Column9057" dataDxfId="7297"/>
    <tableColumn id="9106" xr3:uid="{2A61D3B3-CB57-4515-A69B-097579A99C81}" name="Column9058" dataDxfId="7296"/>
    <tableColumn id="9107" xr3:uid="{8595B784-CDC8-4E09-9FB2-34432F9D2ED1}" name="Column9059" dataDxfId="7295"/>
    <tableColumn id="9108" xr3:uid="{BA5D3F74-552F-440A-AFC1-26D9C01D441A}" name="Column9060" dataDxfId="7294"/>
    <tableColumn id="9109" xr3:uid="{9986267E-CB78-4C30-9A22-3A19089520E4}" name="Column9061" dataDxfId="7293"/>
    <tableColumn id="9110" xr3:uid="{0FD9F519-F7CE-4660-98D6-CE1597291641}" name="Column9062" dataDxfId="7292"/>
    <tableColumn id="9111" xr3:uid="{CE386904-8B36-4826-93CF-12CE81C2DF43}" name="Column9063" dataDxfId="7291"/>
    <tableColumn id="9112" xr3:uid="{8FAE46E9-68F3-461E-BD39-1849902B0A04}" name="Column9064" dataDxfId="7290"/>
    <tableColumn id="9113" xr3:uid="{DE431419-2D3A-48D3-8F79-C4943960C0D7}" name="Column9065" dataDxfId="7289"/>
    <tableColumn id="9114" xr3:uid="{CF288923-E159-4356-AA88-50EBCA2D134B}" name="Column9066" dataDxfId="7288"/>
    <tableColumn id="9115" xr3:uid="{9FD88E43-27D2-47B4-AA89-269AF2897824}" name="Column9067" dataDxfId="7287"/>
    <tableColumn id="9116" xr3:uid="{F89E0260-8AC8-4064-92F1-FAC9B44FCC76}" name="Column9068" dataDxfId="7286"/>
    <tableColumn id="9117" xr3:uid="{E7372869-1F06-4816-A46C-F3A266063805}" name="Column9069" dataDxfId="7285"/>
    <tableColumn id="9118" xr3:uid="{B4E053B0-3D51-4143-A229-1AA2F8750906}" name="Column9070" dataDxfId="7284"/>
    <tableColumn id="9119" xr3:uid="{A98F26A7-3535-40A0-8052-90FCF80BFDB7}" name="Column9071" dataDxfId="7283"/>
    <tableColumn id="9120" xr3:uid="{AEF4FFA5-0CC8-488A-8589-718545784F09}" name="Column9072" dataDxfId="7282"/>
    <tableColumn id="9121" xr3:uid="{767EF040-3A2F-4868-8C7E-995D502ED040}" name="Column9073" dataDxfId="7281"/>
    <tableColumn id="9122" xr3:uid="{07E24E0A-6712-4959-A3D4-2247910C49B1}" name="Column9074" dataDxfId="7280"/>
    <tableColumn id="9123" xr3:uid="{38431699-D60E-455F-84A9-39822C471DA9}" name="Column9075" dataDxfId="7279"/>
    <tableColumn id="9124" xr3:uid="{1E1737E4-1A63-4D4D-9F25-B552DD789B3C}" name="Column9076" dataDxfId="7278"/>
    <tableColumn id="9125" xr3:uid="{65FA2446-021A-40A3-BC46-4925D6F3ECAD}" name="Column9077" dataDxfId="7277"/>
    <tableColumn id="9126" xr3:uid="{B8D04387-22C8-4EAD-B8CD-BC2766A266FA}" name="Column9078" dataDxfId="7276"/>
    <tableColumn id="9127" xr3:uid="{7E419DC0-FB7D-4750-9721-C1F9760FF906}" name="Column9079" dataDxfId="7275"/>
    <tableColumn id="9128" xr3:uid="{43E5EE2E-6CE6-4FF3-947F-4B14AAAF484E}" name="Column9080" dataDxfId="7274"/>
    <tableColumn id="9129" xr3:uid="{AAD3D48A-26BD-47C5-BB58-9EA6A0F7F51B}" name="Column9081" dataDxfId="7273"/>
    <tableColumn id="9130" xr3:uid="{132AF8DE-33A7-4846-AF74-AC441E2470A9}" name="Column9082" dataDxfId="7272"/>
    <tableColumn id="9131" xr3:uid="{428EB197-D66F-4393-8ECC-0D4E6FD18AC8}" name="Column9083" dataDxfId="7271"/>
    <tableColumn id="9132" xr3:uid="{555D1F6A-E244-4679-8591-13F951BCAEEA}" name="Column9084" dataDxfId="7270"/>
    <tableColumn id="9133" xr3:uid="{1A6E6F14-DA18-4C28-81BB-AEAE96E8CC84}" name="Column9085" dataDxfId="7269"/>
    <tableColumn id="9134" xr3:uid="{012959F2-7C35-4964-9BF9-5A0AEB86108A}" name="Column9086" dataDxfId="7268"/>
    <tableColumn id="9135" xr3:uid="{19D784C0-A084-456A-A10F-97DC3030FEC9}" name="Column9087" dataDxfId="7267"/>
    <tableColumn id="9136" xr3:uid="{66D53F28-1D29-40CF-82E4-F69220B453DF}" name="Column9088" dataDxfId="7266"/>
    <tableColumn id="9137" xr3:uid="{8D9F3AE1-C8C5-405F-92F3-8331E18CC05E}" name="Column9089" dataDxfId="7265"/>
    <tableColumn id="9138" xr3:uid="{378FFD9B-CEF1-43DD-866C-1F68776DF5B2}" name="Column9090" dataDxfId="7264"/>
    <tableColumn id="9139" xr3:uid="{46DB5D50-B128-400C-BC91-E08B00ED955B}" name="Column9091" dataDxfId="7263"/>
    <tableColumn id="9140" xr3:uid="{EECFCEF3-0826-4044-911C-FF900D6BE736}" name="Column9092" dataDxfId="7262"/>
    <tableColumn id="9141" xr3:uid="{3E201051-99B7-4931-8721-2D7ECCC875F0}" name="Column9093" dataDxfId="7261"/>
    <tableColumn id="9142" xr3:uid="{B1653080-E179-4A1B-A79E-FC18E81855B5}" name="Column9094" dataDxfId="7260"/>
    <tableColumn id="9143" xr3:uid="{7D4F6F0C-A13E-4A79-B65D-F4649A24FD83}" name="Column9095" dataDxfId="7259"/>
    <tableColumn id="9144" xr3:uid="{FC7B8C2F-56E1-43DA-92B0-C04361788B15}" name="Column9096" dataDxfId="7258"/>
    <tableColumn id="9145" xr3:uid="{9918419B-5CAE-41C2-B3DD-1A68A1F9C4C9}" name="Column9097" dataDxfId="7257"/>
    <tableColumn id="9146" xr3:uid="{5EF8037E-0C25-4FC5-95C9-DB06BAC7A8D7}" name="Column9098" dataDxfId="7256"/>
    <tableColumn id="9147" xr3:uid="{A8EF2016-8329-4725-B672-1F32293CABEF}" name="Column9099" dataDxfId="7255"/>
    <tableColumn id="9148" xr3:uid="{1EEFC3EE-A96A-44F1-959B-8C901428238C}" name="Column9100" dataDxfId="7254"/>
    <tableColumn id="9149" xr3:uid="{9CDB0452-C87C-4033-BC77-E21CDC738EA8}" name="Column9101" dataDxfId="7253"/>
    <tableColumn id="9150" xr3:uid="{98C764B4-1336-402C-BE2E-564C9E5B17A9}" name="Column9102" dataDxfId="7252"/>
    <tableColumn id="9151" xr3:uid="{628DE72E-20FE-4F03-9A40-78167DD4E881}" name="Column9103" dataDxfId="7251"/>
    <tableColumn id="9152" xr3:uid="{E7807637-05CD-479E-A252-770652F51390}" name="Column9104" dataDxfId="7250"/>
    <tableColumn id="9153" xr3:uid="{12CCB225-89AB-49F5-95ED-60640E8B0686}" name="Column9105" dataDxfId="7249"/>
    <tableColumn id="9154" xr3:uid="{BDE0BC21-D533-4B4D-A03F-B32FF6E53015}" name="Column9106" dataDxfId="7248"/>
    <tableColumn id="9155" xr3:uid="{42FCC0BF-6526-4FC0-A61B-503B99722E38}" name="Column9107" dataDxfId="7247"/>
    <tableColumn id="9156" xr3:uid="{52D8DD26-D292-4F5E-993B-FF48FD76E664}" name="Column9108" dataDxfId="7246"/>
    <tableColumn id="9157" xr3:uid="{FCEAE693-8692-4F41-A089-8DB5F7828B93}" name="Column9109" dataDxfId="7245"/>
    <tableColumn id="9158" xr3:uid="{83F6FB5C-B3F4-4F6C-9B3F-7CF545CEF3F4}" name="Column9110" dataDxfId="7244"/>
    <tableColumn id="9159" xr3:uid="{150DF1BC-5E16-45D2-A09B-E999A75B89D7}" name="Column9111" dataDxfId="7243"/>
    <tableColumn id="9160" xr3:uid="{90C47EE2-0572-468F-8135-2F8006436BB3}" name="Column9112" dataDxfId="7242"/>
    <tableColumn id="9161" xr3:uid="{43340A2D-1A85-484C-931D-3908B2F26C48}" name="Column9113" dataDxfId="7241"/>
    <tableColumn id="9162" xr3:uid="{3FD57E41-DDB5-4A2E-99B2-31E965C3D8DA}" name="Column9114" dataDxfId="7240"/>
    <tableColumn id="9163" xr3:uid="{A82C9CD9-DA41-4277-82DA-1A430D0ACD69}" name="Column9115" dataDxfId="7239"/>
    <tableColumn id="9164" xr3:uid="{BB283B99-817E-4923-91E7-068C728961CF}" name="Column9116" dataDxfId="7238"/>
    <tableColumn id="9165" xr3:uid="{E92EA365-DD65-4CC8-8C79-30211FBB6A49}" name="Column9117" dataDxfId="7237"/>
    <tableColumn id="9166" xr3:uid="{9468C4B5-2B36-4B0B-BE81-A7CA019C1774}" name="Column9118" dataDxfId="7236"/>
    <tableColumn id="9167" xr3:uid="{1176B679-119B-40B7-8998-3A1D46460E8A}" name="Column9119" dataDxfId="7235"/>
    <tableColumn id="9168" xr3:uid="{A5780DEF-CE92-4339-AD47-C6F102F57150}" name="Column9120" dataDxfId="7234"/>
    <tableColumn id="9169" xr3:uid="{661DFD6A-8D0C-489D-994A-134F57B95DF5}" name="Column9121" dataDxfId="7233"/>
    <tableColumn id="9170" xr3:uid="{20568D36-7CA3-4340-A95B-617F86DB0E00}" name="Column9122" dataDxfId="7232"/>
    <tableColumn id="9171" xr3:uid="{3C21C580-9CF4-4092-8432-8D4A1CA10D64}" name="Column9123" dataDxfId="7231"/>
    <tableColumn id="9172" xr3:uid="{C9715590-85FC-41EA-A48B-BA4826895C37}" name="Column9124" dataDxfId="7230"/>
    <tableColumn id="9173" xr3:uid="{3C034A49-0F1A-4D5C-9B1E-F5B80209876F}" name="Column9125" dataDxfId="7229"/>
    <tableColumn id="9174" xr3:uid="{7C11F9F3-6FC7-4985-91CE-010AE765F8B5}" name="Column9126" dataDxfId="7228"/>
    <tableColumn id="9175" xr3:uid="{90B89523-F37F-4334-9741-32C9B0C97645}" name="Column9127" dataDxfId="7227"/>
    <tableColumn id="9176" xr3:uid="{945455DE-4489-4C92-99E5-914D05C52760}" name="Column9128" dataDxfId="7226"/>
    <tableColumn id="9177" xr3:uid="{395CB3ED-AD1F-4B26-B07C-2A96181F8980}" name="Column9129" dataDxfId="7225"/>
    <tableColumn id="9178" xr3:uid="{6626B5B3-4D43-4C20-8885-0B1C5F7436EB}" name="Column9130" dataDxfId="7224"/>
    <tableColumn id="9179" xr3:uid="{250074FA-AD38-47CA-A7E1-35A934308485}" name="Column9131" dataDxfId="7223"/>
    <tableColumn id="9180" xr3:uid="{61553B8A-0CD4-4D2E-BFB3-29B121F96EE2}" name="Column9132" dataDxfId="7222"/>
    <tableColumn id="9181" xr3:uid="{6EB1D8D2-9B89-4A14-A266-68CE46EFCE61}" name="Column9133" dataDxfId="7221"/>
    <tableColumn id="9182" xr3:uid="{6B4CCD72-4176-41C2-AB1D-FA4791C087F3}" name="Column9134" dataDxfId="7220"/>
    <tableColumn id="9183" xr3:uid="{D288319E-60FD-493B-BB0F-A18217458D96}" name="Column9135" dataDxfId="7219"/>
    <tableColumn id="9184" xr3:uid="{56BA211F-020D-4CD4-9508-7BEF84872FC8}" name="Column9136" dataDxfId="7218"/>
    <tableColumn id="9185" xr3:uid="{4E7B3FB8-6707-4410-BD4D-8E4AD56DC1ED}" name="Column9137" dataDxfId="7217"/>
    <tableColumn id="9186" xr3:uid="{E6E889D2-669F-4DD3-892F-DEA6DE736015}" name="Column9138" dataDxfId="7216"/>
    <tableColumn id="9187" xr3:uid="{62CD421C-48A3-46F5-A454-310BD9EB24DA}" name="Column9139" dataDxfId="7215"/>
    <tableColumn id="9188" xr3:uid="{F7701AFE-6839-4A7B-8F10-B15364772818}" name="Column9140" dataDxfId="7214"/>
    <tableColumn id="9189" xr3:uid="{E75D81F7-C372-45F4-9031-B5410C3BAF63}" name="Column9141" dataDxfId="7213"/>
    <tableColumn id="9190" xr3:uid="{A9027E7C-D4F9-4BD7-8F5B-13FDF1C563FD}" name="Column9142" dataDxfId="7212"/>
    <tableColumn id="9191" xr3:uid="{D1CAC9B8-2E6C-401D-9574-D1FD56281147}" name="Column9143" dataDxfId="7211"/>
    <tableColumn id="9192" xr3:uid="{63DF276F-A90B-457C-A431-94A68994BB61}" name="Column9144" dataDxfId="7210"/>
    <tableColumn id="9193" xr3:uid="{29CD1D6B-DD11-4B5A-992E-C24C176A8872}" name="Column9145" dataDxfId="7209"/>
    <tableColumn id="9194" xr3:uid="{EB694DE5-1B9D-47FA-86DC-A47847D9E115}" name="Column9146" dataDxfId="7208"/>
    <tableColumn id="9195" xr3:uid="{24E74D26-73EA-49DD-9D41-9AA84B6089B5}" name="Column9147" dataDxfId="7207"/>
    <tableColumn id="9196" xr3:uid="{8DF2533C-B2F4-42AD-9F8C-D50315534056}" name="Column9148" dataDxfId="7206"/>
    <tableColumn id="9197" xr3:uid="{3F89A3C9-B83C-4DE4-808D-FAAF58522A23}" name="Column9149" dataDxfId="7205"/>
    <tableColumn id="9198" xr3:uid="{6E140F9A-6E2B-4C15-9C3F-6109997781E2}" name="Column9150" dataDxfId="7204"/>
    <tableColumn id="9199" xr3:uid="{7B1A54EA-5FEE-4B34-9EEF-6297B5E3B656}" name="Column9151" dataDxfId="7203"/>
    <tableColumn id="9200" xr3:uid="{4497F264-C008-47EC-897D-ECCEE10A732B}" name="Column9152" dataDxfId="7202"/>
    <tableColumn id="9201" xr3:uid="{153A54C9-79FF-4EA3-9F5E-FC241B1B6749}" name="Column9153" dataDxfId="7201"/>
    <tableColumn id="9202" xr3:uid="{76822910-0D8C-4E72-87EB-6507D9C0840D}" name="Column9154" dataDxfId="7200"/>
    <tableColumn id="9203" xr3:uid="{8882890D-0715-468A-9064-CB614AF5A0F0}" name="Column9155" dataDxfId="7199"/>
    <tableColumn id="9204" xr3:uid="{A115B506-EEDB-4A9B-8511-59773967550E}" name="Column9156" dataDxfId="7198"/>
    <tableColumn id="9205" xr3:uid="{9E6F5A0C-1D13-4CE7-84C1-E830BC1ED150}" name="Column9157" dataDxfId="7197"/>
    <tableColumn id="9206" xr3:uid="{78838D7E-2025-480E-AB3C-904AA67E3457}" name="Column9158" dataDxfId="7196"/>
    <tableColumn id="9207" xr3:uid="{20F35455-E646-49CD-862F-AC8F34E17582}" name="Column9159" dataDxfId="7195"/>
    <tableColumn id="9208" xr3:uid="{3D35F907-466E-4996-BC69-E51A9D3FF2F1}" name="Column9160" dataDxfId="7194"/>
    <tableColumn id="9209" xr3:uid="{136F1065-E386-4373-8864-8F5CB0940294}" name="Column9161" dataDxfId="7193"/>
    <tableColumn id="9210" xr3:uid="{8D68E6BB-A7AE-4FF2-ACAC-B1DDB8465F53}" name="Column9162" dataDxfId="7192"/>
    <tableColumn id="9211" xr3:uid="{6D0206EC-A92C-43B4-9A37-A0537B135955}" name="Column9163" dataDxfId="7191"/>
    <tableColumn id="9212" xr3:uid="{131B8931-3154-4E38-A225-75038846D6F4}" name="Column9164" dataDxfId="7190"/>
    <tableColumn id="9213" xr3:uid="{FC538E66-343F-46EE-AFEF-C771CD64CC27}" name="Column9165" dataDxfId="7189"/>
    <tableColumn id="9214" xr3:uid="{3528639C-C5DE-4E05-9F6F-9E3FCD8185F1}" name="Column9166" dataDxfId="7188"/>
    <tableColumn id="9215" xr3:uid="{942F6DCD-8AA9-44B0-AC9F-D22CEF294185}" name="Column9167" dataDxfId="7187"/>
    <tableColumn id="9216" xr3:uid="{FAACC494-CD5C-4AF7-8AD3-BFBF1FD922B1}" name="Column9168" dataDxfId="7186"/>
    <tableColumn id="9217" xr3:uid="{3C46BA32-6FF8-47CA-8FD3-7F2678D8F952}" name="Column9169" dataDxfId="7185"/>
    <tableColumn id="9218" xr3:uid="{05BE7E2F-0412-4353-A38E-6DF225A8AE3A}" name="Column9170" dataDxfId="7184"/>
    <tableColumn id="9219" xr3:uid="{5EB8BFDF-2D11-4018-94DD-140FA1599E3F}" name="Column9171" dataDxfId="7183"/>
    <tableColumn id="9220" xr3:uid="{CCAF7F27-46CC-49AB-97F1-970BD7360C32}" name="Column9172" dataDxfId="7182"/>
    <tableColumn id="9221" xr3:uid="{6B305B59-2007-4559-A7C4-B509EFA6E87D}" name="Column9173" dataDxfId="7181"/>
    <tableColumn id="9222" xr3:uid="{70775CA1-5105-40C4-B8FB-0F8927ABF5B4}" name="Column9174" dataDxfId="7180"/>
    <tableColumn id="9223" xr3:uid="{84F6D8CF-0FCB-4AB3-B31A-1C0FEEB55F3D}" name="Column9175" dataDxfId="7179"/>
    <tableColumn id="9224" xr3:uid="{9FDBA45C-C862-4232-8873-3615E643E92E}" name="Column9176" dataDxfId="7178"/>
    <tableColumn id="9225" xr3:uid="{D5656700-9F2A-42BB-A1DE-C1AC9432C18C}" name="Column9177" dataDxfId="7177"/>
    <tableColumn id="9226" xr3:uid="{AF791694-70A7-4B7C-BA3A-E86AF2EA8811}" name="Column9178" dataDxfId="7176"/>
    <tableColumn id="9227" xr3:uid="{1041E36A-0CEE-47E4-B15C-2DCC44A00D99}" name="Column9179" dataDxfId="7175"/>
    <tableColumn id="9228" xr3:uid="{D989564C-52F8-467D-B813-8A5DB4F760C1}" name="Column9180" dataDxfId="7174"/>
    <tableColumn id="9229" xr3:uid="{7242AD5F-ED62-4B64-8B8F-425863A1B160}" name="Column9181" dataDxfId="7173"/>
    <tableColumn id="9230" xr3:uid="{0D0CB54C-2E4F-44FB-BEF9-884DD3BC0992}" name="Column9182" dataDxfId="7172"/>
    <tableColumn id="9231" xr3:uid="{A2BA784B-14FB-4813-9558-6007193B6DA0}" name="Column9183" dataDxfId="7171"/>
    <tableColumn id="9232" xr3:uid="{732B9F36-2CBC-4328-AE2C-757AE0C8F3D9}" name="Column9184" dataDxfId="7170"/>
    <tableColumn id="9233" xr3:uid="{E7BCCC68-ED9C-404F-8FD7-1F88D4C14A8D}" name="Column9185" dataDxfId="7169"/>
    <tableColumn id="9234" xr3:uid="{7EFBDDA2-ABC5-4E0D-8DF4-7A3070224D70}" name="Column9186" dataDxfId="7168"/>
    <tableColumn id="9235" xr3:uid="{A1B1EDDB-5DFD-46E0-B610-23D7EED0CD67}" name="Column9187" dataDxfId="7167"/>
    <tableColumn id="9236" xr3:uid="{F6FE7EBE-42BF-4D14-B3ED-C930718E14B0}" name="Column9188" dataDxfId="7166"/>
    <tableColumn id="9237" xr3:uid="{DF637522-DC63-4C2E-89E2-3C0F2A62800C}" name="Column9189" dataDxfId="7165"/>
    <tableColumn id="9238" xr3:uid="{D06ED57F-FF50-4270-9B4F-782B123ADCC6}" name="Column9190" dataDxfId="7164"/>
    <tableColumn id="9239" xr3:uid="{DCFAD77F-E256-4DE1-87A5-6BBF4C5FC13A}" name="Column9191" dataDxfId="7163"/>
    <tableColumn id="9240" xr3:uid="{20A0D5F3-6530-4236-AA65-A1DCE373E968}" name="Column9192" dataDxfId="7162"/>
    <tableColumn id="9241" xr3:uid="{69B6D0C2-3D36-4806-ABA2-34BCA8E5D7A6}" name="Column9193" dataDxfId="7161"/>
    <tableColumn id="9242" xr3:uid="{98CCE001-C345-498E-BA41-D081CDA674B6}" name="Column9194" dataDxfId="7160"/>
    <tableColumn id="9243" xr3:uid="{C3062E71-9679-4C57-95C1-39276A8059B4}" name="Column9195" dataDxfId="7159"/>
    <tableColumn id="9244" xr3:uid="{753DAF24-DF79-408C-936C-B1345D351C41}" name="Column9196" dataDxfId="7158"/>
    <tableColumn id="9245" xr3:uid="{1B22DEC9-2363-4425-AAAD-60A49662E020}" name="Column9197" dataDxfId="7157"/>
    <tableColumn id="9246" xr3:uid="{0D58DFE5-C6B5-4212-AD12-9AD72107D836}" name="Column9198" dataDxfId="7156"/>
    <tableColumn id="9247" xr3:uid="{57955D9B-6AD2-4A87-B795-AE8F7E86CE49}" name="Column9199" dataDxfId="7155"/>
    <tableColumn id="9248" xr3:uid="{D15542AC-5C80-4067-8720-AC87922AD856}" name="Column9200" dataDxfId="7154"/>
    <tableColumn id="9249" xr3:uid="{E6FED11F-A5CB-4977-A9E7-45715547A39A}" name="Column9201" dataDxfId="7153"/>
    <tableColumn id="9250" xr3:uid="{7FCCFBFE-F225-4077-9F0C-5C06A5BD4735}" name="Column9202" dataDxfId="7152"/>
    <tableColumn id="9251" xr3:uid="{58351EEA-5B6D-4BE4-B110-56E2E77D514C}" name="Column9203" dataDxfId="7151"/>
    <tableColumn id="9252" xr3:uid="{8CE0AC7D-E036-480B-B7AB-822572983FA2}" name="Column9204" dataDxfId="7150"/>
    <tableColumn id="9253" xr3:uid="{1781D140-24FC-4DE8-B77E-6D0CFB857206}" name="Column9205" dataDxfId="7149"/>
    <tableColumn id="9254" xr3:uid="{2BD86EA3-81C7-4ED8-B9F7-A45DED523CB1}" name="Column9206" dataDxfId="7148"/>
    <tableColumn id="9255" xr3:uid="{96E0F445-C0D8-41F4-857C-E72D7CF9AAB1}" name="Column9207" dataDxfId="7147"/>
    <tableColumn id="9256" xr3:uid="{811797FF-F82F-47BD-86EF-A1CEF36B84F7}" name="Column9208" dataDxfId="7146"/>
    <tableColumn id="9257" xr3:uid="{ECD0EAF3-C9BC-43A3-B818-7EDD240FFB4D}" name="Column9209" dataDxfId="7145"/>
    <tableColumn id="9258" xr3:uid="{3C9ABB62-6514-4E26-A7A0-5C7D0F2C2AC4}" name="Column9210" dataDxfId="7144"/>
    <tableColumn id="9259" xr3:uid="{36D60183-35FE-4437-92C8-37CC58E3CFEB}" name="Column9211" dataDxfId="7143"/>
    <tableColumn id="9260" xr3:uid="{1A6F0C39-2123-48A1-BC09-C2982BEBE06E}" name="Column9212" dataDxfId="7142"/>
    <tableColumn id="9261" xr3:uid="{D5498829-76CF-484B-8CFD-97779599C723}" name="Column9213" dataDxfId="7141"/>
    <tableColumn id="9262" xr3:uid="{1113C73E-B390-4039-BD53-0E035BF66BA2}" name="Column9214" dataDxfId="7140"/>
    <tableColumn id="9263" xr3:uid="{3CCF9F71-DD79-41B8-B750-9BB1DB715AFD}" name="Column9215" dataDxfId="7139"/>
    <tableColumn id="9264" xr3:uid="{A477B1E5-BFEB-4A02-961E-8577B826DE52}" name="Column9216" dataDxfId="7138"/>
    <tableColumn id="9265" xr3:uid="{4383DBA7-ED84-4445-A1B2-566B3F77D594}" name="Column9217" dataDxfId="7137"/>
    <tableColumn id="9266" xr3:uid="{4AFA7DFE-721A-434C-8572-429E8AEA6DF4}" name="Column9218" dataDxfId="7136"/>
    <tableColumn id="9267" xr3:uid="{65CE8BA9-4D9A-4764-A26A-7D4750DAE8D1}" name="Column9219" dataDxfId="7135"/>
    <tableColumn id="9268" xr3:uid="{A85A7970-3CF3-4B7E-9293-CCB99D3184E2}" name="Column9220" dataDxfId="7134"/>
    <tableColumn id="9269" xr3:uid="{56DD1022-03E2-47D3-B6AC-2AF0D82AF0FB}" name="Column9221" dataDxfId="7133"/>
    <tableColumn id="9270" xr3:uid="{9B537107-7F29-4AB8-B868-A06D26846483}" name="Column9222" dataDxfId="7132"/>
    <tableColumn id="9271" xr3:uid="{0EF5A0EA-CF18-49C2-ADCF-FC8929CDBB1E}" name="Column9223" dataDxfId="7131"/>
    <tableColumn id="9272" xr3:uid="{C879D03C-2AD7-44D8-A912-CDAFF5C37219}" name="Column9224" dataDxfId="7130"/>
    <tableColumn id="9273" xr3:uid="{7D06726B-AEDC-4F94-A51F-E7B7C6F530C9}" name="Column9225" dataDxfId="7129"/>
    <tableColumn id="9274" xr3:uid="{4E50B16D-F954-48A3-84E8-50C8E71BDCCF}" name="Column9226" dataDxfId="7128"/>
    <tableColumn id="9275" xr3:uid="{CE900ECA-9FE1-454A-A859-F7701ED0E60F}" name="Column9227" dataDxfId="7127"/>
    <tableColumn id="9276" xr3:uid="{32F81428-BD35-4AFB-AC1C-205876705EAA}" name="Column9228" dataDxfId="7126"/>
    <tableColumn id="9277" xr3:uid="{2A9C3EC3-CDBE-495E-988B-8CFC74F7B2F9}" name="Column9229" dataDxfId="7125"/>
    <tableColumn id="9278" xr3:uid="{B75915C8-55B9-46E4-9E2C-657816557AB5}" name="Column9230" dataDxfId="7124"/>
    <tableColumn id="9279" xr3:uid="{FD04BE64-E98F-44C8-9412-400732318C7B}" name="Column9231" dataDxfId="7123"/>
    <tableColumn id="9280" xr3:uid="{C269F1D1-94CA-4F50-A896-89F86E0A0C2F}" name="Column9232" dataDxfId="7122"/>
    <tableColumn id="9281" xr3:uid="{B4F696E7-C04A-4544-BF11-B696615656F5}" name="Column9233" dataDxfId="7121"/>
    <tableColumn id="9282" xr3:uid="{580EBD93-C172-4393-881F-CCEC207C88D2}" name="Column9234" dataDxfId="7120"/>
    <tableColumn id="9283" xr3:uid="{B1B2B717-109F-43C6-9ED9-C597C3933BB1}" name="Column9235" dataDxfId="7119"/>
    <tableColumn id="9284" xr3:uid="{E2A43DB8-9CCC-4434-A814-401115138D25}" name="Column9236" dataDxfId="7118"/>
    <tableColumn id="9285" xr3:uid="{73D70FDE-1443-4498-AEAC-879A47A6050B}" name="Column9237" dataDxfId="7117"/>
    <tableColumn id="9286" xr3:uid="{9140BDC1-E4D6-4D75-91F2-FA9054360F4D}" name="Column9238" dataDxfId="7116"/>
    <tableColumn id="9287" xr3:uid="{A1B177FF-2082-44AF-82AC-B7BD31821DEA}" name="Column9239" dataDxfId="7115"/>
    <tableColumn id="9288" xr3:uid="{D38E1778-CD6A-4C9A-8D61-6225C6C3518B}" name="Column9240" dataDxfId="7114"/>
    <tableColumn id="9289" xr3:uid="{43741735-D94A-4BE5-9567-949AF61D0209}" name="Column9241" dataDxfId="7113"/>
    <tableColumn id="9290" xr3:uid="{6C106214-3ACE-49C8-8627-2378A909AB02}" name="Column9242" dataDxfId="7112"/>
    <tableColumn id="9291" xr3:uid="{1CC17AF0-03CB-4443-87EA-13059D812554}" name="Column9243" dataDxfId="7111"/>
    <tableColumn id="9292" xr3:uid="{2B45C895-8C15-49F2-A7D3-E457CE9ECA5B}" name="Column9244" dataDxfId="7110"/>
    <tableColumn id="9293" xr3:uid="{28C492A6-47EA-4A28-B954-BCA0F0985895}" name="Column9245" dataDxfId="7109"/>
    <tableColumn id="9294" xr3:uid="{4D35B237-D81C-49EF-97FA-3B4EDC748653}" name="Column9246" dataDxfId="7108"/>
    <tableColumn id="9295" xr3:uid="{C72C93EF-0CFF-42F9-AB66-B11D17469F93}" name="Column9247" dataDxfId="7107"/>
    <tableColumn id="9296" xr3:uid="{591D11D2-AD1A-42B4-B42A-55001F0910AB}" name="Column9248" dataDxfId="7106"/>
    <tableColumn id="9297" xr3:uid="{ABF18240-8C23-4716-B36A-3E66C9C4E3C3}" name="Column9249" dataDxfId="7105"/>
    <tableColumn id="9298" xr3:uid="{85CC3F7A-7931-4777-99E7-7FD6980A2CC9}" name="Column9250" dataDxfId="7104"/>
    <tableColumn id="9299" xr3:uid="{66309C56-A594-4F1F-9C4C-D3D5ABD89341}" name="Column9251" dataDxfId="7103"/>
    <tableColumn id="9300" xr3:uid="{4029797C-2744-416E-9B7D-E34F7059B9C9}" name="Column9252" dataDxfId="7102"/>
    <tableColumn id="9301" xr3:uid="{80814D8B-2ABE-43A2-8283-35C273EFDC47}" name="Column9253" dataDxfId="7101"/>
    <tableColumn id="9302" xr3:uid="{B5B77559-D8F3-46A8-8943-3F3CD3B5A6D7}" name="Column9254" dataDxfId="7100"/>
    <tableColumn id="9303" xr3:uid="{A70654F1-0450-40AC-A50C-6FB416D43E5F}" name="Column9255" dataDxfId="7099"/>
    <tableColumn id="9304" xr3:uid="{F49D7170-4972-4841-8523-D2BCD58D918E}" name="Column9256" dataDxfId="7098"/>
    <tableColumn id="9305" xr3:uid="{8F3AD3DB-C5A7-45AF-9EEF-5D14EE7CD4D5}" name="Column9257" dataDxfId="7097"/>
    <tableColumn id="9306" xr3:uid="{7E970A2B-4C74-4F76-9610-7DFE6734A96A}" name="Column9258" dataDxfId="7096"/>
    <tableColumn id="9307" xr3:uid="{5837BEBA-7735-4EF7-AE0E-4CE5982D391C}" name="Column9259" dataDxfId="7095"/>
    <tableColumn id="9308" xr3:uid="{D0ED18D2-B3EA-45ED-A82A-1AE71623072C}" name="Column9260" dataDxfId="7094"/>
    <tableColumn id="9309" xr3:uid="{4BBC4C36-DD22-4600-8E48-B2D0D293A875}" name="Column9261" dataDxfId="7093"/>
    <tableColumn id="9310" xr3:uid="{9469610D-A145-4399-9AE5-05084BBB3722}" name="Column9262" dataDxfId="7092"/>
    <tableColumn id="9311" xr3:uid="{37EEFA67-574E-4923-BDD2-20896EB5438D}" name="Column9263" dataDxfId="7091"/>
    <tableColumn id="9312" xr3:uid="{EECDD480-E84D-4175-BBF1-6DF02AC45D9A}" name="Column9264" dataDxfId="7090"/>
    <tableColumn id="9313" xr3:uid="{AADBDCEE-C96C-4521-9C54-A83ED30F9744}" name="Column9265" dataDxfId="7089"/>
    <tableColumn id="9314" xr3:uid="{41FE4E7E-3285-4FBA-AE3A-65174F1F962D}" name="Column9266" dataDxfId="7088"/>
    <tableColumn id="9315" xr3:uid="{EEC5184F-5AAB-49AD-AE98-E208E0B21265}" name="Column9267" dataDxfId="7087"/>
    <tableColumn id="9316" xr3:uid="{D01F894B-D09F-4236-91FF-6D6DEF734926}" name="Column9268" dataDxfId="7086"/>
    <tableColumn id="9317" xr3:uid="{9CB6E69D-C157-48D3-8448-9FF91BEBF795}" name="Column9269" dataDxfId="7085"/>
    <tableColumn id="9318" xr3:uid="{2E3911B6-3719-4DF6-A536-4B9E7CC4658F}" name="Column9270" dataDxfId="7084"/>
    <tableColumn id="9319" xr3:uid="{C538E9E4-9417-4225-9A02-81EF9E96798B}" name="Column9271" dataDxfId="7083"/>
    <tableColumn id="9320" xr3:uid="{7B12BB96-10E5-4609-A192-186B902C56BD}" name="Column9272" dataDxfId="7082"/>
    <tableColumn id="9321" xr3:uid="{FFD82EA7-AB31-405D-982C-F0A07FDC950A}" name="Column9273" dataDxfId="7081"/>
    <tableColumn id="9322" xr3:uid="{940942B7-4E33-4AC3-B65D-1F488967CAD2}" name="Column9274" dataDxfId="7080"/>
    <tableColumn id="9323" xr3:uid="{6796C695-F196-4223-ABE2-5FBEF8E39652}" name="Column9275" dataDxfId="7079"/>
    <tableColumn id="9324" xr3:uid="{71040432-ACF1-4CC6-826E-F2F02A0E961B}" name="Column9276" dataDxfId="7078"/>
    <tableColumn id="9325" xr3:uid="{3F7DCCE0-30F9-4934-BA26-0404406FBC51}" name="Column9277" dataDxfId="7077"/>
    <tableColumn id="9326" xr3:uid="{A51F30D4-4A89-4D67-92E3-C03DBF44B1FC}" name="Column9278" dataDxfId="7076"/>
    <tableColumn id="9327" xr3:uid="{47C1B55D-633F-4396-B060-3E821D251C43}" name="Column9279" dataDxfId="7075"/>
    <tableColumn id="9328" xr3:uid="{54F6EB22-9521-4523-A20D-C059863F7DD4}" name="Column9280" dataDxfId="7074"/>
    <tableColumn id="9329" xr3:uid="{229355CB-A377-4503-A237-CDE37B789CAC}" name="Column9281" dataDxfId="7073"/>
    <tableColumn id="9330" xr3:uid="{05C8D4FD-207C-41B6-95DD-939675511BF3}" name="Column9282" dataDxfId="7072"/>
    <tableColumn id="9331" xr3:uid="{D648C043-53B2-4266-AE33-251299CA4D39}" name="Column9283" dataDxfId="7071"/>
    <tableColumn id="9332" xr3:uid="{A13328F8-C430-40DB-B30A-7355926A2A8C}" name="Column9284" dataDxfId="7070"/>
    <tableColumn id="9333" xr3:uid="{46869240-F512-4AB1-8DEA-A9B31225BA09}" name="Column9285" dataDxfId="7069"/>
    <tableColumn id="9334" xr3:uid="{C681BD4D-FCED-4F36-A65E-7A7047E06692}" name="Column9286" dataDxfId="7068"/>
    <tableColumn id="9335" xr3:uid="{688560B4-5E7B-4A2A-8EE3-20B372ED5730}" name="Column9287" dataDxfId="7067"/>
    <tableColumn id="9336" xr3:uid="{2CDC682B-A5F2-4D41-A565-9F7FDB2DD65A}" name="Column9288" dataDxfId="7066"/>
    <tableColumn id="9337" xr3:uid="{F95CAE58-85F9-4E92-B697-2E9DF5CCFEAF}" name="Column9289" dataDxfId="7065"/>
    <tableColumn id="9338" xr3:uid="{8ED5C313-3F6C-4AFD-9942-55A736CE9EE0}" name="Column9290" dataDxfId="7064"/>
    <tableColumn id="9339" xr3:uid="{349D499B-F397-4550-B645-6FF601E20D20}" name="Column9291" dataDxfId="7063"/>
    <tableColumn id="9340" xr3:uid="{FB5B08DD-87E4-4A62-85AE-4AFFF762BBAD}" name="Column9292" dataDxfId="7062"/>
    <tableColumn id="9341" xr3:uid="{2C6643E0-1A77-47CA-954F-0ACF138C6BE6}" name="Column9293" dataDxfId="7061"/>
    <tableColumn id="9342" xr3:uid="{B9B128F9-998D-4BB2-9B16-D944341609A8}" name="Column9294" dataDxfId="7060"/>
    <tableColumn id="9343" xr3:uid="{EAAD209B-CF6B-44E7-A9BB-76179B3AA355}" name="Column9295" dataDxfId="7059"/>
    <tableColumn id="9344" xr3:uid="{D6733955-D10B-4810-A79F-4A7D822C5B09}" name="Column9296" dataDxfId="7058"/>
    <tableColumn id="9345" xr3:uid="{C0F2A3DF-6114-4A31-B2D5-DB857067A5D3}" name="Column9297" dataDxfId="7057"/>
    <tableColumn id="9346" xr3:uid="{253239D3-3349-42BE-B892-4E255E612238}" name="Column9298" dataDxfId="7056"/>
    <tableColumn id="9347" xr3:uid="{8707ED33-5601-41ED-B04B-B55C28C59E0E}" name="Column9299" dataDxfId="7055"/>
    <tableColumn id="9348" xr3:uid="{F1947C7F-CA56-4CBD-881A-3CFABF0480CC}" name="Column9300" dataDxfId="7054"/>
    <tableColumn id="9349" xr3:uid="{47BAEEC1-30A3-425E-ADD7-E88D6BF8E3A9}" name="Column9301" dataDxfId="7053"/>
    <tableColumn id="9350" xr3:uid="{09304C1E-3033-4174-8BB1-C1F817F1AB42}" name="Column9302" dataDxfId="7052"/>
    <tableColumn id="9351" xr3:uid="{1E6CF7BB-D819-4A2B-BFEC-D7ED1BA29F7D}" name="Column9303" dataDxfId="7051"/>
    <tableColumn id="9352" xr3:uid="{5EF17DB3-C91B-48EE-806A-8709CCE33680}" name="Column9304" dataDxfId="7050"/>
    <tableColumn id="9353" xr3:uid="{F9332DE8-8533-44ED-9A22-8DD6B7FC0A40}" name="Column9305" dataDxfId="7049"/>
    <tableColumn id="9354" xr3:uid="{A9F0FEBC-7E0E-4B68-BDFD-11EBF7DDB5AA}" name="Column9306" dataDxfId="7048"/>
    <tableColumn id="9355" xr3:uid="{46E03196-D865-476F-83F8-FEC812574A66}" name="Column9307" dataDxfId="7047"/>
    <tableColumn id="9356" xr3:uid="{A2EA6A2A-9AA7-4FC6-AA9A-6DC9D5136E87}" name="Column9308" dataDxfId="7046"/>
    <tableColumn id="9357" xr3:uid="{21F1B1D4-8445-4A61-8A40-7F6BFB01EEAE}" name="Column9309" dataDxfId="7045"/>
    <tableColumn id="9358" xr3:uid="{CB796A30-294F-4588-8EC3-0A01676F00C2}" name="Column9310" dataDxfId="7044"/>
    <tableColumn id="9359" xr3:uid="{4E3EE83A-4968-4BCC-9C87-B255FAB30674}" name="Column9311" dataDxfId="7043"/>
    <tableColumn id="9360" xr3:uid="{655EA359-463C-42CD-AB49-EEBEF9357D96}" name="Column9312" dataDxfId="7042"/>
    <tableColumn id="9361" xr3:uid="{B53D7313-A150-47EE-98C8-31DDD1D329B3}" name="Column9313" dataDxfId="7041"/>
    <tableColumn id="9362" xr3:uid="{0B9CF640-FFD9-402A-9172-56F3AF1290D8}" name="Column9314" dataDxfId="7040"/>
    <tableColumn id="9363" xr3:uid="{622C80D3-C11E-4B4F-94B5-6DBFA84A562F}" name="Column9315" dataDxfId="7039"/>
    <tableColumn id="9364" xr3:uid="{8E291E3E-82BF-4007-B1EB-14EA47F9ADB1}" name="Column9316" dataDxfId="7038"/>
    <tableColumn id="9365" xr3:uid="{F5C25141-F9D3-441F-880A-65B2A61E95D3}" name="Column9317" dataDxfId="7037"/>
    <tableColumn id="9366" xr3:uid="{12B93F26-95E7-4D00-82B3-003008A079AA}" name="Column9318" dataDxfId="7036"/>
    <tableColumn id="9367" xr3:uid="{8C6EA873-B277-4733-9947-EE6AAF9AB0D0}" name="Column9319" dataDxfId="7035"/>
    <tableColumn id="9368" xr3:uid="{A1FCE86E-69E5-427F-B4D2-B3E8E32F03BF}" name="Column9320" dataDxfId="7034"/>
    <tableColumn id="9369" xr3:uid="{244D99E6-8318-429A-A29B-70CB11890109}" name="Column9321" dataDxfId="7033"/>
    <tableColumn id="9370" xr3:uid="{AE7F7F22-8785-4720-813D-B7E0CE1647A6}" name="Column9322" dataDxfId="7032"/>
    <tableColumn id="9371" xr3:uid="{00201611-51FC-4B5E-A063-79C5939B86F3}" name="Column9323" dataDxfId="7031"/>
    <tableColumn id="9372" xr3:uid="{8311123B-0B0C-4126-9CE1-B932410951C1}" name="Column9324" dataDxfId="7030"/>
    <tableColumn id="9373" xr3:uid="{F68F093B-A1BE-43C6-97A4-C295AE8E320D}" name="Column9325" dataDxfId="7029"/>
    <tableColumn id="9374" xr3:uid="{A0DC7A5E-1251-4E0C-A4A2-A58C7A258471}" name="Column9326" dataDxfId="7028"/>
    <tableColumn id="9375" xr3:uid="{065725B0-A776-4115-8E68-262E5241120D}" name="Column9327" dataDxfId="7027"/>
    <tableColumn id="9376" xr3:uid="{4B79E080-DCEC-43A7-8279-F33434C3B58D}" name="Column9328" dataDxfId="7026"/>
    <tableColumn id="9377" xr3:uid="{5A4E239D-4081-4AB2-A4FA-F6C5AF5C406D}" name="Column9329" dataDxfId="7025"/>
    <tableColumn id="9378" xr3:uid="{D0C9D289-1AC1-4398-B8CE-8A677C047754}" name="Column9330" dataDxfId="7024"/>
    <tableColumn id="9379" xr3:uid="{A61B79F8-3E3D-478E-87E2-8E3890D6FEB0}" name="Column9331" dataDxfId="7023"/>
    <tableColumn id="9380" xr3:uid="{5BB224EB-0256-4C75-BDAE-A634396CEB28}" name="Column9332" dataDxfId="7022"/>
    <tableColumn id="9381" xr3:uid="{81A43785-5423-486E-988E-79B02FE9A536}" name="Column9333" dataDxfId="7021"/>
    <tableColumn id="9382" xr3:uid="{C1362B69-4372-4EB1-B644-4C1BB5D84DDD}" name="Column9334" dataDxfId="7020"/>
    <tableColumn id="9383" xr3:uid="{DC2CFDFB-A531-4C1B-8F71-6295D51CA398}" name="Column9335" dataDxfId="7019"/>
    <tableColumn id="9384" xr3:uid="{42DBAAA6-9086-4181-AEDD-32C11E1942F5}" name="Column9336" dataDxfId="7018"/>
    <tableColumn id="9385" xr3:uid="{34608214-6F06-444D-B624-2F0C4C85CE99}" name="Column9337" dataDxfId="7017"/>
    <tableColumn id="9386" xr3:uid="{88188EF4-212E-4719-A3A8-A7D6B58C010D}" name="Column9338" dataDxfId="7016"/>
    <tableColumn id="9387" xr3:uid="{340E8341-3B18-4A99-8D63-71CB3CA6A4F1}" name="Column9339" dataDxfId="7015"/>
    <tableColumn id="9388" xr3:uid="{E16FE19D-83A6-466F-801D-04128AC57B30}" name="Column9340" dataDxfId="7014"/>
    <tableColumn id="9389" xr3:uid="{CD7CEC63-6EF7-409F-9198-4A210CF99929}" name="Column9341" dataDxfId="7013"/>
    <tableColumn id="9390" xr3:uid="{52FF821D-BB6C-4D14-9036-C651912E46D7}" name="Column9342" dataDxfId="7012"/>
    <tableColumn id="9391" xr3:uid="{20284EE2-CE16-49D5-A228-028175B43BAA}" name="Column9343" dataDxfId="7011"/>
    <tableColumn id="9392" xr3:uid="{0F93402A-C067-4EC8-8C08-3FDB86587412}" name="Column9344" dataDxfId="7010"/>
    <tableColumn id="9393" xr3:uid="{7377557F-B900-45C1-BA70-8596684D9B3C}" name="Column9345" dataDxfId="7009"/>
    <tableColumn id="9394" xr3:uid="{8857E4A2-B3EE-4FA6-B4ED-7446768DEB11}" name="Column9346" dataDxfId="7008"/>
    <tableColumn id="9395" xr3:uid="{76FA479D-560C-4AC2-8C1A-E1DE101C1624}" name="Column9347" dataDxfId="7007"/>
    <tableColumn id="9396" xr3:uid="{895618D9-B386-41C8-A0CC-4CAF24532F36}" name="Column9348" dataDxfId="7006"/>
    <tableColumn id="9397" xr3:uid="{92E9CDBD-E156-4ADF-A21A-CB766AA31BC3}" name="Column9349" dataDxfId="7005"/>
    <tableColumn id="9398" xr3:uid="{88D4FEA3-37F6-41E9-AC24-7E9D234342D3}" name="Column9350" dataDxfId="7004"/>
    <tableColumn id="9399" xr3:uid="{D15D77C2-14E6-4B37-A2E7-0DA7750481CF}" name="Column9351" dataDxfId="7003"/>
    <tableColumn id="9400" xr3:uid="{FF15AEE3-4F42-4FF1-84F4-02E9299349B9}" name="Column9352" dataDxfId="7002"/>
    <tableColumn id="9401" xr3:uid="{899B4AD4-BE45-4B6D-9881-C7ADBB0F9308}" name="Column9353" dataDxfId="7001"/>
    <tableColumn id="9402" xr3:uid="{6D7E425D-3A6D-43B0-95F2-18E45CE4B8E0}" name="Column9354" dataDxfId="7000"/>
    <tableColumn id="9403" xr3:uid="{A88CEEF3-A960-4255-BE2B-AE54604A4F11}" name="Column9355" dataDxfId="6999"/>
    <tableColumn id="9404" xr3:uid="{838820CC-DFE8-492A-A73F-DAC6A25DBFB6}" name="Column9356" dataDxfId="6998"/>
    <tableColumn id="9405" xr3:uid="{B10269D3-7FA4-4464-AC08-1425D65D1985}" name="Column9357" dataDxfId="6997"/>
    <tableColumn id="9406" xr3:uid="{4E939154-553D-4AFD-B42C-A5E3B1ABB502}" name="Column9358" dataDxfId="6996"/>
    <tableColumn id="9407" xr3:uid="{6279EC8A-FE7B-4857-B401-28B2905D42E9}" name="Column9359" dataDxfId="6995"/>
    <tableColumn id="9408" xr3:uid="{8022EDD5-FC69-44C2-ACFB-AFE6CB85FAF9}" name="Column9360" dataDxfId="6994"/>
    <tableColumn id="9409" xr3:uid="{76B60D5B-F289-48C2-A0C8-8970A8546446}" name="Column9361" dataDxfId="6993"/>
    <tableColumn id="9410" xr3:uid="{5DEDBF07-B26F-4B46-90CD-5ACC1489A75E}" name="Column9362" dataDxfId="6992"/>
    <tableColumn id="9411" xr3:uid="{6D8F4E67-B8DD-4991-8D16-C4C993E20E53}" name="Column9363" dataDxfId="6991"/>
    <tableColumn id="9412" xr3:uid="{F59B9E7C-81DD-4C1C-AE9F-82B8BE2FDFFE}" name="Column9364" dataDxfId="6990"/>
    <tableColumn id="9413" xr3:uid="{0C76A21F-2653-4EAB-9154-77345A6B1B45}" name="Column9365" dataDxfId="6989"/>
    <tableColumn id="9414" xr3:uid="{441D4D58-C142-4645-8914-6D7040B49687}" name="Column9366" dataDxfId="6988"/>
    <tableColumn id="9415" xr3:uid="{D0958A95-FC11-4069-BAF7-A10696D83F2D}" name="Column9367" dataDxfId="6987"/>
    <tableColumn id="9416" xr3:uid="{FC5B394B-1FA9-45F7-A03E-FB91A1ABF67C}" name="Column9368" dataDxfId="6986"/>
    <tableColumn id="9417" xr3:uid="{D2EE6400-A280-4BA5-A2B3-65DCBB762EAD}" name="Column9369" dataDxfId="6985"/>
    <tableColumn id="9418" xr3:uid="{78B6220B-5B93-4614-AFDA-0A9D0851D406}" name="Column9370" dataDxfId="6984"/>
    <tableColumn id="9419" xr3:uid="{32989C71-DAF8-4369-B657-21B814AF5A23}" name="Column9371" dataDxfId="6983"/>
    <tableColumn id="9420" xr3:uid="{ABCC24BD-26F6-4856-91B5-DB7B8475A2A1}" name="Column9372" dataDxfId="6982"/>
    <tableColumn id="9421" xr3:uid="{B19D84E7-A5D5-4265-AB31-9125FEDBC999}" name="Column9373" dataDxfId="6981"/>
    <tableColumn id="9422" xr3:uid="{8D618199-7BFC-40A0-8258-06FB94A50443}" name="Column9374" dataDxfId="6980"/>
    <tableColumn id="9423" xr3:uid="{50F444C3-59C7-4468-9AAF-EE6E484B1FB2}" name="Column9375" dataDxfId="6979"/>
    <tableColumn id="9424" xr3:uid="{7FF44313-934E-453D-ACA6-BB064B54E3B7}" name="Column9376" dataDxfId="6978"/>
    <tableColumn id="9425" xr3:uid="{53B76816-8694-4EE6-A361-4FD048958D5D}" name="Column9377" dataDxfId="6977"/>
    <tableColumn id="9426" xr3:uid="{7D9ADA95-48D0-48D0-B859-4DD001667293}" name="Column9378" dataDxfId="6976"/>
    <tableColumn id="9427" xr3:uid="{0109A335-7C4A-4CC0-AD6D-3B50E70E6B15}" name="Column9379" dataDxfId="6975"/>
    <tableColumn id="9428" xr3:uid="{5ADDB174-6E1A-4111-B69D-9B5AE828D0CF}" name="Column9380" dataDxfId="6974"/>
    <tableColumn id="9429" xr3:uid="{C99090A4-B298-40E5-B102-79FEFA62B477}" name="Column9381" dataDxfId="6973"/>
    <tableColumn id="9430" xr3:uid="{17732628-26FF-414B-9479-8610792ED0BE}" name="Column9382" dataDxfId="6972"/>
    <tableColumn id="9431" xr3:uid="{D5C05B12-35CE-492B-A21B-0E629171BD40}" name="Column9383" dataDxfId="6971"/>
    <tableColumn id="9432" xr3:uid="{00D9C705-84EF-49A9-8D99-6FB8B53DA56F}" name="Column9384" dataDxfId="6970"/>
    <tableColumn id="9433" xr3:uid="{C91A01C2-5C81-487C-B3E7-6403EC5DD5F0}" name="Column9385" dataDxfId="6969"/>
    <tableColumn id="9434" xr3:uid="{D91628A9-DECE-4BEE-9C16-502DACCF097C}" name="Column9386" dataDxfId="6968"/>
    <tableColumn id="9435" xr3:uid="{B9173D96-529D-4FBE-BB46-151A0A6BD38B}" name="Column9387" dataDxfId="6967"/>
    <tableColumn id="9436" xr3:uid="{3047A5A7-D9DC-42D7-AC4C-CEE5422A4430}" name="Column9388" dataDxfId="6966"/>
    <tableColumn id="9437" xr3:uid="{0331021E-06DA-44EA-B50C-2D388D556D9F}" name="Column9389" dataDxfId="6965"/>
    <tableColumn id="9438" xr3:uid="{4E5D3EB7-8A4C-4C8E-81DD-55AE99D72C49}" name="Column9390" dataDxfId="6964"/>
    <tableColumn id="9439" xr3:uid="{9B18A73D-E266-444C-9A66-DEBA27FDFD68}" name="Column9391" dataDxfId="6963"/>
    <tableColumn id="9440" xr3:uid="{52A4ADBF-D611-41DB-B740-3785130F0CC2}" name="Column9392" dataDxfId="6962"/>
    <tableColumn id="9441" xr3:uid="{D0A39862-D1FA-4C31-9025-4771F723F2AD}" name="Column9393" dataDxfId="6961"/>
    <tableColumn id="9442" xr3:uid="{E6F02DB8-9F90-4E24-89D6-ED990ED9E902}" name="Column9394" dataDxfId="6960"/>
    <tableColumn id="9443" xr3:uid="{47183E97-3D6B-4A45-9734-B9FC40AEB4B0}" name="Column9395" dataDxfId="6959"/>
    <tableColumn id="9444" xr3:uid="{E086F3A5-BA42-4331-A424-A787E5874971}" name="Column9396" dataDxfId="6958"/>
    <tableColumn id="9445" xr3:uid="{AD92B0D4-2747-490B-8380-A1E4EE7C34FA}" name="Column9397" dataDxfId="6957"/>
    <tableColumn id="9446" xr3:uid="{B05BC850-0274-4BE1-87EF-AFE6E3BCF6D1}" name="Column9398" dataDxfId="6956"/>
    <tableColumn id="9447" xr3:uid="{3DE7EC57-DB35-46DF-B74D-E883BD97C875}" name="Column9399" dataDxfId="6955"/>
    <tableColumn id="9448" xr3:uid="{34CEE7AD-0EE0-42FB-879F-B93B18B679D5}" name="Column9400" dataDxfId="6954"/>
    <tableColumn id="9449" xr3:uid="{4EA4A6F4-73A8-458D-9194-1BB2D6271A0C}" name="Column9401" dataDxfId="6953"/>
    <tableColumn id="9450" xr3:uid="{98620E26-8BEB-493A-BCFF-4CE5BD739E3C}" name="Column9402" dataDxfId="6952"/>
    <tableColumn id="9451" xr3:uid="{55D9330C-42B4-480D-B7C8-626C4F4A3E4B}" name="Column9403" dataDxfId="6951"/>
    <tableColumn id="9452" xr3:uid="{085D8D51-BFB0-4E71-B9BB-6BE86D9F1EAF}" name="Column9404" dataDxfId="6950"/>
    <tableColumn id="9453" xr3:uid="{51AAF59A-4707-4B62-93D0-E9DDBC7D2EAF}" name="Column9405" dataDxfId="6949"/>
    <tableColumn id="9454" xr3:uid="{959323F6-EBBB-4978-B52B-648FFA5809D5}" name="Column9406" dataDxfId="6948"/>
    <tableColumn id="9455" xr3:uid="{2F19A9DD-010A-467D-9B06-C5F9912B9FE1}" name="Column9407" dataDxfId="6947"/>
    <tableColumn id="9456" xr3:uid="{2A6CB435-27A7-43E4-B6A4-AB569541F931}" name="Column9408" dataDxfId="6946"/>
    <tableColumn id="9457" xr3:uid="{ACC6B8E6-5DB7-415F-8AA7-B6E794712315}" name="Column9409" dataDxfId="6945"/>
    <tableColumn id="9458" xr3:uid="{B9652EF6-0446-41C2-85EA-E187B4934AC2}" name="Column9410" dataDxfId="6944"/>
    <tableColumn id="9459" xr3:uid="{AEF7332C-3EDC-49D1-9F7B-063175E6563F}" name="Column9411" dataDxfId="6943"/>
    <tableColumn id="9460" xr3:uid="{44EBD192-9DB8-4857-9BF0-F12C7317D516}" name="Column9412" dataDxfId="6942"/>
    <tableColumn id="9461" xr3:uid="{42797FB6-D438-439A-95F7-1DAEAB55FF14}" name="Column9413" dataDxfId="6941"/>
    <tableColumn id="9462" xr3:uid="{5DB16B93-F092-4AF1-AC1C-ACE74F80D271}" name="Column9414" dataDxfId="6940"/>
    <tableColumn id="9463" xr3:uid="{B9082CE5-BDFE-41E8-B34A-CEFDE2E33A18}" name="Column9415" dataDxfId="6939"/>
    <tableColumn id="9464" xr3:uid="{D1C891BD-5711-4841-9431-BC6EF0327B8F}" name="Column9416" dataDxfId="6938"/>
    <tableColumn id="9465" xr3:uid="{7093C6A5-7C85-4B66-B7C0-E29821FEB969}" name="Column9417" dataDxfId="6937"/>
    <tableColumn id="9466" xr3:uid="{640C973F-4C7A-4B7F-8E6B-C627BABDE3CD}" name="Column9418" dataDxfId="6936"/>
    <tableColumn id="9467" xr3:uid="{C49A88BB-29C4-4E17-88DA-7C85BCA33CFC}" name="Column9419" dataDxfId="6935"/>
    <tableColumn id="9468" xr3:uid="{79A4AED3-9198-439B-8AEA-95B6EAB41E29}" name="Column9420" dataDxfId="6934"/>
    <tableColumn id="9469" xr3:uid="{101A57B8-0015-4C5A-BC92-D8874B711427}" name="Column9421" dataDxfId="6933"/>
    <tableColumn id="9470" xr3:uid="{4143B10B-CE02-4E10-A982-5C6CE9DC2CC4}" name="Column9422" dataDxfId="6932"/>
    <tableColumn id="9471" xr3:uid="{B02FC1AB-1B66-421B-8B15-12AED0768E7D}" name="Column9423" dataDxfId="6931"/>
    <tableColumn id="9472" xr3:uid="{DF8A22D4-1C2C-4E39-A5CF-23C344511E74}" name="Column9424" dataDxfId="6930"/>
    <tableColumn id="9473" xr3:uid="{9408616F-A7CA-44E0-8EE7-8F3134D64C35}" name="Column9425" dataDxfId="6929"/>
    <tableColumn id="9474" xr3:uid="{519886D0-FCAE-457E-9328-D12BC72AFCF1}" name="Column9426" dataDxfId="6928"/>
    <tableColumn id="9475" xr3:uid="{D14BC76B-0CB8-4F88-A311-4CAE3C20E4AB}" name="Column9427" dataDxfId="6927"/>
    <tableColumn id="9476" xr3:uid="{3A4F6876-D89E-4020-9F91-3CADAFD4A05F}" name="Column9428" dataDxfId="6926"/>
    <tableColumn id="9477" xr3:uid="{33304954-20B8-49DF-BB96-B9D12B3C75A5}" name="Column9429" dataDxfId="6925"/>
    <tableColumn id="9478" xr3:uid="{4079C274-2456-4B1C-81B1-51A03254C64C}" name="Column9430" dataDxfId="6924"/>
    <tableColumn id="9479" xr3:uid="{971F6F44-DF53-4033-A90D-0431AD9B6AD0}" name="Column9431" dataDxfId="6923"/>
    <tableColumn id="9480" xr3:uid="{C2DCAAC1-12B2-43ED-A929-7B6487C4406E}" name="Column9432" dataDxfId="6922"/>
    <tableColumn id="9481" xr3:uid="{F930D35C-4FB3-4D17-9CA9-B438B2A10C0C}" name="Column9433" dataDxfId="6921"/>
    <tableColumn id="9482" xr3:uid="{5372219E-3DC3-4142-BC3D-A554737DC34F}" name="Column9434" dataDxfId="6920"/>
    <tableColumn id="9483" xr3:uid="{397D744E-330D-49A0-BD90-6F1392D58CB3}" name="Column9435" dataDxfId="6919"/>
    <tableColumn id="9484" xr3:uid="{DC4AD840-DA5D-4048-9522-1ED323E851B9}" name="Column9436" dataDxfId="6918"/>
    <tableColumn id="9485" xr3:uid="{027BA002-01C2-446E-8A0A-70D7F15FCCC0}" name="Column9437" dataDxfId="6917"/>
    <tableColumn id="9486" xr3:uid="{B0FF383A-4CDF-4E08-B452-E62DA0C77BBC}" name="Column9438" dataDxfId="6916"/>
    <tableColumn id="9487" xr3:uid="{E23725B9-5261-498B-B272-7FD05668F6EE}" name="Column9439" dataDxfId="6915"/>
    <tableColumn id="9488" xr3:uid="{DD7171AF-4F7F-4297-B3BD-C278CC31D67A}" name="Column9440" dataDxfId="6914"/>
    <tableColumn id="9489" xr3:uid="{A45ED10F-0688-4C41-9008-CC02086DCDED}" name="Column9441" dataDxfId="6913"/>
    <tableColumn id="9490" xr3:uid="{F0BABCA5-09D7-4A9A-881C-FB24A99E9D3E}" name="Column9442" dataDxfId="6912"/>
    <tableColumn id="9491" xr3:uid="{E29B3E46-81AC-4301-B4B6-A60075333432}" name="Column9443" dataDxfId="6911"/>
    <tableColumn id="9492" xr3:uid="{E346F1B9-9828-4B90-B8FF-192694350905}" name="Column9444" dataDxfId="6910"/>
    <tableColumn id="9493" xr3:uid="{F4FBD391-5EDA-43D6-A16F-B77CB68CA64A}" name="Column9445" dataDxfId="6909"/>
    <tableColumn id="9494" xr3:uid="{C0930318-A65F-40DD-A460-4A8F63CE251F}" name="Column9446" dataDxfId="6908"/>
    <tableColumn id="9495" xr3:uid="{664CE954-6A75-469E-9F6E-60A0D814BF78}" name="Column9447" dataDxfId="6907"/>
    <tableColumn id="9496" xr3:uid="{148292E5-84B7-4CC9-89D0-871D7F6F7612}" name="Column9448" dataDxfId="6906"/>
    <tableColumn id="9497" xr3:uid="{E1892B95-EBB2-430B-8C73-315B48519924}" name="Column9449" dataDxfId="6905"/>
    <tableColumn id="9498" xr3:uid="{13B3A529-C022-40FA-8DDB-06C2D75AC089}" name="Column9450" dataDxfId="6904"/>
    <tableColumn id="9499" xr3:uid="{CE337971-B584-448D-AC97-104CABA168C6}" name="Column9451" dataDxfId="6903"/>
    <tableColumn id="9500" xr3:uid="{7D03AC94-BB7A-4DBC-B021-3968705B9F94}" name="Column9452" dataDxfId="6902"/>
    <tableColumn id="9501" xr3:uid="{8970097F-EFC2-4651-BD50-1F720F560C17}" name="Column9453" dataDxfId="6901"/>
    <tableColumn id="9502" xr3:uid="{AE391EEB-8BDD-4FB6-9F57-34F3DE1EE19B}" name="Column9454" dataDxfId="6900"/>
    <tableColumn id="9503" xr3:uid="{CE51ED49-CF17-46A6-82F5-752B64C5C087}" name="Column9455" dataDxfId="6899"/>
    <tableColumn id="9504" xr3:uid="{F4621ABA-F5D3-422A-A115-4FBF052ED551}" name="Column9456" dataDxfId="6898"/>
    <tableColumn id="9505" xr3:uid="{B1A3E1D2-137C-42F0-A82C-E2DF7BDA2283}" name="Column9457" dataDxfId="6897"/>
    <tableColumn id="9506" xr3:uid="{5D3BA2C5-F905-41CE-8E28-9BB8FAE0B196}" name="Column9458" dataDxfId="6896"/>
    <tableColumn id="9507" xr3:uid="{D7F7E340-F1EB-4C49-86F5-B69612E61F69}" name="Column9459" dataDxfId="6895"/>
    <tableColumn id="9508" xr3:uid="{BE814DAE-BAED-4B84-AD60-84FB1013DA92}" name="Column9460" dataDxfId="6894"/>
    <tableColumn id="9509" xr3:uid="{4ABF6688-5B34-4900-A6F7-11DA75A32D9C}" name="Column9461" dataDxfId="6893"/>
    <tableColumn id="9510" xr3:uid="{E5D72CD9-BC6E-42A0-B5B9-070805247AD1}" name="Column9462" dataDxfId="6892"/>
    <tableColumn id="9511" xr3:uid="{002BCD58-EFFA-47A7-8C81-D9EF91AAF39C}" name="Column9463" dataDxfId="6891"/>
    <tableColumn id="9512" xr3:uid="{5FB8CF44-F589-4B3F-89F3-E927B0208BCF}" name="Column9464" dataDxfId="6890"/>
    <tableColumn id="9513" xr3:uid="{F508323C-9C77-4344-8364-7704E766C48A}" name="Column9465" dataDxfId="6889"/>
    <tableColumn id="9514" xr3:uid="{09B42104-2F85-4A0C-858B-19B6C83A9263}" name="Column9466" dataDxfId="6888"/>
    <tableColumn id="9515" xr3:uid="{A2C7A9F4-DDB8-4A97-A7C3-C8D85FF70F3B}" name="Column9467" dataDxfId="6887"/>
    <tableColumn id="9516" xr3:uid="{C655B2AF-DC7D-494A-848B-51526F8D96B5}" name="Column9468" dataDxfId="6886"/>
    <tableColumn id="9517" xr3:uid="{C8EF8C85-9CC2-400A-87AA-C14504389B6B}" name="Column9469" dataDxfId="6885"/>
    <tableColumn id="9518" xr3:uid="{D5F2F8F7-3DC9-44AF-8F12-C3DDB6B6F29F}" name="Column9470" dataDxfId="6884"/>
    <tableColumn id="9519" xr3:uid="{831E7627-A454-4A72-9B11-CD08732EC9F2}" name="Column9471" dataDxfId="6883"/>
    <tableColumn id="9520" xr3:uid="{A0532A1C-46AE-42C7-8A35-7E22B25F0FC7}" name="Column9472" dataDxfId="6882"/>
    <tableColumn id="9521" xr3:uid="{FA25D7C3-FDC6-46D7-8E2D-26A5287A7425}" name="Column9473" dataDxfId="6881"/>
    <tableColumn id="9522" xr3:uid="{0BCE5209-F339-42A8-A166-346C758E6911}" name="Column9474" dataDxfId="6880"/>
    <tableColumn id="9523" xr3:uid="{88965200-9CC4-4A23-A6E4-0CED74A8BDC4}" name="Column9475" dataDxfId="6879"/>
    <tableColumn id="9524" xr3:uid="{BD53628D-ECC8-4A65-9FF9-C8ED10AF10B2}" name="Column9476" dataDxfId="6878"/>
    <tableColumn id="9525" xr3:uid="{1D20C7A9-F5CA-4D87-B274-4713DE6DBA7C}" name="Column9477" dataDxfId="6877"/>
    <tableColumn id="9526" xr3:uid="{9B92028F-1FED-4E1F-AEA6-B6002FB6EB8B}" name="Column9478" dataDxfId="6876"/>
    <tableColumn id="9527" xr3:uid="{F905AF7D-F4FA-45F6-8A0A-6632C00D0518}" name="Column9479" dataDxfId="6875"/>
    <tableColumn id="9528" xr3:uid="{60BC3CBC-32E2-45FC-A2E4-8ADEED070479}" name="Column9480" dataDxfId="6874"/>
    <tableColumn id="9529" xr3:uid="{E2DF2DCA-BA21-4005-AA8D-0D21A4755CA5}" name="Column9481" dataDxfId="6873"/>
    <tableColumn id="9530" xr3:uid="{C7100F74-B74F-4256-ADD3-8299EE7FBF95}" name="Column9482" dataDxfId="6872"/>
    <tableColumn id="9531" xr3:uid="{AB34A85E-515F-4B27-A274-F9C7E92612EC}" name="Column9483" dataDxfId="6871"/>
    <tableColumn id="9532" xr3:uid="{3888DB41-4EAA-4848-84DC-D5CACC58E687}" name="Column9484" dataDxfId="6870"/>
    <tableColumn id="9533" xr3:uid="{BCBFC8DB-B76D-4FAE-84D9-F3072AC577BC}" name="Column9485" dataDxfId="6869"/>
    <tableColumn id="9534" xr3:uid="{9C02494A-054B-4010-9EE3-F0E90A6066E1}" name="Column9486" dataDxfId="6868"/>
    <tableColumn id="9535" xr3:uid="{214E9BBF-08F8-4BBC-89AB-F048BFE4159A}" name="Column9487" dataDxfId="6867"/>
    <tableColumn id="9536" xr3:uid="{BD1AB597-B750-4172-A08D-414E7424181D}" name="Column9488" dataDxfId="6866"/>
    <tableColumn id="9537" xr3:uid="{AFFF74C3-3EB8-46DC-B273-FB9F7B058F06}" name="Column9489" dataDxfId="6865"/>
    <tableColumn id="9538" xr3:uid="{D8E1C6B9-6E98-4A18-8DED-5E5EE350DF9B}" name="Column9490" dataDxfId="6864"/>
    <tableColumn id="9539" xr3:uid="{AB955D7F-DCA7-4FE2-96B0-A2B8C268E1E1}" name="Column9491" dataDxfId="6863"/>
    <tableColumn id="9540" xr3:uid="{A6CB65A0-1CC3-4C4B-BF55-EC340B9E4047}" name="Column9492" dataDxfId="6862"/>
    <tableColumn id="9541" xr3:uid="{01D9E61C-AFC6-4241-A5BC-187F2D62F5EC}" name="Column9493" dataDxfId="6861"/>
    <tableColumn id="9542" xr3:uid="{49EC74F3-EFF9-410E-B954-4D6F977CC614}" name="Column9494" dataDxfId="6860"/>
    <tableColumn id="9543" xr3:uid="{9074C2A7-0620-44EF-A952-47287254B4F5}" name="Column9495" dataDxfId="6859"/>
    <tableColumn id="9544" xr3:uid="{445551B7-2324-454C-AC22-B6D4F64C2F86}" name="Column9496" dataDxfId="6858"/>
    <tableColumn id="9545" xr3:uid="{016CA415-9D45-444B-A0FF-1B7B5D5E50FD}" name="Column9497" dataDxfId="6857"/>
    <tableColumn id="9546" xr3:uid="{4E70C096-967C-4510-98E8-8E82DE2B7E36}" name="Column9498" dataDxfId="6856"/>
    <tableColumn id="9547" xr3:uid="{552D95D9-458B-48EF-87B6-19A7FE1DC6EC}" name="Column9499" dataDxfId="6855"/>
    <tableColumn id="9548" xr3:uid="{66318D03-F54A-482D-B7B9-E81E60A90BF8}" name="Column9500" dataDxfId="6854"/>
    <tableColumn id="9549" xr3:uid="{D4407067-A3D2-43AD-A1BD-2EB161DB4FBE}" name="Column9501" dataDxfId="6853"/>
    <tableColumn id="9550" xr3:uid="{BAFC7484-0ABB-4985-B90A-AE814E54CF41}" name="Column9502" dataDxfId="6852"/>
    <tableColumn id="9551" xr3:uid="{CAE52AA7-F721-40FE-B4E2-57871664F882}" name="Column9503" dataDxfId="6851"/>
    <tableColumn id="9552" xr3:uid="{FBBD2579-9563-4246-9B60-638C9B3AFDC0}" name="Column9504" dataDxfId="6850"/>
    <tableColumn id="9553" xr3:uid="{B5DFC175-259E-4468-BBF9-3CC270DE84B9}" name="Column9505" dataDxfId="6849"/>
    <tableColumn id="9554" xr3:uid="{06F6843B-3EF2-4E51-8355-61545A3EB9BB}" name="Column9506" dataDxfId="6848"/>
    <tableColumn id="9555" xr3:uid="{4CC4D684-235B-4405-93B7-7864AEBFBC2A}" name="Column9507" dataDxfId="6847"/>
    <tableColumn id="9556" xr3:uid="{FF415EFC-605D-4BD8-9DB6-6A27CA36E056}" name="Column9508" dataDxfId="6846"/>
    <tableColumn id="9557" xr3:uid="{A55BA466-240D-4320-925D-74A08EBB2F9C}" name="Column9509" dataDxfId="6845"/>
    <tableColumn id="9558" xr3:uid="{B6D7BD4D-7B27-4F2E-8060-CAF78155014A}" name="Column9510" dataDxfId="6844"/>
    <tableColumn id="9559" xr3:uid="{13878078-3069-4230-B6BD-85F48D5923C1}" name="Column9511" dataDxfId="6843"/>
    <tableColumn id="9560" xr3:uid="{78BAB2D9-E34F-41D4-8A0D-1B294101DE37}" name="Column9512" dataDxfId="6842"/>
    <tableColumn id="9561" xr3:uid="{24F9EC09-36AE-4255-BCBE-85B3E3D41747}" name="Column9513" dataDxfId="6841"/>
    <tableColumn id="9562" xr3:uid="{401E9567-2CB0-4037-A103-BA4F64AB0592}" name="Column9514" dataDxfId="6840"/>
    <tableColumn id="9563" xr3:uid="{0B9F0598-9C47-449F-8E3A-E58C10EE863C}" name="Column9515" dataDxfId="6839"/>
    <tableColumn id="9564" xr3:uid="{AC8AFC61-7F5B-4CF5-BA70-D7C6E7B802C7}" name="Column9516" dataDxfId="6838"/>
    <tableColumn id="9565" xr3:uid="{70CCC3FC-C783-4068-92A7-AC14EB2500CE}" name="Column9517" dataDxfId="6837"/>
    <tableColumn id="9566" xr3:uid="{3A34DCBB-1B9C-4DAA-96FC-8DD44DD26B20}" name="Column9518" dataDxfId="6836"/>
    <tableColumn id="9567" xr3:uid="{D2545B67-D4F2-4914-8172-EEBB3BEC6FA9}" name="Column9519" dataDxfId="6835"/>
    <tableColumn id="9568" xr3:uid="{FDEC97F4-234F-4D26-AD57-156F485A3652}" name="Column9520" dataDxfId="6834"/>
    <tableColumn id="9569" xr3:uid="{F9B9C445-1026-4F87-85B4-D3CF39265F5A}" name="Column9521" dataDxfId="6833"/>
    <tableColumn id="9570" xr3:uid="{CB00B39F-BC1C-4BF1-A9B2-B7227CCC52B7}" name="Column9522" dataDxfId="6832"/>
    <tableColumn id="9571" xr3:uid="{60C5B9B4-3AA2-4753-8A1F-E89A0CE7ECF4}" name="Column9523" dataDxfId="6831"/>
    <tableColumn id="9572" xr3:uid="{583010F4-F275-4091-955B-2A18B22B14BF}" name="Column9524" dataDxfId="6830"/>
    <tableColumn id="9573" xr3:uid="{C9A1AAE1-5088-426C-8F37-AADB36F146A0}" name="Column9525" dataDxfId="6829"/>
    <tableColumn id="9574" xr3:uid="{373C8CAE-4FAF-4264-95E2-FC635569276D}" name="Column9526" dataDxfId="6828"/>
    <tableColumn id="9575" xr3:uid="{4B34BDC8-9449-40F3-8EA1-D93AA5804F43}" name="Column9527" dataDxfId="6827"/>
    <tableColumn id="9576" xr3:uid="{FB971342-75FC-4403-A781-D1CED38749D6}" name="Column9528" dataDxfId="6826"/>
    <tableColumn id="9577" xr3:uid="{FEAC0DA6-B0D7-4548-81D1-38E4D79E3C4C}" name="Column9529" dataDxfId="6825"/>
    <tableColumn id="9578" xr3:uid="{E4C01A8A-AC96-4343-ADC5-D5A693305299}" name="Column9530" dataDxfId="6824"/>
    <tableColumn id="9579" xr3:uid="{03629A3B-1AF2-4E66-AB83-C022B134F36B}" name="Column9531" dataDxfId="6823"/>
    <tableColumn id="9580" xr3:uid="{2AC7123C-9E97-4E28-B9D6-AA7BC5C88C9E}" name="Column9532" dataDxfId="6822"/>
    <tableColumn id="9581" xr3:uid="{9FC383B5-DDF9-46FF-84CC-5CBAFEB33D06}" name="Column9533" dataDxfId="6821"/>
    <tableColumn id="9582" xr3:uid="{F859CB72-102F-419B-B192-7044B3F6222A}" name="Column9534" dataDxfId="6820"/>
    <tableColumn id="9583" xr3:uid="{08820849-8528-4794-A338-201FEB90DE38}" name="Column9535" dataDxfId="6819"/>
    <tableColumn id="9584" xr3:uid="{77157DB7-89DF-4749-AB9C-37037EECF3B8}" name="Column9536" dataDxfId="6818"/>
    <tableColumn id="9585" xr3:uid="{06F0245E-8B9C-427B-9A32-1FE6AF0200D7}" name="Column9537" dataDxfId="6817"/>
    <tableColumn id="9586" xr3:uid="{05F95752-2ADA-45D0-93D3-824A734ABA11}" name="Column9538" dataDxfId="6816"/>
    <tableColumn id="9587" xr3:uid="{5BA800B1-0D60-4A59-8478-510226A53511}" name="Column9539" dataDxfId="6815"/>
    <tableColumn id="9588" xr3:uid="{0C529636-4D60-48E2-B189-58F876392289}" name="Column9540" dataDxfId="6814"/>
    <tableColumn id="9589" xr3:uid="{660F684C-92B0-47B2-B0D8-DC3657BBEDDB}" name="Column9541" dataDxfId="6813"/>
    <tableColumn id="9590" xr3:uid="{2C65BDF7-5E6C-4E57-8E3F-CB2D299C2D39}" name="Column9542" dataDxfId="6812"/>
    <tableColumn id="9591" xr3:uid="{065BB02C-33F3-4D4C-B73E-3ED9311EF37E}" name="Column9543" dataDxfId="6811"/>
    <tableColumn id="9592" xr3:uid="{C4CD4239-E563-4B70-B1A8-97129A04C060}" name="Column9544" dataDxfId="6810"/>
    <tableColumn id="9593" xr3:uid="{98311362-8DB0-4381-BADD-E7DE69C89DC3}" name="Column9545" dataDxfId="6809"/>
    <tableColumn id="9594" xr3:uid="{41D92BA4-39E1-460F-9F49-D6F5A7B9CEB1}" name="Column9546" dataDxfId="6808"/>
    <tableColumn id="9595" xr3:uid="{061F2F55-EFB4-42DF-ADB7-95D321C9A574}" name="Column9547" dataDxfId="6807"/>
    <tableColumn id="9596" xr3:uid="{F082B835-46E9-47BB-A3AC-BCA68D618A6E}" name="Column9548" dataDxfId="6806"/>
    <tableColumn id="9597" xr3:uid="{7E24B8B7-98EE-45DA-A170-B1096F6DE726}" name="Column9549" dataDxfId="6805"/>
    <tableColumn id="9598" xr3:uid="{6CF04B40-C466-4737-8D1C-DD8286A920A5}" name="Column9550" dataDxfId="6804"/>
    <tableColumn id="9599" xr3:uid="{2EC51201-A407-459A-B8DB-93EE0DA8033A}" name="Column9551" dataDxfId="6803"/>
    <tableColumn id="9600" xr3:uid="{9999DCA2-51DC-4ED4-8337-994EE4B290D2}" name="Column9552" dataDxfId="6802"/>
    <tableColumn id="9601" xr3:uid="{2CDE19C7-B8C2-4BD9-97F5-1329D7BFEDFF}" name="Column9553" dataDxfId="6801"/>
    <tableColumn id="9602" xr3:uid="{9277211D-E2C3-457E-BCE3-61912F6AD301}" name="Column9554" dataDxfId="6800"/>
    <tableColumn id="9603" xr3:uid="{1139AA9C-750F-4B4C-A493-EC0812497FB5}" name="Column9555" dataDxfId="6799"/>
    <tableColumn id="9604" xr3:uid="{D79D2CF6-B3FE-4AF6-9F7E-417E4C9173CF}" name="Column9556" dataDxfId="6798"/>
    <tableColumn id="9605" xr3:uid="{51E43D6C-48D2-4332-93E0-E1975685B02A}" name="Column9557" dataDxfId="6797"/>
    <tableColumn id="9606" xr3:uid="{CDCFC546-CE20-4B49-9C72-688E2D30854F}" name="Column9558" dataDxfId="6796"/>
    <tableColumn id="9607" xr3:uid="{EB9CBD8A-3E0D-4200-87F2-209E630022B5}" name="Column9559" dataDxfId="6795"/>
    <tableColumn id="9608" xr3:uid="{3E7B984F-824B-4DF5-84E3-7DCC4A313F4F}" name="Column9560" dataDxfId="6794"/>
    <tableColumn id="9609" xr3:uid="{B78926CE-B252-4FAD-9E77-8AF6F0504158}" name="Column9561" dataDxfId="6793"/>
    <tableColumn id="9610" xr3:uid="{D643A3C7-8FCF-43F3-90EF-5ED909D10C75}" name="Column9562" dataDxfId="6792"/>
    <tableColumn id="9611" xr3:uid="{DB5F95EB-89E2-42BD-AFC1-1B9B7A0361F1}" name="Column9563" dataDxfId="6791"/>
    <tableColumn id="9612" xr3:uid="{E76EE5A5-05BE-4CEF-8B97-E0BF1F73DD7B}" name="Column9564" dataDxfId="6790"/>
    <tableColumn id="9613" xr3:uid="{F617AC83-D5A7-461E-91ED-A183E581CCAB}" name="Column9565" dataDxfId="6789"/>
    <tableColumn id="9614" xr3:uid="{CD7722AA-F432-46F3-AADC-3437A294E49F}" name="Column9566" dataDxfId="6788"/>
    <tableColumn id="9615" xr3:uid="{FCEDE344-F1E9-4EE2-92DE-182F8E25D877}" name="Column9567" dataDxfId="6787"/>
    <tableColumn id="9616" xr3:uid="{D97719CC-3C6F-4519-A48B-E1BC0992EE91}" name="Column9568" dataDxfId="6786"/>
    <tableColumn id="9617" xr3:uid="{5459A453-8746-40D4-8529-0231C9208F35}" name="Column9569" dataDxfId="6785"/>
    <tableColumn id="9618" xr3:uid="{97FF63B6-5EF9-424F-B0DD-C4137715984B}" name="Column9570" dataDxfId="6784"/>
    <tableColumn id="9619" xr3:uid="{D3BA7E26-D1D0-4A62-AC78-ECF137AAD19F}" name="Column9571" dataDxfId="6783"/>
    <tableColumn id="9620" xr3:uid="{5E79C3E3-1E75-4D49-A306-7E141B4373A3}" name="Column9572" dataDxfId="6782"/>
    <tableColumn id="9621" xr3:uid="{BB63DC0B-49B9-48A2-B41C-B70A9C1B5296}" name="Column9573" dataDxfId="6781"/>
    <tableColumn id="9622" xr3:uid="{7DBDB741-85F2-413C-8A99-07B057DC821E}" name="Column9574" dataDxfId="6780"/>
    <tableColumn id="9623" xr3:uid="{2FA5252C-8A7E-45FC-B056-9500A2DF176E}" name="Column9575" dataDxfId="6779"/>
    <tableColumn id="9624" xr3:uid="{4FDA2992-760C-47E5-8034-4702FDA91F57}" name="Column9576" dataDxfId="6778"/>
    <tableColumn id="9625" xr3:uid="{51B32290-2979-431B-86D4-B6A5BF8C5DEA}" name="Column9577" dataDxfId="6777"/>
    <tableColumn id="9626" xr3:uid="{C842D230-80FE-40D2-80C7-7A0182EEC193}" name="Column9578" dataDxfId="6776"/>
    <tableColumn id="9627" xr3:uid="{F99466FA-526F-480B-86CD-BDC7143A2D60}" name="Column9579" dataDxfId="6775"/>
    <tableColumn id="9628" xr3:uid="{1DA609F5-F9E0-4C05-B7E8-A60D50E69634}" name="Column9580" dataDxfId="6774"/>
    <tableColumn id="9629" xr3:uid="{89C46C27-1562-4ED5-8B8B-5DB964BC34FD}" name="Column9581" dataDxfId="6773"/>
    <tableColumn id="9630" xr3:uid="{D489B09A-10F6-4F92-AC34-34880FAE4601}" name="Column9582" dataDxfId="6772"/>
    <tableColumn id="9631" xr3:uid="{0568CEB4-6A77-42BD-AFF4-585B41D035F0}" name="Column9583" dataDxfId="6771"/>
    <tableColumn id="9632" xr3:uid="{2977441E-3DB2-473D-AD4B-655C4286CC39}" name="Column9584" dataDxfId="6770"/>
    <tableColumn id="9633" xr3:uid="{4C55222E-9F4F-437A-88B1-6F2EF203F172}" name="Column9585" dataDxfId="6769"/>
    <tableColumn id="9634" xr3:uid="{26E5B995-D7D0-4756-9775-82C78A9FB453}" name="Column9586" dataDxfId="6768"/>
    <tableColumn id="9635" xr3:uid="{7E2A77AE-2C04-49DF-B554-708AA35FB348}" name="Column9587" dataDxfId="6767"/>
    <tableColumn id="9636" xr3:uid="{9D4DB5BB-DA87-4540-88F1-A601E39774C6}" name="Column9588" dataDxfId="6766"/>
    <tableColumn id="9637" xr3:uid="{5DFB2769-FD02-4329-A3EB-D1F688FAB79B}" name="Column9589" dataDxfId="6765"/>
    <tableColumn id="9638" xr3:uid="{840AE7AE-035E-4C91-8D99-986F06C7640C}" name="Column9590" dataDxfId="6764"/>
    <tableColumn id="9639" xr3:uid="{9D2F4A42-64CB-4B6E-ACB1-128565F6C0F5}" name="Column9591" dataDxfId="6763"/>
    <tableColumn id="9640" xr3:uid="{C47F31C3-936A-4F7F-BB89-A0A94F3959A2}" name="Column9592" dataDxfId="6762"/>
    <tableColumn id="9641" xr3:uid="{425B12E2-0896-4940-BBA1-80F0A6FF169D}" name="Column9593" dataDxfId="6761"/>
    <tableColumn id="9642" xr3:uid="{0F5826F3-782A-4B91-9EF8-0C9F15C587C8}" name="Column9594" dataDxfId="6760"/>
    <tableColumn id="9643" xr3:uid="{CD87B8E3-BF4B-4354-9AC6-7D7E67067BBA}" name="Column9595" dataDxfId="6759"/>
    <tableColumn id="9644" xr3:uid="{DBB0629A-25B8-42E4-84B7-D8B1273969D2}" name="Column9596" dataDxfId="6758"/>
    <tableColumn id="9645" xr3:uid="{E988679D-2FA7-4B5B-A51C-916CD80FB1B8}" name="Column9597" dataDxfId="6757"/>
    <tableColumn id="9646" xr3:uid="{4E4FC2E5-1C81-4C7D-BBFD-08E88F9B00F4}" name="Column9598" dataDxfId="6756"/>
    <tableColumn id="9647" xr3:uid="{9E68FAAB-2254-495E-A33C-0672ECB18369}" name="Column9599" dataDxfId="6755"/>
    <tableColumn id="9648" xr3:uid="{661BAC99-C3BE-4B6A-BBE6-A01BB7F6E6F9}" name="Column9600" dataDxfId="6754"/>
    <tableColumn id="9649" xr3:uid="{95F1A2E3-460D-4A1D-B3EC-FCE4CB617F33}" name="Column9601" dataDxfId="6753"/>
    <tableColumn id="9650" xr3:uid="{48E27983-ECEC-4385-AEF2-3900C04A5457}" name="Column9602" dataDxfId="6752"/>
    <tableColumn id="9651" xr3:uid="{C4E8EFAF-4895-4F4B-8A0B-339DA13807F6}" name="Column9603" dataDxfId="6751"/>
    <tableColumn id="9652" xr3:uid="{6F52EAC2-4CB8-4072-BBD6-5F87B73EE0C4}" name="Column9604" dataDxfId="6750"/>
    <tableColumn id="9653" xr3:uid="{DBF3889F-1BE5-4DAE-B5C2-9155EB4B5245}" name="Column9605" dataDxfId="6749"/>
    <tableColumn id="9654" xr3:uid="{6F7C7042-D6B1-4C84-89E5-6D1340387E5E}" name="Column9606" dataDxfId="6748"/>
    <tableColumn id="9655" xr3:uid="{050A4587-ECF5-45EB-8A42-0A887E904C34}" name="Column9607" dataDxfId="6747"/>
    <tableColumn id="9656" xr3:uid="{CBA6DE22-26CD-4ABE-AF3D-B64FCF80C210}" name="Column9608" dataDxfId="6746"/>
    <tableColumn id="9657" xr3:uid="{60DAA5F1-5FB5-41EC-8872-51BCF8DB1C5F}" name="Column9609" dataDxfId="6745"/>
    <tableColumn id="9658" xr3:uid="{67149DA2-DC33-4DE5-AD39-739D86F2E756}" name="Column9610" dataDxfId="6744"/>
    <tableColumn id="9659" xr3:uid="{25493945-B3A6-4623-9A10-2C8A00ED78C9}" name="Column9611" dataDxfId="6743"/>
    <tableColumn id="9660" xr3:uid="{12E17F59-D6AE-46B8-9B51-D481BDA2F956}" name="Column9612" dataDxfId="6742"/>
    <tableColumn id="9661" xr3:uid="{CA4E4B38-DA81-4A93-9E52-08261B50466E}" name="Column9613" dataDxfId="6741"/>
    <tableColumn id="9662" xr3:uid="{BE956910-1F20-4E66-9FE1-BB8CC48D7767}" name="Column9614" dataDxfId="6740"/>
    <tableColumn id="9663" xr3:uid="{AA746257-15A1-4232-963E-57D89540BAFE}" name="Column9615" dataDxfId="6739"/>
    <tableColumn id="9664" xr3:uid="{FAB9336F-9E8F-4514-96B2-6DE15E7D3737}" name="Column9616" dataDxfId="6738"/>
    <tableColumn id="9665" xr3:uid="{462F3660-C01C-4F67-8760-BAF7D5858B7B}" name="Column9617" dataDxfId="6737"/>
    <tableColumn id="9666" xr3:uid="{F3394CE1-A717-4808-99F5-C1DCA5F58A7B}" name="Column9618" dataDxfId="6736"/>
    <tableColumn id="9667" xr3:uid="{33EFBA6B-1B72-4F02-8723-3844D46198AF}" name="Column9619" dataDxfId="6735"/>
    <tableColumn id="9668" xr3:uid="{805DB74B-DEA8-4BE8-BD8C-DC78E17A0EAE}" name="Column9620" dataDxfId="6734"/>
    <tableColumn id="9669" xr3:uid="{56DB1FF6-B59C-4DD7-B679-9108726142AB}" name="Column9621" dataDxfId="6733"/>
    <tableColumn id="9670" xr3:uid="{55EE727D-1337-4512-BECC-C81F93740D4C}" name="Column9622" dataDxfId="6732"/>
    <tableColumn id="9671" xr3:uid="{9388F669-8A77-42C6-B792-7EA6B482A32E}" name="Column9623" dataDxfId="6731"/>
    <tableColumn id="9672" xr3:uid="{9CC2693F-6DF2-4ED0-BF66-F60640F8C252}" name="Column9624" dataDxfId="6730"/>
    <tableColumn id="9673" xr3:uid="{6CA00CB9-AB53-4BB9-B212-17E8D4C22F66}" name="Column9625" dataDxfId="6729"/>
    <tableColumn id="9674" xr3:uid="{B8EF87CD-CAD5-49EC-9156-644533E60BEC}" name="Column9626" dataDxfId="6728"/>
    <tableColumn id="9675" xr3:uid="{3E8D0741-C007-46BE-8F1F-3AD444B752FF}" name="Column9627" dataDxfId="6727"/>
    <tableColumn id="9676" xr3:uid="{591065AC-BFE5-4351-B8B3-8AE3D9D21E70}" name="Column9628" dataDxfId="6726"/>
    <tableColumn id="9677" xr3:uid="{2FDF52DA-FDA6-4B8B-8E31-83326009E752}" name="Column9629" dataDxfId="6725"/>
    <tableColumn id="9678" xr3:uid="{51D644F6-B14C-4A4A-AC77-E9A70414BF7E}" name="Column9630" dataDxfId="6724"/>
    <tableColumn id="9679" xr3:uid="{F0956D5C-5B04-4684-A521-CD4A56067CD2}" name="Column9631" dataDxfId="6723"/>
    <tableColumn id="9680" xr3:uid="{1252A30E-85B3-4A62-9ED5-363FB403AE61}" name="Column9632" dataDxfId="6722"/>
    <tableColumn id="9681" xr3:uid="{F2C8C263-B48A-4598-A9E5-680D7E2DC1A1}" name="Column9633" dataDxfId="6721"/>
    <tableColumn id="9682" xr3:uid="{109027A7-55AC-4071-B173-EF53CBAFF765}" name="Column9634" dataDxfId="6720"/>
    <tableColumn id="9683" xr3:uid="{980B3205-B1BF-4FBD-B93A-447E47BB85CA}" name="Column9635" dataDxfId="6719"/>
    <tableColumn id="9684" xr3:uid="{9491BFA3-6EA4-4EE0-90C0-D6CB9DAB9BBE}" name="Column9636" dataDxfId="6718"/>
    <tableColumn id="9685" xr3:uid="{78994FD4-5C02-4027-AB71-FF3CD4545FB1}" name="Column9637" dataDxfId="6717"/>
    <tableColumn id="9686" xr3:uid="{C7AF038D-6D59-4C05-A0BE-BA52531F5739}" name="Column9638" dataDxfId="6716"/>
    <tableColumn id="9687" xr3:uid="{B35F3D58-F1D3-4571-AD4D-F6228F43E02B}" name="Column9639" dataDxfId="6715"/>
    <tableColumn id="9688" xr3:uid="{2377A7D5-B64A-4C6B-AE38-008BE433DB4F}" name="Column9640" dataDxfId="6714"/>
    <tableColumn id="9689" xr3:uid="{82B8E202-5CDE-4AB7-9172-585662057952}" name="Column9641" dataDxfId="6713"/>
    <tableColumn id="9690" xr3:uid="{E6E28254-42FC-41C4-B0A4-766457B4CF4D}" name="Column9642" dataDxfId="6712"/>
    <tableColumn id="9691" xr3:uid="{A18F4FAF-3543-4C0F-8DCD-1F35AFEBFC22}" name="Column9643" dataDxfId="6711"/>
    <tableColumn id="9692" xr3:uid="{3A0DA6F9-BEF6-4F77-99E6-98ACBADBBEC9}" name="Column9644" dataDxfId="6710"/>
    <tableColumn id="9693" xr3:uid="{7C61AF70-1745-4FD4-BEBF-2B582BC81576}" name="Column9645" dataDxfId="6709"/>
    <tableColumn id="9694" xr3:uid="{D9ED037E-321B-47F2-A37F-E3E3E9DC9F7F}" name="Column9646" dataDxfId="6708"/>
    <tableColumn id="9695" xr3:uid="{CEAA0552-D4C3-440C-B2DC-CE777F2D5D26}" name="Column9647" dataDxfId="6707"/>
    <tableColumn id="9696" xr3:uid="{7BE84153-7F54-4B16-B0D9-BE10FAA0B92A}" name="Column9648" dataDxfId="6706"/>
    <tableColumn id="9697" xr3:uid="{83021C27-CEBB-48DF-BED8-214A72FAD55E}" name="Column9649" dataDxfId="6705"/>
    <tableColumn id="9698" xr3:uid="{49B429D7-6D93-492E-8016-B1B861C1FF80}" name="Column9650" dataDxfId="6704"/>
    <tableColumn id="9699" xr3:uid="{55F0B218-2412-4017-B1CB-728791897B21}" name="Column9651" dataDxfId="6703"/>
    <tableColumn id="9700" xr3:uid="{34FFF956-1C17-4DB6-9CE9-3B7CE1BFD3CF}" name="Column9652" dataDxfId="6702"/>
    <tableColumn id="9701" xr3:uid="{92E4B480-3E6B-41D0-8AB6-32B7E6F3E7D6}" name="Column9653" dataDxfId="6701"/>
    <tableColumn id="9702" xr3:uid="{88A01C14-83C1-4416-9FC5-8F7B1AD56BF5}" name="Column9654" dataDxfId="6700"/>
    <tableColumn id="9703" xr3:uid="{4D31B85A-F1EB-4B74-B095-C48EDE12FEBA}" name="Column9655" dataDxfId="6699"/>
    <tableColumn id="9704" xr3:uid="{AC29540F-B5C7-4A6C-AA69-96763FD2D095}" name="Column9656" dataDxfId="6698"/>
    <tableColumn id="9705" xr3:uid="{8DCF0114-16FD-4B44-9EE7-D55F0264E6C3}" name="Column9657" dataDxfId="6697"/>
    <tableColumn id="9706" xr3:uid="{82FD5A33-A403-4418-9C6B-4422DE8D74A4}" name="Column9658" dataDxfId="6696"/>
    <tableColumn id="9707" xr3:uid="{9CA702BC-E18A-4DC3-A4A9-C2EEF4A090AA}" name="Column9659" dataDxfId="6695"/>
    <tableColumn id="9708" xr3:uid="{4268E22E-4365-4A5B-B570-7EA2332EE1F6}" name="Column9660" dataDxfId="6694"/>
    <tableColumn id="9709" xr3:uid="{93A454E5-835F-429D-ACF0-81547459238E}" name="Column9661" dataDxfId="6693"/>
    <tableColumn id="9710" xr3:uid="{0A752535-F54B-4DF2-A96D-6FB14A5FC0DB}" name="Column9662" dataDxfId="6692"/>
    <tableColumn id="9711" xr3:uid="{204FAFB7-189B-473D-BCF2-9185F44EFA1B}" name="Column9663" dataDxfId="6691"/>
    <tableColumn id="9712" xr3:uid="{CF267552-ACED-4BB1-9BA0-AA3FDC8E6C11}" name="Column9664" dataDxfId="6690"/>
    <tableColumn id="9713" xr3:uid="{9525142D-BB6A-4967-A370-B941AB18BC40}" name="Column9665" dataDxfId="6689"/>
    <tableColumn id="9714" xr3:uid="{B75D7CE3-E63E-47A3-978D-738CA4F609C2}" name="Column9666" dataDxfId="6688"/>
    <tableColumn id="9715" xr3:uid="{022607A8-F630-4943-95A4-B2CB88318AC8}" name="Column9667" dataDxfId="6687"/>
    <tableColumn id="9716" xr3:uid="{8B688355-7399-4681-8A90-3CEE2F32F488}" name="Column9668" dataDxfId="6686"/>
    <tableColumn id="9717" xr3:uid="{D97DB800-9AED-42B6-B3F9-F5E0E252471D}" name="Column9669" dataDxfId="6685"/>
    <tableColumn id="9718" xr3:uid="{8268776C-F18B-4C95-903D-7E697967B5E2}" name="Column9670" dataDxfId="6684"/>
    <tableColumn id="9719" xr3:uid="{732DDC2C-33E1-4A71-B908-917515DFF6F6}" name="Column9671" dataDxfId="6683"/>
    <tableColumn id="9720" xr3:uid="{4E70BA42-DDCD-468B-942C-480DEA0C7E3F}" name="Column9672" dataDxfId="6682"/>
    <tableColumn id="9721" xr3:uid="{8F6DD08C-DAAE-4F1F-9A14-0F977E3F113F}" name="Column9673" dataDxfId="6681"/>
    <tableColumn id="9722" xr3:uid="{2FA15134-D077-4993-8208-68EA47422E64}" name="Column9674" dataDxfId="6680"/>
    <tableColumn id="9723" xr3:uid="{8AAC110F-38D8-46C6-B408-B9F654DEC2E7}" name="Column9675" dataDxfId="6679"/>
    <tableColumn id="9724" xr3:uid="{FF5EFF45-2B3F-4509-B6EE-A68E4E58C10A}" name="Column9676" dataDxfId="6678"/>
    <tableColumn id="9725" xr3:uid="{7E803401-6DEA-4DD1-8EE7-7725552B1489}" name="Column9677" dataDxfId="6677"/>
    <tableColumn id="9726" xr3:uid="{6286CD19-E26B-43D5-BC6F-8BEA29FC0C93}" name="Column9678" dataDxfId="6676"/>
    <tableColumn id="9727" xr3:uid="{7EA61F9F-AE68-40E3-AAD1-64B8F09722C0}" name="Column9679" dataDxfId="6675"/>
    <tableColumn id="9728" xr3:uid="{98F86489-1CEB-400A-9931-B46BDFA27B94}" name="Column9680" dataDxfId="6674"/>
    <tableColumn id="9729" xr3:uid="{8EC945BE-BE76-48C0-9F9D-97D25C626408}" name="Column9681" dataDxfId="6673"/>
    <tableColumn id="9730" xr3:uid="{C6B7BE4B-ACA1-470B-B14B-919925CD3B1E}" name="Column9682" dataDxfId="6672"/>
    <tableColumn id="9731" xr3:uid="{3197DBA9-2744-44FF-9AFD-DB865C727567}" name="Column9683" dataDxfId="6671"/>
    <tableColumn id="9732" xr3:uid="{919A4887-28D7-4E36-BB34-838801984609}" name="Column9684" dataDxfId="6670"/>
    <tableColumn id="9733" xr3:uid="{8D76C0D3-F616-4C14-9913-76CB09AB1A73}" name="Column9685" dataDxfId="6669"/>
    <tableColumn id="9734" xr3:uid="{09350324-96A0-4AF0-844C-6DD69E963896}" name="Column9686" dataDxfId="6668"/>
    <tableColumn id="9735" xr3:uid="{A36D525B-8916-486F-8FAE-F4C758555FE5}" name="Column9687" dataDxfId="6667"/>
    <tableColumn id="9736" xr3:uid="{0CE5A219-F6A0-422D-AAAE-F45FC58ECB69}" name="Column9688" dataDxfId="6666"/>
    <tableColumn id="9737" xr3:uid="{DAD42EFA-2EBD-4AEF-AC18-B05C55257141}" name="Column9689" dataDxfId="6665"/>
    <tableColumn id="9738" xr3:uid="{191B7C1A-E7E8-4CB8-BDF4-6395A1F1747E}" name="Column9690" dataDxfId="6664"/>
    <tableColumn id="9739" xr3:uid="{BD29A72B-D528-4341-BF06-83F0AEFA0435}" name="Column9691" dataDxfId="6663"/>
    <tableColumn id="9740" xr3:uid="{5C8A09E3-2B44-4DD3-98AA-E1B63666FDC0}" name="Column9692" dataDxfId="6662"/>
    <tableColumn id="9741" xr3:uid="{BF780CCE-D242-476E-945F-8DA400C42CC3}" name="Column9693" dataDxfId="6661"/>
    <tableColumn id="9742" xr3:uid="{81F00A61-FDD8-456C-BAAA-B203DCFE2994}" name="Column9694" dataDxfId="6660"/>
    <tableColumn id="9743" xr3:uid="{7E0E554E-74C6-441C-9501-E1EC6E94C5DF}" name="Column9695" dataDxfId="6659"/>
    <tableColumn id="9744" xr3:uid="{A23CB65A-12B7-4C9A-BCF6-BD0C224AC628}" name="Column9696" dataDxfId="6658"/>
    <tableColumn id="9745" xr3:uid="{28F9EE7A-7F32-483D-8148-DE674FBF5F71}" name="Column9697" dataDxfId="6657"/>
    <tableColumn id="9746" xr3:uid="{5AA759EB-CE5C-4B43-B7B8-6D2C0B55F7F4}" name="Column9698" dataDxfId="6656"/>
    <tableColumn id="9747" xr3:uid="{3C66D32C-8111-4C3D-8636-8225A35BDF27}" name="Column9699" dataDxfId="6655"/>
    <tableColumn id="9748" xr3:uid="{1CADCDAE-47DC-4288-B43B-75E5B1309276}" name="Column9700" dataDxfId="6654"/>
    <tableColumn id="9749" xr3:uid="{69E82BDA-20EC-4679-AEF2-6F1106F313F9}" name="Column9701" dataDxfId="6653"/>
    <tableColumn id="9750" xr3:uid="{56F0373C-D563-481D-A452-2481BD170BDB}" name="Column9702" dataDxfId="6652"/>
    <tableColumn id="9751" xr3:uid="{CE76A46F-85FE-45A0-B1C0-7F7FA4A8A128}" name="Column9703" dataDxfId="6651"/>
    <tableColumn id="9752" xr3:uid="{F9AFABB6-0DCA-461D-A9B6-41FBC4F6CF12}" name="Column9704" dataDxfId="6650"/>
    <tableColumn id="9753" xr3:uid="{98F89EBB-75D0-46B6-8F32-F514E57C3C15}" name="Column9705" dataDxfId="6649"/>
    <tableColumn id="9754" xr3:uid="{C6FC28F9-C717-40EE-9056-5E7049F34CEB}" name="Column9706" dataDxfId="6648"/>
    <tableColumn id="9755" xr3:uid="{7D853A23-42D5-4A43-9015-4635F3F7F6A2}" name="Column9707" dataDxfId="6647"/>
    <tableColumn id="9756" xr3:uid="{CB6AB178-26B2-4D9C-BB8A-32A253C8B245}" name="Column9708" dataDxfId="6646"/>
    <tableColumn id="9757" xr3:uid="{F2B03530-F330-4ADA-9C4B-A3F3BACB469B}" name="Column9709" dataDxfId="6645"/>
    <tableColumn id="9758" xr3:uid="{832E429A-416F-46F2-A2F5-1F1F92DAAE13}" name="Column9710" dataDxfId="6644"/>
    <tableColumn id="9759" xr3:uid="{FBD80F60-184D-4DE7-818D-873735F37ECD}" name="Column9711" dataDxfId="6643"/>
    <tableColumn id="9760" xr3:uid="{DAC5F057-5DC2-4584-8E9D-4C6E117666F5}" name="Column9712" dataDxfId="6642"/>
    <tableColumn id="9761" xr3:uid="{83D38765-8656-4D4E-8DBF-E8E340BBD81A}" name="Column9713" dataDxfId="6641"/>
    <tableColumn id="9762" xr3:uid="{4B798A01-97D4-4868-B5E0-7509ACB11649}" name="Column9714" dataDxfId="6640"/>
    <tableColumn id="9763" xr3:uid="{AA96F0EF-A308-4274-BFBB-E946A6868547}" name="Column9715" dataDxfId="6639"/>
    <tableColumn id="9764" xr3:uid="{221E4458-0A08-40EF-A6B5-CE3936CE1824}" name="Column9716" dataDxfId="6638"/>
    <tableColumn id="9765" xr3:uid="{58173832-F19A-4853-9228-1EF296E250DE}" name="Column9717" dataDxfId="6637"/>
    <tableColumn id="9766" xr3:uid="{09579161-D1B0-4DFA-B683-2E7348EDF06E}" name="Column9718" dataDxfId="6636"/>
    <tableColumn id="9767" xr3:uid="{EE284E6F-8B3E-426E-9F04-D0CB46CF8CAC}" name="Column9719" dataDxfId="6635"/>
    <tableColumn id="9768" xr3:uid="{CE5F9710-9971-496E-8417-4445C07C7526}" name="Column9720" dataDxfId="6634"/>
    <tableColumn id="9769" xr3:uid="{48217B09-536A-4799-B1EC-8B4A7AB0FB13}" name="Column9721" dataDxfId="6633"/>
    <tableColumn id="9770" xr3:uid="{006B288C-BC5C-478D-999E-EA34532D06EA}" name="Column9722" dataDxfId="6632"/>
    <tableColumn id="9771" xr3:uid="{FB2E5C22-3D2F-43A6-822F-8B729663ADCD}" name="Column9723" dataDxfId="6631"/>
    <tableColumn id="9772" xr3:uid="{04E79E6E-B490-458F-A5BD-8899962D87CD}" name="Column9724" dataDxfId="6630"/>
    <tableColumn id="9773" xr3:uid="{D695DDB0-2648-4BD4-BA07-4615814E88C6}" name="Column9725" dataDxfId="6629"/>
    <tableColumn id="9774" xr3:uid="{6A9DC273-8462-4B85-ABF1-7E310C1D6B5C}" name="Column9726" dataDxfId="6628"/>
    <tableColumn id="9775" xr3:uid="{53B16792-DA9E-4EFB-B238-2508815891E0}" name="Column9727" dataDxfId="6627"/>
    <tableColumn id="9776" xr3:uid="{A5AD5F76-CF2E-4B2A-8665-2304624432A2}" name="Column9728" dataDxfId="6626"/>
    <tableColumn id="9777" xr3:uid="{973CB8C8-F704-493F-9668-E89631E3FB7B}" name="Column9729" dataDxfId="6625"/>
    <tableColumn id="9778" xr3:uid="{0979842E-DBCB-4E60-AF4A-4D36F6267BD1}" name="Column9730" dataDxfId="6624"/>
    <tableColumn id="9779" xr3:uid="{5CCB138B-C800-47C2-AC88-B27759B6F964}" name="Column9731" dataDxfId="6623"/>
    <tableColumn id="9780" xr3:uid="{B95D1383-CCBA-45A5-A8A7-1D9FC03EA729}" name="Column9732" dataDxfId="6622"/>
    <tableColumn id="9781" xr3:uid="{93E3E939-4C0B-4E41-80BB-79281D19A32A}" name="Column9733" dataDxfId="6621"/>
    <tableColumn id="9782" xr3:uid="{C2E01572-AA32-4ED1-B833-D9071984A820}" name="Column9734" dataDxfId="6620"/>
    <tableColumn id="9783" xr3:uid="{80E0961B-4239-4BAE-92B5-EF64002012FC}" name="Column9735" dataDxfId="6619"/>
    <tableColumn id="9784" xr3:uid="{5484C201-B5FA-4A19-B5A8-07088118DD75}" name="Column9736" dataDxfId="6618"/>
    <tableColumn id="9785" xr3:uid="{1B8B0D5C-6DDC-442E-9462-02E42C7A4289}" name="Column9737" dataDxfId="6617"/>
    <tableColumn id="9786" xr3:uid="{5A52ACD1-DE33-48C9-B6C3-A031252E195D}" name="Column9738" dataDxfId="6616"/>
    <tableColumn id="9787" xr3:uid="{664CD61C-0787-4C9F-B6AB-6D44EA585F24}" name="Column9739" dataDxfId="6615"/>
    <tableColumn id="9788" xr3:uid="{3C46F4E2-635F-4B31-8762-AA8B399FF0F9}" name="Column9740" dataDxfId="6614"/>
    <tableColumn id="9789" xr3:uid="{6C7D36BD-C5E2-416A-8B38-764CD5FE3E15}" name="Column9741" dataDxfId="6613"/>
    <tableColumn id="9790" xr3:uid="{D1192FF8-0177-490B-906A-83A54E83CD88}" name="Column9742" dataDxfId="6612"/>
    <tableColumn id="9791" xr3:uid="{911D7720-A898-42BC-8EEE-E2676BC23986}" name="Column9743" dataDxfId="6611"/>
    <tableColumn id="9792" xr3:uid="{94805FAE-B81A-4A48-ACB6-54A754A0CE85}" name="Column9744" dataDxfId="6610"/>
    <tableColumn id="9793" xr3:uid="{497037BA-E462-4A1D-8799-00DEA4D48891}" name="Column9745" dataDxfId="6609"/>
    <tableColumn id="9794" xr3:uid="{D35B3BC6-6CEA-4BA6-94F6-62852BE2C292}" name="Column9746" dataDxfId="6608"/>
    <tableColumn id="9795" xr3:uid="{FBF5ADC2-2D83-4D5D-8F12-A43CFE830F18}" name="Column9747" dataDxfId="6607"/>
    <tableColumn id="9796" xr3:uid="{073D3FE5-0F47-4750-B996-B7C082EC2966}" name="Column9748" dataDxfId="6606"/>
    <tableColumn id="9797" xr3:uid="{8C074261-D9E4-4980-BDF7-3696D1C202E9}" name="Column9749" dataDxfId="6605"/>
    <tableColumn id="9798" xr3:uid="{82255D6A-F988-4A72-96AC-B54430D9081A}" name="Column9750" dataDxfId="6604"/>
    <tableColumn id="9799" xr3:uid="{5BD6C22A-9307-4E8A-8A17-EB58B1CC56B8}" name="Column9751" dataDxfId="6603"/>
    <tableColumn id="9800" xr3:uid="{18E36A57-F204-4C47-AE98-602D76049341}" name="Column9752" dataDxfId="6602"/>
    <tableColumn id="9801" xr3:uid="{D554D6B8-6940-4012-99AA-3CFA546FBDD9}" name="Column9753" dataDxfId="6601"/>
    <tableColumn id="9802" xr3:uid="{E1960EB9-DA8C-48F2-AF5E-438C806308D1}" name="Column9754" dataDxfId="6600"/>
    <tableColumn id="9803" xr3:uid="{5FF8CEA0-BCC7-4C64-BC2D-4DFF94F7017B}" name="Column9755" dataDxfId="6599"/>
    <tableColumn id="9804" xr3:uid="{8066ACA2-D274-4359-BB01-4A5F20A6DE74}" name="Column9756" dataDxfId="6598"/>
    <tableColumn id="9805" xr3:uid="{5FFA5373-A603-4A82-8C8A-43BE367396A5}" name="Column9757" dataDxfId="6597"/>
    <tableColumn id="9806" xr3:uid="{3C48260F-A6F7-40E5-8EC6-6604E8DC3AB4}" name="Column9758" dataDxfId="6596"/>
    <tableColumn id="9807" xr3:uid="{163DB765-CB0B-4DE1-92E5-B0F263106169}" name="Column9759" dataDxfId="6595"/>
    <tableColumn id="9808" xr3:uid="{9B285BB9-C63D-41D0-8AFA-F54F72313465}" name="Column9760" dataDxfId="6594"/>
    <tableColumn id="9809" xr3:uid="{379DE583-1B46-4E1A-8FB5-73BE3B218AA3}" name="Column9761" dataDxfId="6593"/>
    <tableColumn id="9810" xr3:uid="{60B52415-A878-4720-93E9-B50603222B93}" name="Column9762" dataDxfId="6592"/>
    <tableColumn id="9811" xr3:uid="{ECBC5C50-7327-426F-AA9B-6BF3B4F52E47}" name="Column9763" dataDxfId="6591"/>
    <tableColumn id="9812" xr3:uid="{41709ECA-2098-4ABC-A491-2ECF3FA5B56B}" name="Column9764" dataDxfId="6590"/>
    <tableColumn id="9813" xr3:uid="{45FF087E-6A48-4370-84E7-7B5AE585C42E}" name="Column9765" dataDxfId="6589"/>
    <tableColumn id="9814" xr3:uid="{8A29336E-D301-4F9F-9DAD-D154C369C280}" name="Column9766" dataDxfId="6588"/>
    <tableColumn id="9815" xr3:uid="{ACFF9C61-5F1C-4557-80F5-DA52A4DFB420}" name="Column9767" dataDxfId="6587"/>
    <tableColumn id="9816" xr3:uid="{702B7B34-E796-4721-8C00-52AE3D99399D}" name="Column9768" dataDxfId="6586"/>
    <tableColumn id="9817" xr3:uid="{8B764DB1-76D4-44D4-B6EF-CF13EB510DA0}" name="Column9769" dataDxfId="6585"/>
    <tableColumn id="9818" xr3:uid="{3B342CF8-1FFE-49AD-94E8-15047D22E6EE}" name="Column9770" dataDxfId="6584"/>
    <tableColumn id="9819" xr3:uid="{4D9B0D9A-00DC-4F0C-8AA4-7A9C7EDE437F}" name="Column9771" dataDxfId="6583"/>
    <tableColumn id="9820" xr3:uid="{2E3757E3-941F-4EA8-AA8F-1424F0F3151F}" name="Column9772" dataDxfId="6582"/>
    <tableColumn id="9821" xr3:uid="{70EB6B60-E59F-4CB5-A1B2-B75A1B06DC18}" name="Column9773" dataDxfId="6581"/>
    <tableColumn id="9822" xr3:uid="{2DFE4C78-4CA9-45D2-BA34-AAD7C0A42B46}" name="Column9774" dataDxfId="6580"/>
    <tableColumn id="9823" xr3:uid="{ECE7C16E-A316-41B5-8DDE-216AA086A7B0}" name="Column9775" dataDxfId="6579"/>
    <tableColumn id="9824" xr3:uid="{A7556A91-ACC9-4E43-B056-66738FD21B5F}" name="Column9776" dataDxfId="6578"/>
    <tableColumn id="9825" xr3:uid="{3459D0DC-B4A7-4A27-BE16-28BCF3C49D4F}" name="Column9777" dataDxfId="6577"/>
    <tableColumn id="9826" xr3:uid="{C2C6CFEA-F9CF-4C50-B597-43215626840E}" name="Column9778" dataDxfId="6576"/>
    <tableColumn id="9827" xr3:uid="{F22BD28E-2BFD-48E0-94C4-68A4F2403896}" name="Column9779" dataDxfId="6575"/>
    <tableColumn id="9828" xr3:uid="{2D6F7766-2BFB-4316-8B4F-1701F247FB5C}" name="Column9780" dataDxfId="6574"/>
    <tableColumn id="9829" xr3:uid="{16A664A3-E020-4416-A535-8166276EB696}" name="Column9781" dataDxfId="6573"/>
    <tableColumn id="9830" xr3:uid="{3434AA05-1C6C-43B4-8184-E135C50950BF}" name="Column9782" dataDxfId="6572"/>
    <tableColumn id="9831" xr3:uid="{2F55A6D9-71D1-4E13-A589-2D0909CDE496}" name="Column9783" dataDxfId="6571"/>
    <tableColumn id="9832" xr3:uid="{C84C0A5E-FAD3-4CDC-B5FA-1CBC3737DF04}" name="Column9784" dataDxfId="6570"/>
    <tableColumn id="9833" xr3:uid="{B84AF5DB-C6BC-4963-83EC-E1D2CDF92C95}" name="Column9785" dataDxfId="6569"/>
    <tableColumn id="9834" xr3:uid="{55E5D680-F8BB-40B8-B16C-64DBC88F398F}" name="Column9786" dataDxfId="6568"/>
    <tableColumn id="9835" xr3:uid="{25386131-B64B-49DF-B176-98895B98029B}" name="Column9787" dataDxfId="6567"/>
    <tableColumn id="9836" xr3:uid="{9D20B496-0A3D-436E-99C3-3E357343DB29}" name="Column9788" dataDxfId="6566"/>
    <tableColumn id="9837" xr3:uid="{5A87C217-3901-4B03-AC3B-1BC2C057BDAA}" name="Column9789" dataDxfId="6565"/>
    <tableColumn id="9838" xr3:uid="{9744A10F-4ADE-410C-8CE6-2168A765F1E1}" name="Column9790" dataDxfId="6564"/>
    <tableColumn id="9839" xr3:uid="{DD968423-9195-47FE-AA7A-A39AB4804C49}" name="Column9791" dataDxfId="6563"/>
    <tableColumn id="9840" xr3:uid="{9A620E83-1FE4-4B70-81EF-B9FCDF53E33C}" name="Column9792" dataDxfId="6562"/>
    <tableColumn id="9841" xr3:uid="{775ED694-397C-4F7A-BC5A-FC7A8086C714}" name="Column9793" dataDxfId="6561"/>
    <tableColumn id="9842" xr3:uid="{613DA69F-F974-48C6-88AA-2375ED702F66}" name="Column9794" dataDxfId="6560"/>
    <tableColumn id="9843" xr3:uid="{7BFA8319-7035-4D52-B046-7547337D6848}" name="Column9795" dataDxfId="6559"/>
    <tableColumn id="9844" xr3:uid="{2AA51C53-F0BD-4CCD-98D8-C241D3E6D1DF}" name="Column9796" dataDxfId="6558"/>
    <tableColumn id="9845" xr3:uid="{481052F6-9E7C-413E-9678-9E470BF52248}" name="Column9797" dataDxfId="6557"/>
    <tableColumn id="9846" xr3:uid="{925E5D49-B473-4EFC-94B4-9BD4FE7D89DC}" name="Column9798" dataDxfId="6556"/>
    <tableColumn id="9847" xr3:uid="{1726A7EC-F9E6-4D48-A89D-84ABE0830D06}" name="Column9799" dataDxfId="6555"/>
    <tableColumn id="9848" xr3:uid="{5A23BC8F-BDF6-48A6-A56C-5C586A6183E2}" name="Column9800" dataDxfId="6554"/>
    <tableColumn id="9849" xr3:uid="{E68CD32D-03A4-4AA4-991A-F6E1511CF91B}" name="Column9801" dataDxfId="6553"/>
    <tableColumn id="9850" xr3:uid="{48E3E77C-C583-44E7-BCC2-1DC9A0D5170B}" name="Column9802" dataDxfId="6552"/>
    <tableColumn id="9851" xr3:uid="{064F01B0-2A2A-4E5D-B923-CB7332F1C9D6}" name="Column9803" dataDxfId="6551"/>
    <tableColumn id="9852" xr3:uid="{86A50923-B498-460B-92C8-471FC31291FE}" name="Column9804" dataDxfId="6550"/>
    <tableColumn id="9853" xr3:uid="{F76394FE-31F9-4778-BA58-2B9241607C70}" name="Column9805" dataDxfId="6549"/>
    <tableColumn id="9854" xr3:uid="{27BEEB02-0847-4B7F-92C6-332FF81B5477}" name="Column9806" dataDxfId="6548"/>
    <tableColumn id="9855" xr3:uid="{FECF9D9B-7F20-4509-9FFF-55C851053C4D}" name="Column9807" dataDxfId="6547"/>
    <tableColumn id="9856" xr3:uid="{F797EAAA-407E-4D95-A785-A761FC71A782}" name="Column9808" dataDxfId="6546"/>
    <tableColumn id="9857" xr3:uid="{41A5B0CA-40D3-480E-BFD6-E71C533137AF}" name="Column9809" dataDxfId="6545"/>
    <tableColumn id="9858" xr3:uid="{4B7EEF0D-52E9-42FC-8320-4503CF8A175F}" name="Column9810" dataDxfId="6544"/>
    <tableColumn id="9859" xr3:uid="{E9A1BB9B-9581-43C4-BF1A-8A83E7FB7BCB}" name="Column9811" dataDxfId="6543"/>
    <tableColumn id="9860" xr3:uid="{6CD47247-50F7-40CD-A4EB-CAA0FB8BFB30}" name="Column9812" dataDxfId="6542"/>
    <tableColumn id="9861" xr3:uid="{D01E6A4E-93F7-4F0C-9D3D-7007D90E1AF1}" name="Column9813" dataDxfId="6541"/>
    <tableColumn id="9862" xr3:uid="{A8192130-A567-4096-97CF-0912757498AA}" name="Column9814" dataDxfId="6540"/>
    <tableColumn id="9863" xr3:uid="{D6CD90CA-35B7-4C67-8CCD-D52DBBF06FD0}" name="Column9815" dataDxfId="6539"/>
    <tableColumn id="9864" xr3:uid="{2B24FFE0-9923-444E-AD6C-1FD4A64B2F55}" name="Column9816" dataDxfId="6538"/>
    <tableColumn id="9865" xr3:uid="{AD89093A-A939-47ED-A082-E55876B87F48}" name="Column9817" dataDxfId="6537"/>
    <tableColumn id="9866" xr3:uid="{A2C9346C-3B9C-4767-A58D-D16461241112}" name="Column9818" dataDxfId="6536"/>
    <tableColumn id="9867" xr3:uid="{36F7EE53-C500-43FA-9CAF-C37CD7E4B690}" name="Column9819" dataDxfId="6535"/>
    <tableColumn id="9868" xr3:uid="{C12B5421-8073-4A44-B1EA-AAED0034AAEA}" name="Column9820" dataDxfId="6534"/>
    <tableColumn id="9869" xr3:uid="{61C06C5E-5A0D-4680-8022-6CB188B73BF4}" name="Column9821" dataDxfId="6533"/>
    <tableColumn id="9870" xr3:uid="{10771427-0981-4DCD-B0D7-F59C19CD8725}" name="Column9822" dataDxfId="6532"/>
    <tableColumn id="9871" xr3:uid="{431C6189-29E2-47E7-B1F7-C08CEC4C3EEE}" name="Column9823" dataDxfId="6531"/>
    <tableColumn id="9872" xr3:uid="{5289DD54-443F-4371-BADD-597D04D872E4}" name="Column9824" dataDxfId="6530"/>
    <tableColumn id="9873" xr3:uid="{37FF2AEB-DF63-4119-BD19-14F0A7D888F6}" name="Column9825" dataDxfId="6529"/>
    <tableColumn id="9874" xr3:uid="{CF7C077E-03AC-4E60-AC20-4739E277692B}" name="Column9826" dataDxfId="6528"/>
    <tableColumn id="9875" xr3:uid="{4A7B964E-0C19-4ABA-AA3D-3B8EFC01164E}" name="Column9827" dataDxfId="6527"/>
    <tableColumn id="9876" xr3:uid="{B29BDE18-E202-49A4-92FE-10CE44F86F17}" name="Column9828" dataDxfId="6526"/>
    <tableColumn id="9877" xr3:uid="{0285F878-D152-4A8F-A58D-08AEFCD722BF}" name="Column9829" dataDxfId="6525"/>
    <tableColumn id="9878" xr3:uid="{19D85DB7-72DB-4863-8C53-F2A984A0878C}" name="Column9830" dataDxfId="6524"/>
    <tableColumn id="9879" xr3:uid="{41AE7B96-E991-4A87-B32A-65CEE37A6323}" name="Column9831" dataDxfId="6523"/>
    <tableColumn id="9880" xr3:uid="{6110552A-F560-427F-9601-26620FDF46BD}" name="Column9832" dataDxfId="6522"/>
    <tableColumn id="9881" xr3:uid="{0B7EE490-2441-4BD2-A6DC-78CF2BC9A808}" name="Column9833" dataDxfId="6521"/>
    <tableColumn id="9882" xr3:uid="{0F784567-8469-4B95-BD46-50066E116584}" name="Column9834" dataDxfId="6520"/>
    <tableColumn id="9883" xr3:uid="{FDDEC6FD-717E-4D4C-83B4-ED8422158EC9}" name="Column9835" dataDxfId="6519"/>
    <tableColumn id="9884" xr3:uid="{706A98AE-7A82-419F-BFBA-C722018A1278}" name="Column9836" dataDxfId="6518"/>
    <tableColumn id="9885" xr3:uid="{65F6BD9C-CD9C-48D2-944A-FBB2CE37A406}" name="Column9837" dataDxfId="6517"/>
    <tableColumn id="9886" xr3:uid="{A66FA2A4-D90F-473B-A213-079A19311985}" name="Column9838" dataDxfId="6516"/>
    <tableColumn id="9887" xr3:uid="{20CEFEDD-9788-44D7-B058-D9DFD69BD4F1}" name="Column9839" dataDxfId="6515"/>
    <tableColumn id="9888" xr3:uid="{45AF6297-445D-4892-B1BE-0DB5D9DD1B55}" name="Column9840" dataDxfId="6514"/>
    <tableColumn id="9889" xr3:uid="{B1D2CD2B-F706-46E8-9FF1-C7F38C5F890D}" name="Column9841" dataDxfId="6513"/>
    <tableColumn id="9890" xr3:uid="{C58014F0-8D17-4F81-878A-20D81C56DF42}" name="Column9842" dataDxfId="6512"/>
    <tableColumn id="9891" xr3:uid="{D17994D3-EA5D-4537-BF2D-49003D7770A5}" name="Column9843" dataDxfId="6511"/>
    <tableColumn id="9892" xr3:uid="{F071F31B-DEE2-4338-A990-09E929130666}" name="Column9844" dataDxfId="6510"/>
    <tableColumn id="9893" xr3:uid="{EBDC8705-A6F0-4300-B2FA-E07B83D1AABB}" name="Column9845" dataDxfId="6509"/>
    <tableColumn id="9894" xr3:uid="{E2F72690-2B24-4A96-9850-612EAC800337}" name="Column9846" dataDxfId="6508"/>
    <tableColumn id="9895" xr3:uid="{0128666C-5795-4948-BC0E-F5AD41C73A33}" name="Column9847" dataDxfId="6507"/>
    <tableColumn id="9896" xr3:uid="{6720D378-4222-45B5-B934-A89A8B50FCEE}" name="Column9848" dataDxfId="6506"/>
    <tableColumn id="9897" xr3:uid="{6F29171D-6866-4DBE-9E73-65E631C69574}" name="Column9849" dataDxfId="6505"/>
    <tableColumn id="9898" xr3:uid="{3A4F9752-8C27-4AA4-82E8-AB245922FB21}" name="Column9850" dataDxfId="6504"/>
    <tableColumn id="9899" xr3:uid="{9194ED40-AEC8-489D-BB9C-9B2D8898E25F}" name="Column9851" dataDxfId="6503"/>
    <tableColumn id="9900" xr3:uid="{CFC99CA3-4F0D-45DF-97AF-07E29A0B3075}" name="Column9852" dataDxfId="6502"/>
    <tableColumn id="9901" xr3:uid="{C9F626A5-263B-4390-84C0-355675142FDA}" name="Column9853" dataDxfId="6501"/>
    <tableColumn id="9902" xr3:uid="{81DFABED-A8D5-4C50-AA25-C82A44BC67E6}" name="Column9854" dataDxfId="6500"/>
    <tableColumn id="9903" xr3:uid="{9B5F3D5F-62F8-4389-A520-4BD4709C330D}" name="Column9855" dataDxfId="6499"/>
    <tableColumn id="9904" xr3:uid="{3CCD4EA7-ED6D-4B87-B43E-4B4AFCED5106}" name="Column9856" dataDxfId="6498"/>
    <tableColumn id="9905" xr3:uid="{57ACEE40-DC49-46EE-AD14-F29C978900C2}" name="Column9857" dataDxfId="6497"/>
    <tableColumn id="9906" xr3:uid="{AFBC4765-60D2-4930-A86A-E0A89FB22CE6}" name="Column9858" dataDxfId="6496"/>
    <tableColumn id="9907" xr3:uid="{05EF995B-96BF-47F8-A648-9462BE1ABF03}" name="Column9859" dataDxfId="6495"/>
    <tableColumn id="9908" xr3:uid="{95BDF643-A767-4083-9EF2-9FCA0F8436D4}" name="Column9860" dataDxfId="6494"/>
    <tableColumn id="9909" xr3:uid="{F3803A7B-CC9E-4B8B-97A8-53DC0A50F5C9}" name="Column9861" dataDxfId="6493"/>
    <tableColumn id="9910" xr3:uid="{6BB08054-DF31-483A-94E1-8F6AD85F9592}" name="Column9862" dataDxfId="6492"/>
    <tableColumn id="9911" xr3:uid="{692785ED-B0CD-4A85-A809-DA6E94D99A29}" name="Column9863" dataDxfId="6491"/>
    <tableColumn id="9912" xr3:uid="{D4900E35-C701-4753-B36B-7EB03507C051}" name="Column9864" dataDxfId="6490"/>
    <tableColumn id="9913" xr3:uid="{47B327E2-290F-4400-AF13-1359EA2DF6A2}" name="Column9865" dataDxfId="6489"/>
    <tableColumn id="9914" xr3:uid="{566AA25D-C169-4DD5-AF61-F8E9E0E238EC}" name="Column9866" dataDxfId="6488"/>
    <tableColumn id="9915" xr3:uid="{3694D7D9-8F05-47A5-A510-C16F155EF9D2}" name="Column9867" dataDxfId="6487"/>
    <tableColumn id="9916" xr3:uid="{0E6022CF-D527-4173-8E11-77213D06198E}" name="Column9868" dataDxfId="6486"/>
    <tableColumn id="9917" xr3:uid="{E2857659-8511-4BED-9257-1011A07779F4}" name="Column9869" dataDxfId="6485"/>
    <tableColumn id="9918" xr3:uid="{0D2F2AB7-F3C2-417E-B86C-198459566F02}" name="Column9870" dataDxfId="6484"/>
    <tableColumn id="9919" xr3:uid="{D7C1C641-425B-4426-8E49-2FF97804C36D}" name="Column9871" dataDxfId="6483"/>
    <tableColumn id="9920" xr3:uid="{2047A4AE-981E-48EA-89E1-99DA46D3AD00}" name="Column9872" dataDxfId="6482"/>
    <tableColumn id="9921" xr3:uid="{0E5DC3CA-0C8B-4E49-B60E-2DC039691F8C}" name="Column9873" dataDxfId="6481"/>
    <tableColumn id="9922" xr3:uid="{54CE9F23-ACFB-4DEE-9B9F-C9B20925AE64}" name="Column9874" dataDxfId="6480"/>
    <tableColumn id="9923" xr3:uid="{C1A11E92-CC52-4915-AE29-BE96BD791E6A}" name="Column9875" dataDxfId="6479"/>
    <tableColumn id="9924" xr3:uid="{77760D26-E710-4C62-AF81-751B7D8DA9C5}" name="Column9876" dataDxfId="6478"/>
    <tableColumn id="9925" xr3:uid="{23D0A298-7877-4705-A860-263C699DAE3A}" name="Column9877" dataDxfId="6477"/>
    <tableColumn id="9926" xr3:uid="{A1D09B47-EA65-49EF-962A-571BC993BEA3}" name="Column9878" dataDxfId="6476"/>
    <tableColumn id="9927" xr3:uid="{58FD2538-6200-45A0-A407-B0A0467DE82B}" name="Column9879" dataDxfId="6475"/>
    <tableColumn id="9928" xr3:uid="{C2187F87-F34A-4AA9-A95B-D2305A9E9C39}" name="Column9880" dataDxfId="6474"/>
    <tableColumn id="9929" xr3:uid="{B25C214C-1F50-42A5-BC2D-B7FBC39BC12D}" name="Column9881" dataDxfId="6473"/>
    <tableColumn id="9930" xr3:uid="{7FDA40E9-E3E5-4A80-9B6D-6ACFB8121543}" name="Column9882" dataDxfId="6472"/>
    <tableColumn id="9931" xr3:uid="{EC0373F2-A7BB-492E-9E78-3FEFD64D0635}" name="Column9883" dataDxfId="6471"/>
    <tableColumn id="9932" xr3:uid="{51C0E29C-0B0A-4DAE-9339-F23F5BA2C9C3}" name="Column9884" dataDxfId="6470"/>
    <tableColumn id="9933" xr3:uid="{4FEAEBB1-DEBF-4D6A-83CE-F4C1DD9C978A}" name="Column9885" dataDxfId="6469"/>
    <tableColumn id="9934" xr3:uid="{0861B0F2-0040-48B5-8026-287B3E7DC534}" name="Column9886" dataDxfId="6468"/>
    <tableColumn id="9935" xr3:uid="{B6583F35-612A-42AA-8C3D-4B5660E7861C}" name="Column9887" dataDxfId="6467"/>
    <tableColumn id="9936" xr3:uid="{594F1079-8103-4960-B435-181CDFFF7DCD}" name="Column9888" dataDxfId="6466"/>
    <tableColumn id="9937" xr3:uid="{2CE8739A-E126-4ADB-9667-EBE722876CF6}" name="Column9889" dataDxfId="6465"/>
    <tableColumn id="9938" xr3:uid="{A31E3154-4C00-4A7A-9226-E144D9D12BE5}" name="Column9890" dataDxfId="6464"/>
    <tableColumn id="9939" xr3:uid="{95D6EF9D-74D2-4623-B9F7-3B4C61878E44}" name="Column9891" dataDxfId="6463"/>
    <tableColumn id="9940" xr3:uid="{14FFAF6D-1FCA-4865-A584-37E4D3F51F84}" name="Column9892" dataDxfId="6462"/>
    <tableColumn id="9941" xr3:uid="{5BEE7202-A6C3-4ADB-9671-7B3F4F0977E2}" name="Column9893" dataDxfId="6461"/>
    <tableColumn id="9942" xr3:uid="{29C54EED-CE8E-4C0D-A0B0-968F62A9942B}" name="Column9894" dataDxfId="6460"/>
    <tableColumn id="9943" xr3:uid="{5329D60A-E120-4D85-A836-911DAC3EE610}" name="Column9895" dataDxfId="6459"/>
    <tableColumn id="9944" xr3:uid="{005F8106-5393-4A82-B486-5C039AECC3EA}" name="Column9896" dataDxfId="6458"/>
    <tableColumn id="9945" xr3:uid="{7ED30744-A529-46A8-9977-90CD50261C4D}" name="Column9897" dataDxfId="6457"/>
    <tableColumn id="9946" xr3:uid="{5F0A1A98-4B2A-4117-BCBB-A1625604BE70}" name="Column9898" dataDxfId="6456"/>
    <tableColumn id="9947" xr3:uid="{E9FC1E58-0F8B-4079-9B22-08D64B8CDD8E}" name="Column9899" dataDxfId="6455"/>
    <tableColumn id="9948" xr3:uid="{DA56B24F-7F8A-4D8C-B6DA-2FCCC2BD0A47}" name="Column9900" dataDxfId="6454"/>
    <tableColumn id="9949" xr3:uid="{6F5F0706-AEF9-4F80-8023-775CF4A64E23}" name="Column9901" dataDxfId="6453"/>
    <tableColumn id="9950" xr3:uid="{D337C95A-79F0-4F92-9A91-C4BBCCEA4760}" name="Column9902" dataDxfId="6452"/>
    <tableColumn id="9951" xr3:uid="{2B2F0C78-410F-4906-A397-9522E25C4CBD}" name="Column9903" dataDxfId="6451"/>
    <tableColumn id="9952" xr3:uid="{065AE48F-9778-4939-B80B-C7C1A3101536}" name="Column9904" dataDxfId="6450"/>
    <tableColumn id="9953" xr3:uid="{13F0746A-D198-4FF1-9866-43CCB9A0FFE2}" name="Column9905" dataDxfId="6449"/>
    <tableColumn id="9954" xr3:uid="{DBC87B46-AFA8-49F7-8552-2749EBE1F195}" name="Column9906" dataDxfId="6448"/>
    <tableColumn id="9955" xr3:uid="{893AD27B-852B-4203-91D4-EC1DECA8B764}" name="Column9907" dataDxfId="6447"/>
    <tableColumn id="9956" xr3:uid="{2D3EE886-F024-4CD3-A607-35759B145882}" name="Column9908" dataDxfId="6446"/>
    <tableColumn id="9957" xr3:uid="{2611E4ED-696C-4577-B3DC-9FF14415AC90}" name="Column9909" dataDxfId="6445"/>
    <tableColumn id="9958" xr3:uid="{F926A44A-C1A4-486C-A376-A56511A9EE99}" name="Column9910" dataDxfId="6444"/>
    <tableColumn id="9959" xr3:uid="{239C3010-2C10-4416-9D76-E21C2AB411F2}" name="Column9911" dataDxfId="6443"/>
    <tableColumn id="9960" xr3:uid="{4ED32B89-8491-48F0-9370-31878A4AE033}" name="Column9912" dataDxfId="6442"/>
    <tableColumn id="9961" xr3:uid="{8A07E2D4-C2CD-4B81-BA2E-95E412F65B15}" name="Column9913" dataDxfId="6441"/>
    <tableColumn id="9962" xr3:uid="{71C35D70-347D-43D4-A3F8-A63A8DA0222C}" name="Column9914" dataDxfId="6440"/>
    <tableColumn id="9963" xr3:uid="{9DC85B92-FD88-439E-9421-8370E86C3E95}" name="Column9915" dataDxfId="6439"/>
    <tableColumn id="9964" xr3:uid="{41CE37D0-1EF1-4A57-85AA-DED4D7E62E47}" name="Column9916" dataDxfId="6438"/>
    <tableColumn id="9965" xr3:uid="{E53D1838-95FB-4008-A9B9-2B8CBCABEC42}" name="Column9917" dataDxfId="6437"/>
    <tableColumn id="9966" xr3:uid="{24EE38FB-B5CC-45EC-A3AD-CA3EA130D31E}" name="Column9918" dataDxfId="6436"/>
    <tableColumn id="9967" xr3:uid="{2A999302-2E50-4CEE-BB0C-3BBC0B3CA4AC}" name="Column9919" dataDxfId="6435"/>
    <tableColumn id="9968" xr3:uid="{5F2E01BD-A4E9-4F34-9D4D-5122602B3C05}" name="Column9920" dataDxfId="6434"/>
    <tableColumn id="9969" xr3:uid="{E0AD7AE0-CA3A-4C14-8794-91F1E4FDB01A}" name="Column9921" dataDxfId="6433"/>
    <tableColumn id="9970" xr3:uid="{F568884B-3F24-435C-82A1-EFE323DCDAA3}" name="Column9922" dataDxfId="6432"/>
    <tableColumn id="9971" xr3:uid="{D2B2D5D5-9940-4531-BDF2-650F5F4E361A}" name="Column9923" dataDxfId="6431"/>
    <tableColumn id="9972" xr3:uid="{71F3399F-8831-4A18-B78A-01ED554B7E7F}" name="Column9924" dataDxfId="6430"/>
    <tableColumn id="9973" xr3:uid="{D53738D9-684F-484D-A9AC-AC925BF1F51B}" name="Column9925" dataDxfId="6429"/>
    <tableColumn id="9974" xr3:uid="{BCE5643D-98C9-41F8-83AF-615886235D83}" name="Column9926" dataDxfId="6428"/>
    <tableColumn id="9975" xr3:uid="{C03346AB-2C0D-47C8-96FD-188883CA27F4}" name="Column9927" dataDxfId="6427"/>
    <tableColumn id="9976" xr3:uid="{327B729B-9EE6-4D58-921C-94E371B6B59E}" name="Column9928" dataDxfId="6426"/>
    <tableColumn id="9977" xr3:uid="{79C3019E-DD20-4E40-9C6A-914618C074B9}" name="Column9929" dataDxfId="6425"/>
    <tableColumn id="9978" xr3:uid="{81C322B5-DEC9-4D85-9B89-5A4114CF4248}" name="Column9930" dataDxfId="6424"/>
    <tableColumn id="9979" xr3:uid="{473BA8D7-C075-4A6B-A524-2D859718B089}" name="Column9931" dataDxfId="6423"/>
    <tableColumn id="9980" xr3:uid="{4D0B5019-FC14-421C-9479-F7F4D2CA6401}" name="Column9932" dataDxfId="6422"/>
    <tableColumn id="9981" xr3:uid="{4A273772-79A1-4E26-A637-13DCD5EEE0A2}" name="Column9933" dataDxfId="6421"/>
    <tableColumn id="9982" xr3:uid="{BF62E45F-8899-4EF8-81D9-DB749A545275}" name="Column9934" dataDxfId="6420"/>
    <tableColumn id="9983" xr3:uid="{1417973B-BD40-433B-8957-FE669853DFEE}" name="Column9935" dataDxfId="6419"/>
    <tableColumn id="9984" xr3:uid="{278F593E-368C-4546-B587-1132B493BC5C}" name="Column9936" dataDxfId="6418"/>
    <tableColumn id="9985" xr3:uid="{AF13B2FF-FC0C-4AF6-BAFC-19BE4879E0AE}" name="Column9937" dataDxfId="6417"/>
    <tableColumn id="9986" xr3:uid="{1FF5EF00-0E67-435D-9B8F-C28E6DE34C39}" name="Column9938" dataDxfId="6416"/>
    <tableColumn id="9987" xr3:uid="{D831ACAC-4331-4711-AB7A-074755BFA9D7}" name="Column9939" dataDxfId="6415"/>
    <tableColumn id="9988" xr3:uid="{6377CB37-C655-4227-97D7-B3AFCE899E92}" name="Column9940" dataDxfId="6414"/>
    <tableColumn id="9989" xr3:uid="{BE3AE738-67C3-48F1-B5F3-A73800F734C3}" name="Column9941" dataDxfId="6413"/>
    <tableColumn id="9990" xr3:uid="{0BE2486C-4509-4E31-B61E-835304A464BA}" name="Column9942" dataDxfId="6412"/>
    <tableColumn id="9991" xr3:uid="{9E63CAED-A84B-484D-A10E-F57AEB5C0EF5}" name="Column9943" dataDxfId="6411"/>
    <tableColumn id="9992" xr3:uid="{0CCACA59-C6E3-4A50-9F49-B4C3349F49AB}" name="Column9944" dataDxfId="6410"/>
    <tableColumn id="9993" xr3:uid="{EC8CC1A7-4ACB-4EC1-A1D0-4C59031CD008}" name="Column9945" dataDxfId="6409"/>
    <tableColumn id="9994" xr3:uid="{53129C9C-2555-4428-935B-E529EE62BB34}" name="Column9946" dataDxfId="6408"/>
    <tableColumn id="9995" xr3:uid="{536471FB-4BA9-4CEC-96B1-3856D891F962}" name="Column9947" dataDxfId="6407"/>
    <tableColumn id="9996" xr3:uid="{D5463DBD-522F-4056-AB0C-9DDD5566F27A}" name="Column9948" dataDxfId="6406"/>
    <tableColumn id="9997" xr3:uid="{6BA0ADAA-0E4B-4E64-8D4B-1DD705BA3CE6}" name="Column9949" dataDxfId="6405"/>
    <tableColumn id="9998" xr3:uid="{9BACF038-B111-4988-AFC8-3D7BCA775D0E}" name="Column9950" dataDxfId="6404"/>
    <tableColumn id="9999" xr3:uid="{FD6C17B7-203C-4254-857C-8DBC7FA99266}" name="Column9951" dataDxfId="6403"/>
    <tableColumn id="10000" xr3:uid="{8CAB4536-4AAD-4FCE-A9FD-DF6B76458B1E}" name="Column9952" dataDxfId="6402"/>
    <tableColumn id="10001" xr3:uid="{1BF2C86C-EF59-4C0D-A706-4FBB51C9E0DF}" name="Column9953" dataDxfId="6401"/>
    <tableColumn id="10002" xr3:uid="{8EED99E1-1713-45D6-A4A3-7A6896AF93D7}" name="Column9954" dataDxfId="6400"/>
    <tableColumn id="10003" xr3:uid="{B7BC4654-765C-4469-B62E-E0EE72A5C4BE}" name="Column9955" dataDxfId="6399"/>
    <tableColumn id="10004" xr3:uid="{36314D89-B714-4EFA-8E54-7902FEC22CA8}" name="Column9956" dataDxfId="6398"/>
    <tableColumn id="10005" xr3:uid="{94386388-2DF2-42D1-B9AB-A6D755375F75}" name="Column9957" dataDxfId="6397"/>
    <tableColumn id="10006" xr3:uid="{D69FF2F4-3ECA-45DA-AFCA-84242B10A68E}" name="Column9958" dataDxfId="6396"/>
    <tableColumn id="10007" xr3:uid="{4A89C597-CD05-4094-96AB-E3E1F2D7DEC6}" name="Column9959" dataDxfId="6395"/>
    <tableColumn id="10008" xr3:uid="{AE8E913B-E7C6-4167-BA52-1907A593D9D7}" name="Column9960" dataDxfId="6394"/>
    <tableColumn id="10009" xr3:uid="{331D3207-4BB2-431F-B67E-C5A51C089F1E}" name="Column9961" dataDxfId="6393"/>
    <tableColumn id="10010" xr3:uid="{C6AD7D9E-6B88-45DA-B868-1C53707274F0}" name="Column9962" dataDxfId="6392"/>
    <tableColumn id="10011" xr3:uid="{EF2CCFFB-F512-4DEA-92AC-AE1D37DB7B37}" name="Column9963" dataDxfId="6391"/>
    <tableColumn id="10012" xr3:uid="{A49278F6-F502-44F9-BDCF-2C2080A8906D}" name="Column9964" dataDxfId="6390"/>
    <tableColumn id="10013" xr3:uid="{301DC5E2-8577-4C6B-90BF-B26397A09DCA}" name="Column9965" dataDxfId="6389"/>
    <tableColumn id="10014" xr3:uid="{549CB657-6A83-422A-8FE4-A0F8F41125CE}" name="Column9966" dataDxfId="6388"/>
    <tableColumn id="10015" xr3:uid="{D560A0C8-E1DF-4DD7-9D4C-D8B120DEEC6C}" name="Column9967" dataDxfId="6387"/>
    <tableColumn id="10016" xr3:uid="{5F6902A2-EEC9-4674-9C49-58859B8F678C}" name="Column9968" dataDxfId="6386"/>
    <tableColumn id="10017" xr3:uid="{BC6E5D88-D072-41F6-8796-150F1707C91C}" name="Column9969" dataDxfId="6385"/>
    <tableColumn id="10018" xr3:uid="{E28ACEC1-C490-4AA1-9460-E68216D2C8BA}" name="Column9970" dataDxfId="6384"/>
    <tableColumn id="10019" xr3:uid="{5EE39D52-EEF2-4FC0-B76C-8C11FB5D1366}" name="Column9971" dataDxfId="6383"/>
    <tableColumn id="10020" xr3:uid="{3587500D-7918-43CB-BA12-AF2218EEFD8E}" name="Column9972" dataDxfId="6382"/>
    <tableColumn id="10021" xr3:uid="{93836022-2F3F-425E-BF07-458BC17BC9A8}" name="Column9973" dataDxfId="6381"/>
    <tableColumn id="10022" xr3:uid="{69779715-62D8-40AF-B7C6-0046F796AE98}" name="Column9974" dataDxfId="6380"/>
    <tableColumn id="10023" xr3:uid="{6731B01E-54B1-40ED-999C-F1747499F524}" name="Column9975" dataDxfId="6379"/>
    <tableColumn id="10024" xr3:uid="{174501E2-1968-4A3B-8E48-D8EE9A2E62A6}" name="Column9976" dataDxfId="6378"/>
    <tableColumn id="10025" xr3:uid="{E2814FDA-4294-47D2-AAA9-ACC306E58EC1}" name="Column9977" dataDxfId="6377"/>
    <tableColumn id="10026" xr3:uid="{F4B015DD-0D2C-4FCC-93BB-96E6A5EFA9C3}" name="Column9978" dataDxfId="6376"/>
    <tableColumn id="10027" xr3:uid="{EC153D1B-15D3-4809-A0F2-52AB4A5DBF27}" name="Column9979" dataDxfId="6375"/>
    <tableColumn id="10028" xr3:uid="{715FFA73-F1EF-475E-83BB-CCCC6CACB428}" name="Column9980" dataDxfId="6374"/>
    <tableColumn id="10029" xr3:uid="{8FB10B26-B82A-4840-B404-501D7FB34804}" name="Column9981" dataDxfId="6373"/>
    <tableColumn id="10030" xr3:uid="{157B3F2D-038C-4F4E-9BC8-4FEE7DC50A30}" name="Column9982" dataDxfId="6372"/>
    <tableColumn id="10031" xr3:uid="{EFAE6089-06A1-4B92-999A-29577DA11F07}" name="Column9983" dataDxfId="6371"/>
    <tableColumn id="10032" xr3:uid="{625C5FE4-E71E-4AEF-B513-DF52FA2DDBD9}" name="Column9984" dataDxfId="6370"/>
    <tableColumn id="10033" xr3:uid="{248DB2BA-9071-4C93-A7B9-0E6528291F23}" name="Column9985" dataDxfId="6369"/>
    <tableColumn id="10034" xr3:uid="{55071647-B657-4A9C-9CC9-2A6725C8F7F1}" name="Column9986" dataDxfId="6368"/>
    <tableColumn id="10035" xr3:uid="{78EEDFF3-B2E4-4B87-9106-C16BC9EF8B3F}" name="Column9987" dataDxfId="6367"/>
    <tableColumn id="10036" xr3:uid="{D79369ED-7E18-408B-BC92-C4DD83765F67}" name="Column9988" dataDxfId="6366"/>
    <tableColumn id="10037" xr3:uid="{0461DB0D-BB4E-4B18-8E44-7334FC8E2726}" name="Column9989" dataDxfId="6365"/>
    <tableColumn id="10038" xr3:uid="{DB23B2EC-02C0-4889-822A-70FFBA61F795}" name="Column9990" dataDxfId="6364"/>
    <tableColumn id="10039" xr3:uid="{45364FB3-0A7A-4EE3-800D-6DFDF4642BF6}" name="Column9991" dataDxfId="6363"/>
    <tableColumn id="10040" xr3:uid="{A30D0E56-1336-4F59-A14B-E93C8C7D5B6C}" name="Column9992" dataDxfId="6362"/>
    <tableColumn id="10041" xr3:uid="{98857001-1D6A-40F2-B0FB-7306341FFB90}" name="Column9993" dataDxfId="6361"/>
    <tableColumn id="10042" xr3:uid="{F1E28229-B7A0-4516-B93F-984E9233B566}" name="Column9994" dataDxfId="6360"/>
    <tableColumn id="10043" xr3:uid="{D672A2A7-4359-4D42-82DE-CA04FCC8650F}" name="Column9995" dataDxfId="6359"/>
    <tableColumn id="10044" xr3:uid="{B4F5D1A8-AC63-4610-B5A1-2BE0DDDCE9CF}" name="Column9996" dataDxfId="6358"/>
    <tableColumn id="10045" xr3:uid="{33C60033-5170-477D-B247-A8F0F9355921}" name="Column9997" dataDxfId="6357"/>
    <tableColumn id="10046" xr3:uid="{21B56A13-7DB9-4D44-B0A0-98177877CF96}" name="Column9998" dataDxfId="6356"/>
    <tableColumn id="10047" xr3:uid="{A39AC222-D415-4DB6-B1C4-1140D4A4B9D9}" name="Column9999" dataDxfId="6355"/>
    <tableColumn id="10048" xr3:uid="{53C769F7-2A3F-43E9-833E-2AC57A7240A4}" name="Column10000" dataDxfId="6354"/>
    <tableColumn id="10049" xr3:uid="{B38DECB1-91B0-4674-84E0-01DEF4EA6488}" name="Column10001" dataDxfId="6353"/>
    <tableColumn id="10050" xr3:uid="{CD5E81FB-66C1-4A25-AD52-911BE68A84D5}" name="Column10002" dataDxfId="6352"/>
    <tableColumn id="10051" xr3:uid="{2569D67B-B30B-42A7-B21A-D4C691E54D70}" name="Column10003" dataDxfId="6351"/>
    <tableColumn id="10052" xr3:uid="{1BA72DC2-E97A-4C1D-B45D-629B29889205}" name="Column10004" dataDxfId="6350"/>
    <tableColumn id="10053" xr3:uid="{6CE45A74-E0B6-46AB-8A7B-4A1F9D8F2CEA}" name="Column10005" dataDxfId="6349"/>
    <tableColumn id="10054" xr3:uid="{F9CF4E20-7FEB-4F9D-ADE8-BED4311B66AA}" name="Column10006" dataDxfId="6348"/>
    <tableColumn id="10055" xr3:uid="{B4C380A4-9773-4D09-8DD1-41ADC686E6AE}" name="Column10007" dataDxfId="6347"/>
    <tableColumn id="10056" xr3:uid="{73191B07-9860-42EB-BC08-906C76CEC959}" name="Column10008" dataDxfId="6346"/>
    <tableColumn id="10057" xr3:uid="{40657B8B-8FAB-4A0E-A0B5-6D3EB921EAB3}" name="Column10009" dataDxfId="6345"/>
    <tableColumn id="10058" xr3:uid="{BCCC4407-CF3C-46B8-83E1-F10FC989CB6C}" name="Column10010" dataDxfId="6344"/>
    <tableColumn id="10059" xr3:uid="{633656AC-286C-4649-8A3C-D6AA98C5ED06}" name="Column10011" dataDxfId="6343"/>
    <tableColumn id="10060" xr3:uid="{043F993D-A27F-431F-B282-D2B8CD3929A3}" name="Column10012" dataDxfId="6342"/>
    <tableColumn id="10061" xr3:uid="{2A42E4B7-A305-4FFC-B0CB-D43733D7048D}" name="Column10013" dataDxfId="6341"/>
    <tableColumn id="10062" xr3:uid="{9983E1B0-CBF2-4727-A5D0-E4CE0C231DE6}" name="Column10014" dataDxfId="6340"/>
    <tableColumn id="10063" xr3:uid="{0FDB9CFC-E1D4-4146-B3C5-0DFDB3405C94}" name="Column10015" dataDxfId="6339"/>
    <tableColumn id="10064" xr3:uid="{CFE0DAE0-D353-4BD1-A85E-F0019F6CD06A}" name="Column10016" dataDxfId="6338"/>
    <tableColumn id="10065" xr3:uid="{A21C12BF-6145-4C76-A467-D20A4D6576D9}" name="Column10017" dataDxfId="6337"/>
    <tableColumn id="10066" xr3:uid="{D1C44E7F-30BC-49B7-BC7B-0203B3032D52}" name="Column10018" dataDxfId="6336"/>
    <tableColumn id="10067" xr3:uid="{17D6FB55-1A3E-489A-9D69-048A4B1B2ECE}" name="Column10019" dataDxfId="6335"/>
    <tableColumn id="10068" xr3:uid="{8F9F3781-3C1B-4C97-8523-28BEF2476239}" name="Column10020" dataDxfId="6334"/>
    <tableColumn id="10069" xr3:uid="{1C70AB8D-9F13-432F-B2C2-5BDBA6DA54DE}" name="Column10021" dataDxfId="6333"/>
    <tableColumn id="10070" xr3:uid="{49CDFC3A-22AA-4E99-92E8-0A609DDB4AF9}" name="Column10022" dataDxfId="6332"/>
    <tableColumn id="10071" xr3:uid="{754F2DFA-ABB9-4D6C-A693-D31671B7EAD2}" name="Column10023" dataDxfId="6331"/>
    <tableColumn id="10072" xr3:uid="{545BA592-9B22-489A-821A-E0D5486402FF}" name="Column10024" dataDxfId="6330"/>
    <tableColumn id="10073" xr3:uid="{2C902841-6297-4BE0-8276-9FE5DE187932}" name="Column10025" dataDxfId="6329"/>
    <tableColumn id="10074" xr3:uid="{6D552ABC-03B9-4270-A2C4-17F853B221C6}" name="Column10026" dataDxfId="6328"/>
    <tableColumn id="10075" xr3:uid="{8BD24405-9F92-4A89-989C-2B6D25BBF091}" name="Column10027" dataDxfId="6327"/>
    <tableColumn id="10076" xr3:uid="{324CCCAF-C48D-4466-B6BF-6B3695942DCA}" name="Column10028" dataDxfId="6326"/>
    <tableColumn id="10077" xr3:uid="{5F126284-BA07-417B-B397-A81B4AA73B5F}" name="Column10029" dataDxfId="6325"/>
    <tableColumn id="10078" xr3:uid="{917D94AB-9DBB-4E33-9353-EA4E107FC98F}" name="Column10030" dataDxfId="6324"/>
    <tableColumn id="10079" xr3:uid="{7A4DBDD6-CA36-4211-A0AD-0A975320270A}" name="Column10031" dataDxfId="6323"/>
    <tableColumn id="10080" xr3:uid="{9F8F3A73-AAF6-486F-B705-62D5B38618D4}" name="Column10032" dataDxfId="6322"/>
    <tableColumn id="10081" xr3:uid="{65DDE75B-8523-4054-9501-ADD31DC65DE9}" name="Column10033" dataDxfId="6321"/>
    <tableColumn id="10082" xr3:uid="{5510398D-0CAF-4C28-9D43-39DDF24EF2CE}" name="Column10034" dataDxfId="6320"/>
    <tableColumn id="10083" xr3:uid="{1B8EF5DC-B21C-4391-90E0-10F41E7976A1}" name="Column10035" dataDxfId="6319"/>
    <tableColumn id="10084" xr3:uid="{D1C27AE1-6AE5-4949-B749-3607547EE9C5}" name="Column10036" dataDxfId="6318"/>
    <tableColumn id="10085" xr3:uid="{1A96340F-9BDC-4797-BED2-FD0D2362669B}" name="Column10037" dataDxfId="6317"/>
    <tableColumn id="10086" xr3:uid="{F680DBCC-A38C-4DC2-92C4-33F4360B5738}" name="Column10038" dataDxfId="6316"/>
    <tableColumn id="10087" xr3:uid="{6DC570BF-B5E1-4B83-AADB-810B5145FA8C}" name="Column10039" dataDxfId="6315"/>
    <tableColumn id="10088" xr3:uid="{8B86C7E0-DA6F-4A1D-8C7E-9B980F3246BE}" name="Column10040" dataDxfId="6314"/>
    <tableColumn id="10089" xr3:uid="{89554FCC-6C95-4680-ADEA-250DE380F189}" name="Column10041" dataDxfId="6313"/>
    <tableColumn id="10090" xr3:uid="{7BD32A36-05BA-4451-888D-CAB03FBEF3D3}" name="Column10042" dataDxfId="6312"/>
    <tableColumn id="10091" xr3:uid="{58F2B810-8892-4CE9-86DA-325F6E816474}" name="Column10043" dataDxfId="6311"/>
    <tableColumn id="10092" xr3:uid="{556ED82D-1702-46FC-8E95-11A893C4BE8C}" name="Column10044" dataDxfId="6310"/>
    <tableColumn id="10093" xr3:uid="{AEAD3CD2-235D-48A6-927F-EF3BE8908B68}" name="Column10045" dataDxfId="6309"/>
    <tableColumn id="10094" xr3:uid="{EE745B06-3653-4E68-A4B1-68DE37982CB9}" name="Column10046" dataDxfId="6308"/>
    <tableColumn id="10095" xr3:uid="{CC240A3E-60D9-408C-A00B-210A985A7B2A}" name="Column10047" dataDxfId="6307"/>
    <tableColumn id="10096" xr3:uid="{48D52820-60C7-4868-8575-4AF9518FEB36}" name="Column10048" dataDxfId="6306"/>
    <tableColumn id="10097" xr3:uid="{D09858C9-04C3-410E-87F8-D8F40ECF6B3B}" name="Column10049" dataDxfId="6305"/>
    <tableColumn id="10098" xr3:uid="{01AD8E8D-A4A5-4B14-AEE7-FEDAA59E1E1B}" name="Column10050" dataDxfId="6304"/>
    <tableColumn id="10099" xr3:uid="{314AF920-5409-40D0-A4DC-2346A611446F}" name="Column10051" dataDxfId="6303"/>
    <tableColumn id="10100" xr3:uid="{465D92B5-FF2C-4004-8AB2-7FD488C6072D}" name="Column10052" dataDxfId="6302"/>
    <tableColumn id="10101" xr3:uid="{E2CDA3A9-F0AB-474B-B21A-CCE6A5FA1F3D}" name="Column10053" dataDxfId="6301"/>
    <tableColumn id="10102" xr3:uid="{5E474809-0378-41D8-9459-736224B9D4B0}" name="Column10054" dataDxfId="6300"/>
    <tableColumn id="10103" xr3:uid="{61711568-DB1A-4780-B8ED-AF2031C09FF0}" name="Column10055" dataDxfId="6299"/>
    <tableColumn id="10104" xr3:uid="{387A1C7E-25AF-4BDC-A3FD-FA0D8F25B5FF}" name="Column10056" dataDxfId="6298"/>
    <tableColumn id="10105" xr3:uid="{9A0A86F7-846E-4B6B-8A4F-3DD6E2C14166}" name="Column10057" dataDxfId="6297"/>
    <tableColumn id="10106" xr3:uid="{AA4B9356-8E55-42C9-B525-22ABB8B30649}" name="Column10058" dataDxfId="6296"/>
    <tableColumn id="10107" xr3:uid="{094FC517-E00C-4716-BB16-70A8F197516A}" name="Column10059" dataDxfId="6295"/>
    <tableColumn id="10108" xr3:uid="{113B2E91-3D7E-4864-93CA-C1CAE7FB45B4}" name="Column10060" dataDxfId="6294"/>
    <tableColumn id="10109" xr3:uid="{92BAE26F-603F-4BA8-87FA-C33BED1A8235}" name="Column10061" dataDxfId="6293"/>
    <tableColumn id="10110" xr3:uid="{31A65390-06B5-494C-9FE8-C523F0E9E949}" name="Column10062" dataDxfId="6292"/>
    <tableColumn id="10111" xr3:uid="{E23F0E93-CD27-4C9F-A7D1-E9911FF62FE9}" name="Column10063" dataDxfId="6291"/>
    <tableColumn id="10112" xr3:uid="{250C30D9-742C-4DC3-901B-0C0019C5F276}" name="Column10064" dataDxfId="6290"/>
    <tableColumn id="10113" xr3:uid="{0C19A227-D297-47F1-8510-4EDD5E0CA6EE}" name="Column10065" dataDxfId="6289"/>
    <tableColumn id="10114" xr3:uid="{11635556-56AD-420B-89B8-E6D9670497B8}" name="Column10066" dataDxfId="6288"/>
    <tableColumn id="10115" xr3:uid="{087922A3-8C36-43E6-959C-6903292F73B0}" name="Column10067" dataDxfId="6287"/>
    <tableColumn id="10116" xr3:uid="{24AB7FCA-7BD0-4B59-A4A8-FE767098A5B7}" name="Column10068" dataDxfId="6286"/>
    <tableColumn id="10117" xr3:uid="{0FBC76DF-B8E0-4DF2-83D0-4845D91AC2A3}" name="Column10069" dataDxfId="6285"/>
    <tableColumn id="10118" xr3:uid="{972E94E3-A50C-4763-9042-BF820EFA5086}" name="Column10070" dataDxfId="6284"/>
    <tableColumn id="10119" xr3:uid="{CD042654-94E5-4B18-AE1A-4D518B7C3E0C}" name="Column10071" dataDxfId="6283"/>
    <tableColumn id="10120" xr3:uid="{865DD5F4-87F1-4D0E-A898-B11E9C839D16}" name="Column10072" dataDxfId="6282"/>
    <tableColumn id="10121" xr3:uid="{8D82D89F-7BAB-4475-AE43-979035D5FA83}" name="Column10073" dataDxfId="6281"/>
    <tableColumn id="10122" xr3:uid="{C14711AD-7D9F-4778-BBCB-93E34E69DEFC}" name="Column10074" dataDxfId="6280"/>
    <tableColumn id="10123" xr3:uid="{8C88A5DA-4DA6-4AC0-B323-F23D0F379A3B}" name="Column10075" dataDxfId="6279"/>
    <tableColumn id="10124" xr3:uid="{7A602C48-0C28-4A37-8902-E4723C26CEA1}" name="Column10076" dataDxfId="6278"/>
    <tableColumn id="10125" xr3:uid="{80718342-5889-4CCA-A7E8-0BAAD79F9FF0}" name="Column10077" dataDxfId="6277"/>
    <tableColumn id="10126" xr3:uid="{47B8A38F-5463-4678-A0C7-CCBDD7E767DD}" name="Column10078" dataDxfId="6276"/>
    <tableColumn id="10127" xr3:uid="{4A3BB799-67C9-4A46-A1A3-3077F724CF98}" name="Column10079" dataDxfId="6275"/>
    <tableColumn id="10128" xr3:uid="{61C11E9F-2278-4C6C-BD49-B11917949B83}" name="Column10080" dataDxfId="6274"/>
    <tableColumn id="10129" xr3:uid="{8F5AE6CB-1D05-4975-B414-3E5E4C733468}" name="Column10081" dataDxfId="6273"/>
    <tableColumn id="10130" xr3:uid="{582BFCE7-3B10-4C4A-89BB-ECF09C181E16}" name="Column10082" dataDxfId="6272"/>
    <tableColumn id="10131" xr3:uid="{AAE6C7AD-F95D-401E-AABC-91107376F634}" name="Column10083" dataDxfId="6271"/>
    <tableColumn id="10132" xr3:uid="{D3191DC8-7BE6-4BCB-860B-43A5E210FDB2}" name="Column10084" dataDxfId="6270"/>
    <tableColumn id="10133" xr3:uid="{26D67D83-671E-4715-B912-0EB0815E82E4}" name="Column10085" dataDxfId="6269"/>
    <tableColumn id="10134" xr3:uid="{94CC766E-F24C-4C75-BD5C-11644495ED2B}" name="Column10086" dataDxfId="6268"/>
    <tableColumn id="10135" xr3:uid="{A7024C26-8D43-42AB-A0F3-E280B29D51BD}" name="Column10087" dataDxfId="6267"/>
    <tableColumn id="10136" xr3:uid="{314257C5-8167-4364-8238-48A68E06DBF9}" name="Column10088" dataDxfId="6266"/>
    <tableColumn id="10137" xr3:uid="{6A405E16-DED4-405C-862E-49475C245728}" name="Column10089" dataDxfId="6265"/>
    <tableColumn id="10138" xr3:uid="{2D62F02B-BD20-451F-9463-C6A64C92DFD9}" name="Column10090" dataDxfId="6264"/>
    <tableColumn id="10139" xr3:uid="{11E002B9-0F6B-471D-9A03-6C70C97E747B}" name="Column10091" dataDxfId="6263"/>
    <tableColumn id="10140" xr3:uid="{EC7C8727-5CC0-4FD3-98E7-5768D44BE177}" name="Column10092" dataDxfId="6262"/>
    <tableColumn id="10141" xr3:uid="{4ABEC749-7AB8-44EA-A0AD-5C6AEF9857D1}" name="Column10093" dataDxfId="6261"/>
    <tableColumn id="10142" xr3:uid="{1D98D245-9F7A-4212-BDD0-B7465D4879AB}" name="Column10094" dataDxfId="6260"/>
    <tableColumn id="10143" xr3:uid="{B368555D-A8F5-4A77-8D42-A9AFF31794F5}" name="Column10095" dataDxfId="6259"/>
    <tableColumn id="10144" xr3:uid="{4EBC315D-ACB2-4F15-9AE4-48710C1E7325}" name="Column10096" dataDxfId="6258"/>
    <tableColumn id="10145" xr3:uid="{9B68D00E-7A84-4E9F-B2CB-648AEDA0A5F4}" name="Column10097" dataDxfId="6257"/>
    <tableColumn id="10146" xr3:uid="{89776010-A062-41E0-BD8C-1BF04C65850A}" name="Column10098" dataDxfId="6256"/>
    <tableColumn id="10147" xr3:uid="{AC81C4F7-99EA-479F-9EFA-A1CBE5B0E6BD}" name="Column10099" dataDxfId="6255"/>
    <tableColumn id="10148" xr3:uid="{69945791-B41D-4215-8E9C-5F04013EF811}" name="Column10100" dataDxfId="6254"/>
    <tableColumn id="10149" xr3:uid="{EEC4D14A-4DC4-4D8F-9E53-E41283555061}" name="Column10101" dataDxfId="6253"/>
    <tableColumn id="10150" xr3:uid="{019633A7-DF10-472D-848E-7A39815635A8}" name="Column10102" dataDxfId="6252"/>
    <tableColumn id="10151" xr3:uid="{A98B96D4-F4A0-4569-B4BD-81DFFEF5757F}" name="Column10103" dataDxfId="6251"/>
    <tableColumn id="10152" xr3:uid="{3F1240E6-3C96-4C1D-82D9-2A75060BC0A1}" name="Column10104" dataDxfId="6250"/>
    <tableColumn id="10153" xr3:uid="{52E0ECF8-B480-4191-98F6-B9F1634BBFE8}" name="Column10105" dataDxfId="6249"/>
    <tableColumn id="10154" xr3:uid="{8D0B43C2-3F23-42AF-A500-80153B35BB28}" name="Column10106" dataDxfId="6248"/>
    <tableColumn id="10155" xr3:uid="{EBE2B0A7-208D-43A9-9562-F4498D9A8DF2}" name="Column10107" dataDxfId="6247"/>
    <tableColumn id="10156" xr3:uid="{6590DE89-3F69-4FE0-8888-FA67DD6EF817}" name="Column10108" dataDxfId="6246"/>
    <tableColumn id="10157" xr3:uid="{6045FB8B-3A34-4ED9-869E-EC0275E122BA}" name="Column10109" dataDxfId="6245"/>
    <tableColumn id="10158" xr3:uid="{A6DA51A7-D358-4D34-BEAD-34C1AF8060AB}" name="Column10110" dataDxfId="6244"/>
    <tableColumn id="10159" xr3:uid="{0D780DFB-537C-4F9B-A65A-CDA9A4CE4190}" name="Column10111" dataDxfId="6243"/>
    <tableColumn id="10160" xr3:uid="{06B39DD7-0D94-431B-9AE1-E48C4980060B}" name="Column10112" dataDxfId="6242"/>
    <tableColumn id="10161" xr3:uid="{A5482B3A-6D4E-4940-ABE6-FD0647BE68BE}" name="Column10113" dataDxfId="6241"/>
    <tableColumn id="10162" xr3:uid="{B3E0948A-A8C9-4BF0-9F51-79B01818A3B3}" name="Column10114" dataDxfId="6240"/>
    <tableColumn id="10163" xr3:uid="{341417D4-079F-4A39-9253-731C61DD009A}" name="Column10115" dataDxfId="6239"/>
    <tableColumn id="10164" xr3:uid="{6641E8B1-7C53-46A6-B785-96FF088EAB24}" name="Column10116" dataDxfId="6238"/>
    <tableColumn id="10165" xr3:uid="{43FF0BFF-58EC-4C45-95EB-0F788E3CD78E}" name="Column10117" dataDxfId="6237"/>
    <tableColumn id="10166" xr3:uid="{45CC687B-490D-4696-BB29-9BA0F76A8212}" name="Column10118" dataDxfId="6236"/>
    <tableColumn id="10167" xr3:uid="{1B2697EE-0FE4-482D-9330-7185175AB954}" name="Column10119" dataDxfId="6235"/>
    <tableColumn id="10168" xr3:uid="{A740F3A7-DA6C-44B4-885E-DBAAD821E055}" name="Column10120" dataDxfId="6234"/>
    <tableColumn id="10169" xr3:uid="{464D5AD8-D46D-4DE7-A931-77F1C91B03D5}" name="Column10121" dataDxfId="6233"/>
    <tableColumn id="10170" xr3:uid="{B8F2B708-2EB7-4E2C-A084-07D0A4FFD98B}" name="Column10122" dataDxfId="6232"/>
    <tableColumn id="10171" xr3:uid="{C5781769-D58D-4625-95AD-9B61C9592355}" name="Column10123" dataDxfId="6231"/>
    <tableColumn id="10172" xr3:uid="{594B6B29-9E1E-4FBB-9ECC-0CF649116E98}" name="Column10124" dataDxfId="6230"/>
    <tableColumn id="10173" xr3:uid="{BABF155F-8412-496E-AA5A-0A232FC7A326}" name="Column10125" dataDxfId="6229"/>
    <tableColumn id="10174" xr3:uid="{1F85BFC3-A790-4EB0-A6D3-FFDD59410CF2}" name="Column10126" dataDxfId="6228"/>
    <tableColumn id="10175" xr3:uid="{351E7059-BC0E-4733-9B77-63778F8CCB6F}" name="Column10127" dataDxfId="6227"/>
    <tableColumn id="10176" xr3:uid="{DFB1F519-CECD-4807-83E1-B2AE9466CFDF}" name="Column10128" dataDxfId="6226"/>
    <tableColumn id="10177" xr3:uid="{CCC727C5-C9DF-4309-B9BC-FE07CCDF75CD}" name="Column10129" dataDxfId="6225"/>
    <tableColumn id="10178" xr3:uid="{666A8356-C932-4908-9DEF-8B33BA2D963D}" name="Column10130" dataDxfId="6224"/>
    <tableColumn id="10179" xr3:uid="{C9C358FF-4924-4BB5-ABB6-F3A2ABA281F9}" name="Column10131" dataDxfId="6223"/>
    <tableColumn id="10180" xr3:uid="{EF7CC8A0-1DA6-47B5-91A8-9E2560973B4A}" name="Column10132" dataDxfId="6222"/>
    <tableColumn id="10181" xr3:uid="{33A22C61-6A7D-46E3-9010-EB5B19E3CF7A}" name="Column10133" dataDxfId="6221"/>
    <tableColumn id="10182" xr3:uid="{CE29DD32-998B-46EA-B33F-D8720652B420}" name="Column10134" dataDxfId="6220"/>
    <tableColumn id="10183" xr3:uid="{D88A7BA8-567C-4033-85B2-E7D8C250AC9C}" name="Column10135" dataDxfId="6219"/>
    <tableColumn id="10184" xr3:uid="{6A6DF4D5-3E70-44E4-BBDB-1CCC06B925DB}" name="Column10136" dataDxfId="6218"/>
    <tableColumn id="10185" xr3:uid="{727EA586-9530-426E-BDF9-3D0ACCBF99BD}" name="Column10137" dataDxfId="6217"/>
    <tableColumn id="10186" xr3:uid="{5A293E9C-FB9D-44D1-A9B1-90A20D112D98}" name="Column10138" dataDxfId="6216"/>
    <tableColumn id="10187" xr3:uid="{905A39AB-A433-4474-AAC9-234DF31561A6}" name="Column10139" dataDxfId="6215"/>
    <tableColumn id="10188" xr3:uid="{0C34EE65-7C68-453E-A1E0-466158B879BA}" name="Column10140" dataDxfId="6214"/>
    <tableColumn id="10189" xr3:uid="{0E66B921-E52B-4EC2-8D56-139B3F140A67}" name="Column10141" dataDxfId="6213"/>
    <tableColumn id="10190" xr3:uid="{6A4E0924-170C-43FE-8A93-437A6F36B607}" name="Column10142" dataDxfId="6212"/>
    <tableColumn id="10191" xr3:uid="{B74061C7-7096-4B2B-844B-0375E9828BB0}" name="Column10143" dataDxfId="6211"/>
    <tableColumn id="10192" xr3:uid="{08EBE8E2-322B-47E0-A952-5A5A8B9D0428}" name="Column10144" dataDxfId="6210"/>
    <tableColumn id="10193" xr3:uid="{5804030A-5FF3-44DC-B377-E3B1AF930043}" name="Column10145" dataDxfId="6209"/>
    <tableColumn id="10194" xr3:uid="{48D5A048-E272-41E9-B789-C6D73212EDEE}" name="Column10146" dataDxfId="6208"/>
    <tableColumn id="10195" xr3:uid="{688E0BC8-5190-411E-85B9-3E03639A8B46}" name="Column10147" dataDxfId="6207"/>
    <tableColumn id="10196" xr3:uid="{931A69F0-D327-48F8-A94A-8F1EB57B08A9}" name="Column10148" dataDxfId="6206"/>
    <tableColumn id="10197" xr3:uid="{0AEAE8B6-3886-4141-87CD-8B8C6A9217F2}" name="Column10149" dataDxfId="6205"/>
    <tableColumn id="10198" xr3:uid="{42CE33B4-B593-4EC5-BE9C-C2194BA01638}" name="Column10150" dataDxfId="6204"/>
    <tableColumn id="10199" xr3:uid="{EFCAFA45-1DD2-4740-ACD3-9744A9BB45C9}" name="Column10151" dataDxfId="6203"/>
    <tableColumn id="10200" xr3:uid="{3C4B77B5-4E94-4BCF-A672-B7663E672ABB}" name="Column10152" dataDxfId="6202"/>
    <tableColumn id="10201" xr3:uid="{408365B9-EF4B-4C41-B75B-DFEAEE8D0EE5}" name="Column10153" dataDxfId="6201"/>
    <tableColumn id="10202" xr3:uid="{692351B4-105E-47C3-814C-7F910E32687A}" name="Column10154" dataDxfId="6200"/>
    <tableColumn id="10203" xr3:uid="{2B809FCA-38A2-4EBB-9471-7EE6977C5EEC}" name="Column10155" dataDxfId="6199"/>
    <tableColumn id="10204" xr3:uid="{C2294AC4-6650-4BCC-94DB-676D23989491}" name="Column10156" dataDxfId="6198"/>
    <tableColumn id="10205" xr3:uid="{890E2F32-03A8-4730-A587-FFB45E7E065C}" name="Column10157" dataDxfId="6197"/>
    <tableColumn id="10206" xr3:uid="{41F411EA-F160-4807-89D7-F57032E421CF}" name="Column10158" dataDxfId="6196"/>
    <tableColumn id="10207" xr3:uid="{9F3A5FFA-95B3-49A8-8313-F610404149C8}" name="Column10159" dataDxfId="6195"/>
    <tableColumn id="10208" xr3:uid="{ADCA4D39-6E65-442D-A0C2-1D4DA6FF5AC5}" name="Column10160" dataDxfId="6194"/>
    <tableColumn id="10209" xr3:uid="{54D7D3FF-B775-4498-AD13-B640C03DDBB7}" name="Column10161" dataDxfId="6193"/>
    <tableColumn id="10210" xr3:uid="{B50B5E8E-C14B-4BF5-ABC9-9101D56D73E6}" name="Column10162" dataDxfId="6192"/>
    <tableColumn id="10211" xr3:uid="{08A187A0-109C-4D11-B33A-23D8C2E90A7C}" name="Column10163" dataDxfId="6191"/>
    <tableColumn id="10212" xr3:uid="{D7D2ADCE-D877-4A09-B5B2-C4B9AD4B6EC3}" name="Column10164" dataDxfId="6190"/>
    <tableColumn id="10213" xr3:uid="{8F5A13BC-D79B-4369-BFD9-C0C52FD15A85}" name="Column10165" dataDxfId="6189"/>
    <tableColumn id="10214" xr3:uid="{3FA75864-E2A3-4601-A533-7E8BA04DB3B7}" name="Column10166" dataDxfId="6188"/>
    <tableColumn id="10215" xr3:uid="{7D439C2F-BF10-43F5-9DA2-3D004764B31A}" name="Column10167" dataDxfId="6187"/>
    <tableColumn id="10216" xr3:uid="{A638BF8F-ACA2-422C-A7C5-7C154F05A73E}" name="Column10168" dataDxfId="6186"/>
    <tableColumn id="10217" xr3:uid="{07AD199E-3B1C-4BF2-A1E5-F93EF7019E18}" name="Column10169" dataDxfId="6185"/>
    <tableColumn id="10218" xr3:uid="{863EE473-A485-4ECC-922A-3C09A64DE069}" name="Column10170" dataDxfId="6184"/>
    <tableColumn id="10219" xr3:uid="{840E333F-1319-4DF7-A61E-EBE3640E3ADD}" name="Column10171" dataDxfId="6183"/>
    <tableColumn id="10220" xr3:uid="{A12B8308-759C-438F-9579-22810A1DBFCB}" name="Column10172" dataDxfId="6182"/>
    <tableColumn id="10221" xr3:uid="{6952086F-3942-451D-B805-6EA4535B37D5}" name="Column10173" dataDxfId="6181"/>
    <tableColumn id="10222" xr3:uid="{53A20F74-42FD-45DF-A2FF-1124DFEF310A}" name="Column10174" dataDxfId="6180"/>
    <tableColumn id="10223" xr3:uid="{CDCF2646-D6ED-49C2-AF18-FF85D0D975FE}" name="Column10175" dataDxfId="6179"/>
    <tableColumn id="10224" xr3:uid="{E8C7F715-812A-479F-9CD3-44C088A7343C}" name="Column10176" dataDxfId="6178"/>
    <tableColumn id="10225" xr3:uid="{9CEEE721-8825-4698-B03F-C81B49FDBB6A}" name="Column10177" dataDxfId="6177"/>
    <tableColumn id="10226" xr3:uid="{3D86B5CC-906B-463F-82F5-AA82FEF27BA1}" name="Column10178" dataDxfId="6176"/>
    <tableColumn id="10227" xr3:uid="{D8879755-7BA2-4619-8108-F4C201020569}" name="Column10179" dataDxfId="6175"/>
    <tableColumn id="10228" xr3:uid="{97349FF1-3A3E-4459-9C69-DB2208E2DA10}" name="Column10180" dataDxfId="6174"/>
    <tableColumn id="10229" xr3:uid="{DFE5D61A-2A32-4D66-8391-C9758ECC30BD}" name="Column10181" dataDxfId="6173"/>
    <tableColumn id="10230" xr3:uid="{922A68DB-21B9-4031-8CDE-45D0189D8366}" name="Column10182" dataDxfId="6172"/>
    <tableColumn id="10231" xr3:uid="{602A87C9-62BA-419E-8746-E039D7BC484F}" name="Column10183" dataDxfId="6171"/>
    <tableColumn id="10232" xr3:uid="{FFDC2766-A3B8-4F9D-B5D2-CED957B87531}" name="Column10184" dataDxfId="6170"/>
    <tableColumn id="10233" xr3:uid="{B3517C45-0A5F-48A7-9717-D40FEAFCDD83}" name="Column10185" dataDxfId="6169"/>
    <tableColumn id="10234" xr3:uid="{4D9B3993-F5F4-41D7-834F-50AFC0F03E2A}" name="Column10186" dataDxfId="6168"/>
    <tableColumn id="10235" xr3:uid="{362B6D97-01EC-4D09-A20C-340109397665}" name="Column10187" dataDxfId="6167"/>
    <tableColumn id="10236" xr3:uid="{D74A367D-547E-40D0-AFBB-5C868E971912}" name="Column10188" dataDxfId="6166"/>
    <tableColumn id="10237" xr3:uid="{CBF4F23A-EA29-4252-A198-790458323137}" name="Column10189" dataDxfId="6165"/>
    <tableColumn id="10238" xr3:uid="{6CC6C214-045A-450A-974D-900F849CFBC2}" name="Column10190" dataDxfId="6164"/>
    <tableColumn id="10239" xr3:uid="{48B98469-0BE6-46FA-A6C7-7A3A00425A32}" name="Column10191" dataDxfId="6163"/>
    <tableColumn id="10240" xr3:uid="{AD16ACD8-0CC3-40FD-9E43-46CEEA801ADC}" name="Column10192" dataDxfId="6162"/>
    <tableColumn id="10241" xr3:uid="{8520CC1C-C474-478E-B07A-7388135C7BB4}" name="Column10193" dataDxfId="6161"/>
    <tableColumn id="10242" xr3:uid="{832AC605-8A67-4BDF-9545-6EE1C4CB2DC2}" name="Column10194" dataDxfId="6160"/>
    <tableColumn id="10243" xr3:uid="{42185E1A-9F6D-453E-B188-978AD20DB281}" name="Column10195" dataDxfId="6159"/>
    <tableColumn id="10244" xr3:uid="{DED8E92E-B2BE-4722-BAB1-7C4CFFC2D86C}" name="Column10196" dataDxfId="6158"/>
    <tableColumn id="10245" xr3:uid="{D9A6D2EF-03EC-4F82-9C75-07B9A2AE7B65}" name="Column10197" dataDxfId="6157"/>
    <tableColumn id="10246" xr3:uid="{DCDCB908-2D83-42B6-A3CB-DD9D3F9A4819}" name="Column10198" dataDxfId="6156"/>
    <tableColumn id="10247" xr3:uid="{8053DD98-460F-4893-A220-65AF5689CC6E}" name="Column10199" dataDxfId="6155"/>
    <tableColumn id="10248" xr3:uid="{13CA8DAD-BCA2-41C6-A67F-1BFFF18A5B87}" name="Column10200" dataDxfId="6154"/>
    <tableColumn id="10249" xr3:uid="{4176594E-AAB7-491B-8A65-59BD1CF647FD}" name="Column10201" dataDxfId="6153"/>
    <tableColumn id="10250" xr3:uid="{4C856950-C638-4899-944B-DB2C5AE60579}" name="Column10202" dataDxfId="6152"/>
    <tableColumn id="10251" xr3:uid="{54D5040F-3BFF-4187-858F-F6E90ABC416E}" name="Column10203" dataDxfId="6151"/>
    <tableColumn id="10252" xr3:uid="{5AD7F26F-6E9B-40E8-87B5-9677888898B8}" name="Column10204" dataDxfId="6150"/>
    <tableColumn id="10253" xr3:uid="{E56AF945-051C-406D-9A67-49BABE2FD4D8}" name="Column10205" dataDxfId="6149"/>
    <tableColumn id="10254" xr3:uid="{ACB57D97-FE8C-4904-9879-611109C72ACF}" name="Column10206" dataDxfId="6148"/>
    <tableColumn id="10255" xr3:uid="{29B99B42-215A-4150-BE13-94413C215578}" name="Column10207" dataDxfId="6147"/>
    <tableColumn id="10256" xr3:uid="{95EB4AF5-5E79-4A5B-A305-9A83BA826E5F}" name="Column10208" dataDxfId="6146"/>
    <tableColumn id="10257" xr3:uid="{76D0AA9A-3F85-446C-8BE2-75F20B2ECCB2}" name="Column10209" dataDxfId="6145"/>
    <tableColumn id="10258" xr3:uid="{59106AA8-9637-4FE8-A107-DEC2916157C7}" name="Column10210" dataDxfId="6144"/>
    <tableColumn id="10259" xr3:uid="{474A7DF3-2FB2-4BD0-A633-93500D64684D}" name="Column10211" dataDxfId="6143"/>
    <tableColumn id="10260" xr3:uid="{87CAEF4E-2BC7-4E17-85D0-3D469FBD7D6C}" name="Column10212" dataDxfId="6142"/>
    <tableColumn id="10261" xr3:uid="{5551F6C6-CB01-4C26-9150-78C2B9EAA64F}" name="Column10213" dataDxfId="6141"/>
    <tableColumn id="10262" xr3:uid="{E9452F26-19E3-4ACC-A0E9-38711043CBE3}" name="Column10214" dataDxfId="6140"/>
    <tableColumn id="10263" xr3:uid="{EAB71B5D-0ACC-4459-97F6-C660A3F4E5BB}" name="Column10215" dataDxfId="6139"/>
    <tableColumn id="10264" xr3:uid="{8308C96D-D71F-4778-B452-691832A30982}" name="Column10216" dataDxfId="6138"/>
    <tableColumn id="10265" xr3:uid="{BA1AC534-53B3-494C-B18E-A9832A8C9E64}" name="Column10217" dataDxfId="6137"/>
    <tableColumn id="10266" xr3:uid="{E2BB6E06-78F8-4313-A478-4CCE4FCC4DA1}" name="Column10218" dataDxfId="6136"/>
    <tableColumn id="10267" xr3:uid="{8F7DB9C8-826E-4D4A-B696-13F309A521B9}" name="Column10219" dataDxfId="6135"/>
    <tableColumn id="10268" xr3:uid="{54ACBA36-DF5F-40A6-80DB-4BEFF0488D7B}" name="Column10220" dataDxfId="6134"/>
    <tableColumn id="10269" xr3:uid="{ACB73080-AF2E-4BEE-9497-2D78F17D98FA}" name="Column10221" dataDxfId="6133"/>
    <tableColumn id="10270" xr3:uid="{1706FCA2-4A7C-43BF-95E9-83F2F83ADC7E}" name="Column10222" dataDxfId="6132"/>
    <tableColumn id="10271" xr3:uid="{3B20DD3F-741B-48EB-9BF9-090542609F05}" name="Column10223" dataDxfId="6131"/>
    <tableColumn id="10272" xr3:uid="{FE6A2F39-68B9-4DF5-AEED-77BEE75C563E}" name="Column10224" dataDxfId="6130"/>
    <tableColumn id="10273" xr3:uid="{F22A56E5-FEDA-43B0-997C-B8F6B95EEE47}" name="Column10225" dataDxfId="6129"/>
    <tableColumn id="10274" xr3:uid="{E6A589C5-2B7E-41E0-824B-A15F75AC5A80}" name="Column10226" dataDxfId="6128"/>
    <tableColumn id="10275" xr3:uid="{76E32198-2BE5-4C13-9E53-1524A5216E8D}" name="Column10227" dataDxfId="6127"/>
    <tableColumn id="10276" xr3:uid="{32BBBB4A-C84E-4B97-9AA0-968236F66F13}" name="Column10228" dataDxfId="6126"/>
    <tableColumn id="10277" xr3:uid="{2CB43D8A-E386-4DA3-A5E6-C9E1C3DDED53}" name="Column10229" dataDxfId="6125"/>
    <tableColumn id="10278" xr3:uid="{7DD58E64-51A5-43EA-B13F-3DCBF29AD108}" name="Column10230" dataDxfId="6124"/>
    <tableColumn id="10279" xr3:uid="{862FC617-8160-4310-B5F1-76A4B7FE8A51}" name="Column10231" dataDxfId="6123"/>
    <tableColumn id="10280" xr3:uid="{96A7E57A-0AE0-44DD-BBCA-A8E7805AA457}" name="Column10232" dataDxfId="6122"/>
    <tableColumn id="10281" xr3:uid="{1696CDA3-430F-418C-998D-959366E04BE6}" name="Column10233" dataDxfId="6121"/>
    <tableColumn id="10282" xr3:uid="{48FB64BE-0658-4D25-AF0A-E91D59742310}" name="Column10234" dataDxfId="6120"/>
    <tableColumn id="10283" xr3:uid="{53266E75-A796-4D3A-8719-F19B074BC4D0}" name="Column10235" dataDxfId="6119"/>
    <tableColumn id="10284" xr3:uid="{D5D04F2F-CA29-41B7-9359-338CD5C37875}" name="Column10236" dataDxfId="6118"/>
    <tableColumn id="10285" xr3:uid="{2A7A8A7C-5CE1-49D0-B9F5-C2050749834B}" name="Column10237" dataDxfId="6117"/>
    <tableColumn id="10286" xr3:uid="{56E96D79-958E-45C2-94F0-79548CED4ABE}" name="Column10238" dataDxfId="6116"/>
    <tableColumn id="10287" xr3:uid="{C1A4C5F5-83C6-4AC1-A822-4A9693F4F336}" name="Column10239" dataDxfId="6115"/>
    <tableColumn id="10288" xr3:uid="{6BF384A5-7BC8-476C-8C6E-78072FD80F59}" name="Column10240" dataDxfId="6114"/>
    <tableColumn id="10289" xr3:uid="{3C0B6681-D72E-4A88-9A34-08971DDF9A94}" name="Column10241" dataDxfId="6113"/>
    <tableColumn id="10290" xr3:uid="{1756E093-AE67-4767-8915-EF3DB9EE653E}" name="Column10242" dataDxfId="6112"/>
    <tableColumn id="10291" xr3:uid="{A6DB8015-1E3A-4E20-B3AC-64EA25761409}" name="Column10243" dataDxfId="6111"/>
    <tableColumn id="10292" xr3:uid="{B2A13547-DF43-44C2-8789-E6077B09F28E}" name="Column10244" dataDxfId="6110"/>
    <tableColumn id="10293" xr3:uid="{BAD5CFB5-C998-4B97-A938-2E5EC3F5B643}" name="Column10245" dataDxfId="6109"/>
    <tableColumn id="10294" xr3:uid="{C2C16A57-F373-425D-B2D2-560DE8DCFC48}" name="Column10246" dataDxfId="6108"/>
    <tableColumn id="10295" xr3:uid="{B75EE5F3-5FFD-4166-A5CE-6CFE4D59FC3D}" name="Column10247" dataDxfId="6107"/>
    <tableColumn id="10296" xr3:uid="{59EC0C61-8229-4018-867C-FFE22426B829}" name="Column10248" dataDxfId="6106"/>
    <tableColumn id="10297" xr3:uid="{49DE6BF7-0AB2-4C4B-BD56-5F48A6219580}" name="Column10249" dataDxfId="6105"/>
    <tableColumn id="10298" xr3:uid="{F9C3056B-36E5-47A1-985C-FD9E41B3A813}" name="Column10250" dataDxfId="6104"/>
    <tableColumn id="10299" xr3:uid="{A91AF60C-1E54-42AC-BC63-6D919E1A62A4}" name="Column10251" dataDxfId="6103"/>
    <tableColumn id="10300" xr3:uid="{CEE9AE53-FD7C-4432-8FE6-801A75C00284}" name="Column10252" dataDxfId="6102"/>
    <tableColumn id="10301" xr3:uid="{9AC29134-8833-4D14-A11B-5527D229EBE8}" name="Column10253" dataDxfId="6101"/>
    <tableColumn id="10302" xr3:uid="{6EDA8FB4-B4E6-4396-AD80-0F20C160C912}" name="Column10254" dataDxfId="6100"/>
    <tableColumn id="10303" xr3:uid="{2910F08A-4A09-4C4C-9312-64A27DB5D4C0}" name="Column10255" dataDxfId="6099"/>
    <tableColumn id="10304" xr3:uid="{4BAD8E8D-6367-463D-B1D4-38D482D6FDE6}" name="Column10256" dataDxfId="6098"/>
    <tableColumn id="10305" xr3:uid="{5B72E714-57A6-4E56-9898-A266539E9974}" name="Column10257" dataDxfId="6097"/>
    <tableColumn id="10306" xr3:uid="{83E01A3C-9C74-4DFB-BC90-D63C3222DE62}" name="Column10258" dataDxfId="6096"/>
    <tableColumn id="10307" xr3:uid="{18E43979-E6E7-473A-AD09-35567FC0F0F2}" name="Column10259" dataDxfId="6095"/>
    <tableColumn id="10308" xr3:uid="{B339620B-7950-4867-BF02-93C3F3F3F05C}" name="Column10260" dataDxfId="6094"/>
    <tableColumn id="10309" xr3:uid="{B28AD424-B136-456C-BC10-D8632C0312E5}" name="Column10261" dataDxfId="6093"/>
    <tableColumn id="10310" xr3:uid="{CC491A1A-3CBC-497F-8843-63BCF03FE6C1}" name="Column10262" dataDxfId="6092"/>
    <tableColumn id="10311" xr3:uid="{1DB2F519-9CDC-4DBC-893C-EA635A50F290}" name="Column10263" dataDxfId="6091"/>
    <tableColumn id="10312" xr3:uid="{8608B0DF-423E-499E-8C4B-9952CD74B2DB}" name="Column10264" dataDxfId="6090"/>
    <tableColumn id="10313" xr3:uid="{EF17827E-6683-4048-8439-7C28E95C2832}" name="Column10265" dataDxfId="6089"/>
    <tableColumn id="10314" xr3:uid="{26C08108-028B-4E0F-83DA-BC9979671DAE}" name="Column10266" dataDxfId="6088"/>
    <tableColumn id="10315" xr3:uid="{0B16258A-0CC3-4112-AB50-795A8783B731}" name="Column10267" dataDxfId="6087"/>
    <tableColumn id="10316" xr3:uid="{D88DABF1-3005-4631-AA68-583AAD010D9B}" name="Column10268" dataDxfId="6086"/>
    <tableColumn id="10317" xr3:uid="{F380ED21-7EE5-4948-8C7E-EEB677D6FCB9}" name="Column10269" dataDxfId="6085"/>
    <tableColumn id="10318" xr3:uid="{45946155-947E-4242-BDB1-16500AD35906}" name="Column10270" dataDxfId="6084"/>
    <tableColumn id="10319" xr3:uid="{A4FBA0FE-5A82-4794-B207-AB94F8E21551}" name="Column10271" dataDxfId="6083"/>
    <tableColumn id="10320" xr3:uid="{82A6FC82-6269-493E-9B93-AAA9183607C0}" name="Column10272" dataDxfId="6082"/>
    <tableColumn id="10321" xr3:uid="{481A886B-9A83-4432-AA6D-85AD0486888D}" name="Column10273" dataDxfId="6081"/>
    <tableColumn id="10322" xr3:uid="{7F012F5C-8609-4505-B741-5F803FC38E5D}" name="Column10274" dataDxfId="6080"/>
    <tableColumn id="10323" xr3:uid="{849ABA1F-B71F-4AB4-A6DC-E5F3FDC9B8C5}" name="Column10275" dataDxfId="6079"/>
    <tableColumn id="10324" xr3:uid="{30C6BA5F-E2F7-459E-B550-22ECF6A00514}" name="Column10276" dataDxfId="6078"/>
    <tableColumn id="10325" xr3:uid="{029B754F-F4A7-40D7-8DAD-95B53B265944}" name="Column10277" dataDxfId="6077"/>
    <tableColumn id="10326" xr3:uid="{11F54D44-7C07-4A6F-9139-702DA646067C}" name="Column10278" dataDxfId="6076"/>
    <tableColumn id="10327" xr3:uid="{1C4A5FD6-D5AE-4585-A5CF-58BD22527B25}" name="Column10279" dataDxfId="6075"/>
    <tableColumn id="10328" xr3:uid="{B3FC8599-66D6-4E96-96A1-18E5356E4409}" name="Column10280" dataDxfId="6074"/>
    <tableColumn id="10329" xr3:uid="{F243032D-BFE2-4A3B-94C4-8F27F3C41F51}" name="Column10281" dataDxfId="6073"/>
    <tableColumn id="10330" xr3:uid="{1E14A0FD-4707-4CC5-95A8-6FC6282A51D6}" name="Column10282" dataDxfId="6072"/>
    <tableColumn id="10331" xr3:uid="{89EEFB38-9ED4-4D8E-9B87-1106671664D5}" name="Column10283" dataDxfId="6071"/>
    <tableColumn id="10332" xr3:uid="{9091591B-4D75-4E94-A1FC-4ECFA45C2E36}" name="Column10284" dataDxfId="6070"/>
    <tableColumn id="10333" xr3:uid="{1B519EF5-8E17-4B88-95FA-FC0524A144D2}" name="Column10285" dataDxfId="6069"/>
    <tableColumn id="10334" xr3:uid="{2389C32F-6046-436E-A618-8538996997CB}" name="Column10286" dataDxfId="6068"/>
    <tableColumn id="10335" xr3:uid="{5940A939-575C-4ED8-8EC6-C881AE23364D}" name="Column10287" dataDxfId="6067"/>
    <tableColumn id="10336" xr3:uid="{B65E1138-A134-45C6-A96D-16AB8B860E0F}" name="Column10288" dataDxfId="6066"/>
    <tableColumn id="10337" xr3:uid="{01BB48C3-4AF0-4952-9ADF-526DF68A30A6}" name="Column10289" dataDxfId="6065"/>
    <tableColumn id="10338" xr3:uid="{04ADA4FD-6212-481D-8695-8F1C7D7DF6AC}" name="Column10290" dataDxfId="6064"/>
    <tableColumn id="10339" xr3:uid="{952A958C-1877-4639-A6D8-D65911280D42}" name="Column10291" dataDxfId="6063"/>
    <tableColumn id="10340" xr3:uid="{080FDEE0-46D4-43DB-8762-BB4B47ECD39F}" name="Column10292" dataDxfId="6062"/>
    <tableColumn id="10341" xr3:uid="{ADD84D28-BE25-409E-B9CC-DAE512C119AD}" name="Column10293" dataDxfId="6061"/>
    <tableColumn id="10342" xr3:uid="{59725713-90D6-43EE-B176-F7A7FE7E7BF0}" name="Column10294" dataDxfId="6060"/>
    <tableColumn id="10343" xr3:uid="{A63D2FAE-484A-40BE-B2EA-8D6E04E93298}" name="Column10295" dataDxfId="6059"/>
    <tableColumn id="10344" xr3:uid="{E2FE5783-3383-4D3B-9001-B18629164514}" name="Column10296" dataDxfId="6058"/>
    <tableColumn id="10345" xr3:uid="{15214A88-3639-4AB1-B6E8-C8BC2E8C461B}" name="Column10297" dataDxfId="6057"/>
    <tableColumn id="10346" xr3:uid="{891FA28E-57C9-4167-AD81-93C8DF547170}" name="Column10298" dataDxfId="6056"/>
    <tableColumn id="10347" xr3:uid="{AE6AAF2D-7FDD-49C0-AC61-842B5BCC8912}" name="Column10299" dataDxfId="6055"/>
    <tableColumn id="10348" xr3:uid="{0BB3AD64-E739-4775-BFA3-737F56455538}" name="Column10300" dataDxfId="6054"/>
    <tableColumn id="10349" xr3:uid="{EC0B02F4-53EC-4CFD-9798-87294E19C4E2}" name="Column10301" dataDxfId="6053"/>
    <tableColumn id="10350" xr3:uid="{0C7C9389-B792-48D0-8D79-4357A235BE93}" name="Column10302" dataDxfId="6052"/>
    <tableColumn id="10351" xr3:uid="{B4257BE5-0A15-4409-BDAF-6D192A0945C3}" name="Column10303" dataDxfId="6051"/>
    <tableColumn id="10352" xr3:uid="{248BC1F8-988D-48D8-B7BA-873EFD78A166}" name="Column10304" dataDxfId="6050"/>
    <tableColumn id="10353" xr3:uid="{B92D91DA-CF3A-4932-8F7E-961D73C776E9}" name="Column10305" dataDxfId="6049"/>
    <tableColumn id="10354" xr3:uid="{F1E05BC4-0E5F-429E-BC71-AF9FF688DBB0}" name="Column10306" dataDxfId="6048"/>
    <tableColumn id="10355" xr3:uid="{A440BB4B-3992-4CB6-90FE-922742D4CB06}" name="Column10307" dataDxfId="6047"/>
    <tableColumn id="10356" xr3:uid="{AAA4BC1B-6250-48BB-A76C-70517F376924}" name="Column10308" dataDxfId="6046"/>
    <tableColumn id="10357" xr3:uid="{D86E7F65-67C5-4258-937D-12E6044578C4}" name="Column10309" dataDxfId="6045"/>
    <tableColumn id="10358" xr3:uid="{810F6946-1E09-4910-AFA3-954AF83C36B1}" name="Column10310" dataDxfId="6044"/>
    <tableColumn id="10359" xr3:uid="{B828CA45-FF4C-41EA-9AD1-709F616C9599}" name="Column10311" dataDxfId="6043"/>
    <tableColumn id="10360" xr3:uid="{F32D765C-159E-4F85-85D4-C9A1071D7B25}" name="Column10312" dataDxfId="6042"/>
    <tableColumn id="10361" xr3:uid="{514D12EB-E63B-467A-AE91-F85D0BC2BF53}" name="Column10313" dataDxfId="6041"/>
    <tableColumn id="10362" xr3:uid="{36751942-8C1C-4949-9D90-0941CB3BA490}" name="Column10314" dataDxfId="6040"/>
    <tableColumn id="10363" xr3:uid="{9A245A43-2DF7-420C-9494-CEC65CDDCDFB}" name="Column10315" dataDxfId="6039"/>
    <tableColumn id="10364" xr3:uid="{594B7504-6B8A-496D-959F-29800C0087EA}" name="Column10316" dataDxfId="6038"/>
    <tableColumn id="10365" xr3:uid="{22B68269-6931-4E1F-83B3-61B4CB165A87}" name="Column10317" dataDxfId="6037"/>
    <tableColumn id="10366" xr3:uid="{3C9FCF70-E58C-490F-8D4F-129789FE56DE}" name="Column10318" dataDxfId="6036"/>
    <tableColumn id="10367" xr3:uid="{67577090-BF47-416A-BA10-90ED9AA2C441}" name="Column10319" dataDxfId="6035"/>
    <tableColumn id="10368" xr3:uid="{FFEAB619-B608-4B0C-8B09-0E8258B7A58C}" name="Column10320" dataDxfId="6034"/>
    <tableColumn id="10369" xr3:uid="{68E87726-F3EE-4807-B281-F0A388C86974}" name="Column10321" dataDxfId="6033"/>
    <tableColumn id="10370" xr3:uid="{930F3E87-9697-45BF-9B08-2B5738BC2E2A}" name="Column10322" dataDxfId="6032"/>
    <tableColumn id="10371" xr3:uid="{CB73E8C9-FE12-4AEF-9021-DC6D085AD6DE}" name="Column10323" dataDxfId="6031"/>
    <tableColumn id="10372" xr3:uid="{23A5E9E0-1AA2-4BA6-BA5F-361DFD7C25E0}" name="Column10324" dataDxfId="6030"/>
    <tableColumn id="10373" xr3:uid="{3DBBA146-E0D2-4AEF-808A-495BD62B96EA}" name="Column10325" dataDxfId="6029"/>
    <tableColumn id="10374" xr3:uid="{83ADDC71-1025-4DB0-B7AF-AAD33C8171C4}" name="Column10326" dataDxfId="6028"/>
    <tableColumn id="10375" xr3:uid="{8B32A5CD-1771-4668-9DDB-BAF0D2754C56}" name="Column10327" dataDxfId="6027"/>
    <tableColumn id="10376" xr3:uid="{34E7BCE2-EC84-4CE2-ADDE-FB6EB02985A8}" name="Column10328" dataDxfId="6026"/>
    <tableColumn id="10377" xr3:uid="{6147FD83-19D5-4ED5-9354-323DF5D32FCF}" name="Column10329" dataDxfId="6025"/>
    <tableColumn id="10378" xr3:uid="{38370406-52A9-4F6A-95F6-4CA4D935C276}" name="Column10330" dataDxfId="6024"/>
    <tableColumn id="10379" xr3:uid="{F975765E-CDFD-4CED-B154-41A9159FF960}" name="Column10331" dataDxfId="6023"/>
    <tableColumn id="10380" xr3:uid="{83DBA6B4-C51F-437F-8145-1E7BD3AF3842}" name="Column10332" dataDxfId="6022"/>
    <tableColumn id="10381" xr3:uid="{3C6DBABC-C0F1-4DE2-8268-732A99AFA20E}" name="Column10333" dataDxfId="6021"/>
    <tableColumn id="10382" xr3:uid="{0528BFCF-397C-4897-A167-9E77B0FD5123}" name="Column10334" dataDxfId="6020"/>
    <tableColumn id="10383" xr3:uid="{82DF60AB-C98B-41BD-A48F-46D23956D314}" name="Column10335" dataDxfId="6019"/>
    <tableColumn id="10384" xr3:uid="{2F625DE1-545B-4333-88F5-3833C0A30146}" name="Column10336" dataDxfId="6018"/>
    <tableColumn id="10385" xr3:uid="{B0D5417A-6984-4A96-81AC-E5AFB38DF200}" name="Column10337" dataDxfId="6017"/>
    <tableColumn id="10386" xr3:uid="{9D000396-6D56-4B55-B927-F19EC9F9FCEA}" name="Column10338" dataDxfId="6016"/>
    <tableColumn id="10387" xr3:uid="{75A3597D-4F59-4591-88FB-C5BD129E2A2E}" name="Column10339" dataDxfId="6015"/>
    <tableColumn id="10388" xr3:uid="{4FE29196-DA6E-4812-AE25-CFBFFC6C3781}" name="Column10340" dataDxfId="6014"/>
    <tableColumn id="10389" xr3:uid="{6594F2DA-2D01-4E97-9DD9-E939706A34E4}" name="Column10341" dataDxfId="6013"/>
    <tableColumn id="10390" xr3:uid="{A1FB5926-AB47-4452-A16E-E0A8CFB5CB8F}" name="Column10342" dataDxfId="6012"/>
    <tableColumn id="10391" xr3:uid="{0DEFF3EB-61AD-40AC-AFA6-DF282944A690}" name="Column10343" dataDxfId="6011"/>
    <tableColumn id="10392" xr3:uid="{EFC34A02-42FC-4D94-B1EF-E1886606285E}" name="Column10344" dataDxfId="6010"/>
    <tableColumn id="10393" xr3:uid="{0DBC4D4E-7BBE-4ADD-B7AF-E45BC3557A2A}" name="Column10345" dataDxfId="6009"/>
    <tableColumn id="10394" xr3:uid="{0C5203B7-D232-46E0-8583-A6EE99E74EDF}" name="Column10346" dataDxfId="6008"/>
    <tableColumn id="10395" xr3:uid="{7AF4932D-04FC-418D-B64E-E54B6424BF41}" name="Column10347" dataDxfId="6007"/>
    <tableColumn id="10396" xr3:uid="{730B0847-F874-49F3-B293-E98387B8B188}" name="Column10348" dataDxfId="6006"/>
    <tableColumn id="10397" xr3:uid="{F942805D-78FB-4FEE-86D5-455DAB7F3A9F}" name="Column10349" dataDxfId="6005"/>
    <tableColumn id="10398" xr3:uid="{80AF70A7-7051-48C9-B6C1-B8B474D5329D}" name="Column10350" dataDxfId="6004"/>
    <tableColumn id="10399" xr3:uid="{279E39F4-6BD9-487B-BCF6-497A63C39D00}" name="Column10351" dataDxfId="6003"/>
    <tableColumn id="10400" xr3:uid="{6AEFDEAA-12D5-4C33-A004-6095D79B36F3}" name="Column10352" dataDxfId="6002"/>
    <tableColumn id="10401" xr3:uid="{414BEE56-06E4-4DAF-B218-AA2B6C4844B4}" name="Column10353" dataDxfId="6001"/>
    <tableColumn id="10402" xr3:uid="{EAA125BB-0C62-40A5-B607-743B418A6DEB}" name="Column10354" dataDxfId="6000"/>
    <tableColumn id="10403" xr3:uid="{A177A789-3F29-49CD-B35D-1D84064FC456}" name="Column10355" dataDxfId="5999"/>
    <tableColumn id="10404" xr3:uid="{1CDD61CC-E6E3-43CB-815D-BC0EA8E876CA}" name="Column10356" dataDxfId="5998"/>
    <tableColumn id="10405" xr3:uid="{CE29FAA9-469E-460F-97A8-D072562E8C58}" name="Column10357" dataDxfId="5997"/>
    <tableColumn id="10406" xr3:uid="{5125CF39-3E32-4FB3-923F-5A0DC7FF4C43}" name="Column10358" dataDxfId="5996"/>
    <tableColumn id="10407" xr3:uid="{9DC626FC-6751-4916-AEE1-8DC8F812185D}" name="Column10359" dataDxfId="5995"/>
    <tableColumn id="10408" xr3:uid="{B6735A9A-7419-407E-BB3B-CE2C6B426D4C}" name="Column10360" dataDxfId="5994"/>
    <tableColumn id="10409" xr3:uid="{BBFE7547-2142-4FE2-B370-D828635A8F3C}" name="Column10361" dataDxfId="5993"/>
    <tableColumn id="10410" xr3:uid="{923851AB-3600-4BE6-9FDD-599676DF4533}" name="Column10362" dataDxfId="5992"/>
    <tableColumn id="10411" xr3:uid="{AB2B991F-B2BD-4ACB-B6B5-32DDE90D019D}" name="Column10363" dataDxfId="5991"/>
    <tableColumn id="10412" xr3:uid="{B678581C-D075-46BD-BA05-3D2C0C991C31}" name="Column10364" dataDxfId="5990"/>
    <tableColumn id="10413" xr3:uid="{DEF3F873-C3E2-4530-BE14-0380A4846AF3}" name="Column10365" dataDxfId="5989"/>
    <tableColumn id="10414" xr3:uid="{F47C9DEC-1131-44AE-9B5C-97B4E2AC07AE}" name="Column10366" dataDxfId="5988"/>
    <tableColumn id="10415" xr3:uid="{371C7B48-567C-4035-A3D6-9E7879D88DD1}" name="Column10367" dataDxfId="5987"/>
    <tableColumn id="10416" xr3:uid="{21FB5336-9F5E-41CA-8333-FA8FD50F5D39}" name="Column10368" dataDxfId="5986"/>
    <tableColumn id="10417" xr3:uid="{2EB0B3EF-C74D-4EE6-80E8-1AE95BF6EF45}" name="Column10369" dataDxfId="5985"/>
    <tableColumn id="10418" xr3:uid="{DFFB5584-4E93-46E7-B93F-73024310CABD}" name="Column10370" dataDxfId="5984"/>
    <tableColumn id="10419" xr3:uid="{75504901-DE7B-4290-9D39-8716933948AA}" name="Column10371" dataDxfId="5983"/>
    <tableColumn id="10420" xr3:uid="{8129111A-EB35-4C78-9A3A-82D034931AE8}" name="Column10372" dataDxfId="5982"/>
    <tableColumn id="10421" xr3:uid="{11C70E9F-ECEC-4E3E-A85C-DE70CB78D3CB}" name="Column10373" dataDxfId="5981"/>
    <tableColumn id="10422" xr3:uid="{4D4F2C2E-2889-4500-B278-62B34C2447D3}" name="Column10374" dataDxfId="5980"/>
    <tableColumn id="10423" xr3:uid="{B10B28DA-E2FA-419A-8EF5-789DDBE37170}" name="Column10375" dataDxfId="5979"/>
    <tableColumn id="10424" xr3:uid="{EB633A17-E0FA-4AA5-8511-5E99ED98787A}" name="Column10376" dataDxfId="5978"/>
    <tableColumn id="10425" xr3:uid="{15BEAF4E-43B4-4AE9-9767-E7290A6E2818}" name="Column10377" dataDxfId="5977"/>
    <tableColumn id="10426" xr3:uid="{94CCB5D5-74D7-45CF-9152-B5072A03A8A3}" name="Column10378" dataDxfId="5976"/>
    <tableColumn id="10427" xr3:uid="{4ECCE9D9-21DB-433B-995B-C4FECD6A6DA8}" name="Column10379" dataDxfId="5975"/>
    <tableColumn id="10428" xr3:uid="{21A239BE-7A23-4FD8-8B27-E23D886B7231}" name="Column10380" dataDxfId="5974"/>
    <tableColumn id="10429" xr3:uid="{88C33F5B-4055-42EF-A10E-ED815B906026}" name="Column10381" dataDxfId="5973"/>
    <tableColumn id="10430" xr3:uid="{A7C2DA24-FC7B-4A2A-8A22-5BE4E38B1F1F}" name="Column10382" dataDxfId="5972"/>
    <tableColumn id="10431" xr3:uid="{1B4B3BB1-5171-4492-9A28-1AF1D4491DF1}" name="Column10383" dataDxfId="5971"/>
    <tableColumn id="10432" xr3:uid="{283D4784-3340-4847-835E-03C8143E9ACD}" name="Column10384" dataDxfId="5970"/>
    <tableColumn id="10433" xr3:uid="{7E610EDC-8C40-47A3-9A03-EC6D5040C9FC}" name="Column10385" dataDxfId="5969"/>
    <tableColumn id="10434" xr3:uid="{10B39883-5AEA-44B4-B490-EA6029BC761B}" name="Column10386" dataDxfId="5968"/>
    <tableColumn id="10435" xr3:uid="{D54EA8FD-9939-4DFB-AB78-921FA8BD0F8B}" name="Column10387" dataDxfId="5967"/>
    <tableColumn id="10436" xr3:uid="{FB6FC8B5-5636-4332-BD8A-09A68DB0E449}" name="Column10388" dataDxfId="5966"/>
    <tableColumn id="10437" xr3:uid="{42D9730E-C3EE-4014-B046-FE99B597A2F5}" name="Column10389" dataDxfId="5965"/>
    <tableColumn id="10438" xr3:uid="{24EB89C5-8962-43F0-ADDB-5588F060FA8B}" name="Column10390" dataDxfId="5964"/>
    <tableColumn id="10439" xr3:uid="{4051BD35-AB8E-4B8F-9B83-EFEE2597A9CA}" name="Column10391" dataDxfId="5963"/>
    <tableColumn id="10440" xr3:uid="{B2A547DB-3BA9-4C3C-BCEE-35C5B934A35C}" name="Column10392" dataDxfId="5962"/>
    <tableColumn id="10441" xr3:uid="{C6637201-32F9-4C3F-AAE6-70960AF80D1C}" name="Column10393" dataDxfId="5961"/>
    <tableColumn id="10442" xr3:uid="{BD550F6F-18ED-439B-9605-B5F8BF8C3C4F}" name="Column10394" dataDxfId="5960"/>
    <tableColumn id="10443" xr3:uid="{FB86DDEB-1B09-4478-9DD2-D66858D2791C}" name="Column10395" dataDxfId="5959"/>
    <tableColumn id="10444" xr3:uid="{3CC5742E-0FC9-40F1-BC8B-310FB86B8C2B}" name="Column10396" dataDxfId="5958"/>
    <tableColumn id="10445" xr3:uid="{FDFAEB6E-CA13-419D-B984-9B55BDC084C2}" name="Column10397" dataDxfId="5957"/>
    <tableColumn id="10446" xr3:uid="{48D2BE24-BE55-411B-AF3D-E4681D64B773}" name="Column10398" dataDxfId="5956"/>
    <tableColumn id="10447" xr3:uid="{A27C2B65-073E-44DD-BB33-C4D5FEE3057B}" name="Column10399" dataDxfId="5955"/>
    <tableColumn id="10448" xr3:uid="{F3B35EC3-2CB9-4491-93C3-49D576736603}" name="Column10400" dataDxfId="5954"/>
    <tableColumn id="10449" xr3:uid="{50019DE2-0E5C-426F-8B87-787D50E23386}" name="Column10401" dataDxfId="5953"/>
    <tableColumn id="10450" xr3:uid="{39DAA15B-DA62-41CA-B4D2-97D07ACE306D}" name="Column10402" dataDxfId="5952"/>
    <tableColumn id="10451" xr3:uid="{C66A469D-B60B-4AD3-BC4C-D36E61C7FCF9}" name="Column10403" dataDxfId="5951"/>
    <tableColumn id="10452" xr3:uid="{91F738F8-26BD-4E26-B689-505D7A31B166}" name="Column10404" dataDxfId="5950"/>
    <tableColumn id="10453" xr3:uid="{FB887A81-4E2A-4DF6-AA33-4365F4BBB750}" name="Column10405" dataDxfId="5949"/>
    <tableColumn id="10454" xr3:uid="{D34BED3A-0763-4DF9-AC43-483C7ED86D02}" name="Column10406" dataDxfId="5948"/>
    <tableColumn id="10455" xr3:uid="{36B23D82-716D-4B8D-8FB6-332C14B40D61}" name="Column10407" dataDxfId="5947"/>
    <tableColumn id="10456" xr3:uid="{F580DFA7-C768-4860-8607-B0834DF82519}" name="Column10408" dataDxfId="5946"/>
    <tableColumn id="10457" xr3:uid="{8EEC8F11-C24D-45A7-AD42-EE4BF334EA66}" name="Column10409" dataDxfId="5945"/>
    <tableColumn id="10458" xr3:uid="{D55F548D-ADAF-4C1B-BFB2-04ED4E3C642B}" name="Column10410" dataDxfId="5944"/>
    <tableColumn id="10459" xr3:uid="{CCFFE36C-EE2D-4B89-8D69-B4CF742FA7AD}" name="Column10411" dataDxfId="5943"/>
    <tableColumn id="10460" xr3:uid="{B65C3857-DFF9-46B6-8214-4AD5102F0EFE}" name="Column10412" dataDxfId="5942"/>
    <tableColumn id="10461" xr3:uid="{BB1C37E3-C8E4-45A0-8490-23CA24A97EDD}" name="Column10413" dataDxfId="5941"/>
    <tableColumn id="10462" xr3:uid="{B0318FAA-D62D-48DD-9502-0EB96F38A611}" name="Column10414" dataDxfId="5940"/>
    <tableColumn id="10463" xr3:uid="{E11766F9-E072-489D-ADBD-C0B7608639DE}" name="Column10415" dataDxfId="5939"/>
    <tableColumn id="10464" xr3:uid="{B93A5250-C8D7-4B3D-8B27-9FBE5EC32D8F}" name="Column10416" dataDxfId="5938"/>
    <tableColumn id="10465" xr3:uid="{8B28713B-84F4-4959-9D7C-D868DD111E7A}" name="Column10417" dataDxfId="5937"/>
    <tableColumn id="10466" xr3:uid="{EBB1B039-7978-4139-8E75-372119C98C00}" name="Column10418" dataDxfId="5936"/>
    <tableColumn id="10467" xr3:uid="{73079385-0D52-4B10-9F6E-99F897D4DF34}" name="Column10419" dataDxfId="5935"/>
    <tableColumn id="10468" xr3:uid="{8E294DB1-8204-4C3B-933E-93BEB7F3E028}" name="Column10420" dataDxfId="5934"/>
    <tableColumn id="10469" xr3:uid="{9CE104CC-5A35-4378-8035-535EAAE52FBC}" name="Column10421" dataDxfId="5933"/>
    <tableColumn id="10470" xr3:uid="{D143875D-A58A-4743-878F-F88E868C9FEF}" name="Column10422" dataDxfId="5932"/>
    <tableColumn id="10471" xr3:uid="{A99D728C-39FA-4F86-AF98-EDA1D44865C8}" name="Column10423" dataDxfId="5931"/>
    <tableColumn id="10472" xr3:uid="{1925403E-7970-442B-B437-17AE5C8A5A4B}" name="Column10424" dataDxfId="5930"/>
    <tableColumn id="10473" xr3:uid="{A7F86D35-2B21-4580-8AB0-A05228D16541}" name="Column10425" dataDxfId="5929"/>
    <tableColumn id="10474" xr3:uid="{5ABCE4D7-A2AD-4CC1-8AF1-E37FDB2C2E5C}" name="Column10426" dataDxfId="5928"/>
    <tableColumn id="10475" xr3:uid="{EC6A36F5-4585-4BD0-B003-CBDD60F7C9EA}" name="Column10427" dataDxfId="5927"/>
    <tableColumn id="10476" xr3:uid="{60217D6F-169F-4274-B155-00CD8FD85EAC}" name="Column10428" dataDxfId="5926"/>
    <tableColumn id="10477" xr3:uid="{B87602EC-8EAB-4896-AA83-FAFF966607F1}" name="Column10429" dataDxfId="5925"/>
    <tableColumn id="10478" xr3:uid="{9BD10B01-4322-4FF1-A66B-47A169C97CE6}" name="Column10430" dataDxfId="5924"/>
    <tableColumn id="10479" xr3:uid="{900E290C-5FF4-42ED-96F4-3FF1CBB605BB}" name="Column10431" dataDxfId="5923"/>
    <tableColumn id="10480" xr3:uid="{6FC1B5DE-8E31-4A98-8725-35CE0F4BC633}" name="Column10432" dataDxfId="5922"/>
    <tableColumn id="10481" xr3:uid="{720417B9-C03E-4A36-A20A-1D5A69058DF3}" name="Column10433" dataDxfId="5921"/>
    <tableColumn id="10482" xr3:uid="{F13345D2-A944-447A-90DC-176F3F16890D}" name="Column10434" dataDxfId="5920"/>
    <tableColumn id="10483" xr3:uid="{A4B7C09E-2010-4913-B0A6-651E362CAF9B}" name="Column10435" dataDxfId="5919"/>
    <tableColumn id="10484" xr3:uid="{75AE3098-9810-4EB2-93F9-08E685B7E32F}" name="Column10436" dataDxfId="5918"/>
    <tableColumn id="10485" xr3:uid="{AA72F9E9-26C5-49B7-BBF5-6D6C609BDD20}" name="Column10437" dataDxfId="5917"/>
    <tableColumn id="10486" xr3:uid="{32918077-D9E6-4994-9786-322D9F120D4B}" name="Column10438" dataDxfId="5916"/>
    <tableColumn id="10487" xr3:uid="{FADB12C1-DC4C-4BD4-968C-423AD4DA3F86}" name="Column10439" dataDxfId="5915"/>
    <tableColumn id="10488" xr3:uid="{EAF37ADE-0071-44C4-B133-BA3C6F1B63BD}" name="Column10440" dataDxfId="5914"/>
    <tableColumn id="10489" xr3:uid="{AF54159A-82C1-4D46-A60D-C3164337F91A}" name="Column10441" dataDxfId="5913"/>
    <tableColumn id="10490" xr3:uid="{342DCD82-64EF-4980-B1AE-EA9B165E2105}" name="Column10442" dataDxfId="5912"/>
    <tableColumn id="10491" xr3:uid="{1B7139FE-02FC-4493-991F-B2E51CE57346}" name="Column10443" dataDxfId="5911"/>
    <tableColumn id="10492" xr3:uid="{267AFC52-A07E-41B1-A3B9-70752E9E4F7F}" name="Column10444" dataDxfId="5910"/>
    <tableColumn id="10493" xr3:uid="{0B7BA500-A033-4E05-A824-CA223813DFCA}" name="Column10445" dataDxfId="5909"/>
    <tableColumn id="10494" xr3:uid="{2E2CC224-0154-4B79-A517-FA4F0968608B}" name="Column10446" dataDxfId="5908"/>
    <tableColumn id="10495" xr3:uid="{D91D65BE-D39A-480F-845E-EF070EAA6E6E}" name="Column10447" dataDxfId="5907"/>
    <tableColumn id="10496" xr3:uid="{43D21515-B106-44B5-AF23-A8CB190FCEF9}" name="Column10448" dataDxfId="5906"/>
    <tableColumn id="10497" xr3:uid="{91F57288-FCBC-4D93-A484-AA10EF95451B}" name="Column10449" dataDxfId="5905"/>
    <tableColumn id="10498" xr3:uid="{0527AA95-B8EC-47F2-94D2-AA9F2485F645}" name="Column10450" dataDxfId="5904"/>
    <tableColumn id="10499" xr3:uid="{950B3379-0203-48D2-AA0A-1D68A478D8F1}" name="Column10451" dataDxfId="5903"/>
    <tableColumn id="10500" xr3:uid="{44BF49F8-B2FC-4E88-B510-15E4866E668B}" name="Column10452" dataDxfId="5902"/>
    <tableColumn id="10501" xr3:uid="{A639B694-7B74-45E9-9442-7D64F45B9B3D}" name="Column10453" dataDxfId="5901"/>
    <tableColumn id="10502" xr3:uid="{2AC2CEC4-2CA0-4F6B-A056-E995D13CA864}" name="Column10454" dataDxfId="5900"/>
    <tableColumn id="10503" xr3:uid="{60966580-F41F-44F8-A8EE-ADD1C1C03310}" name="Column10455" dataDxfId="5899"/>
    <tableColumn id="10504" xr3:uid="{A5899F54-3C85-4F38-BD1F-4F83B1E2761F}" name="Column10456" dataDxfId="5898"/>
    <tableColumn id="10505" xr3:uid="{BCFA95E3-B99B-44B6-9D2F-CDA7822462DF}" name="Column10457" dataDxfId="5897"/>
    <tableColumn id="10506" xr3:uid="{98C783A2-6B27-4D65-A3E4-8EDAD9F14D80}" name="Column10458" dataDxfId="5896"/>
    <tableColumn id="10507" xr3:uid="{3F293405-8504-4F25-8552-002B02E09F9A}" name="Column10459" dataDxfId="5895"/>
    <tableColumn id="10508" xr3:uid="{012E09DE-972A-434B-AC7D-01BBD76F84CE}" name="Column10460" dataDxfId="5894"/>
    <tableColumn id="10509" xr3:uid="{594E7333-353C-463F-8FB0-E36FCA10063F}" name="Column10461" dataDxfId="5893"/>
    <tableColumn id="10510" xr3:uid="{F6C17329-6673-4B54-91F9-A7BE4FEAE83C}" name="Column10462" dataDxfId="5892"/>
    <tableColumn id="10511" xr3:uid="{5E9ADBB0-8FB5-4193-B2D8-4DE71B1B1B33}" name="Column10463" dataDxfId="5891"/>
    <tableColumn id="10512" xr3:uid="{2CD0647C-14F8-48EF-AC0B-18D43CDB3E2C}" name="Column10464" dataDxfId="5890"/>
    <tableColumn id="10513" xr3:uid="{716165A7-40D8-4F2D-A842-26D7893C0509}" name="Column10465" dataDxfId="5889"/>
    <tableColumn id="10514" xr3:uid="{470F11D1-A16D-447E-B0AE-44C61E3556A1}" name="Column10466" dataDxfId="5888"/>
    <tableColumn id="10515" xr3:uid="{4856DED8-1731-47B3-9BA8-E94DCBF5C8DC}" name="Column10467" dataDxfId="5887"/>
    <tableColumn id="10516" xr3:uid="{56CDEC7E-5C1C-4AFD-9A68-DF0176B0A520}" name="Column10468" dataDxfId="5886"/>
    <tableColumn id="10517" xr3:uid="{BEF6C5D1-2881-48CB-83E9-73783FBBA4B2}" name="Column10469" dataDxfId="5885"/>
    <tableColumn id="10518" xr3:uid="{D87ED7CC-5DBD-4F45-BE0E-38F5D44E56BE}" name="Column10470" dataDxfId="5884"/>
    <tableColumn id="10519" xr3:uid="{B310F8FB-3C3E-4AA5-A34A-D8D334E337C7}" name="Column10471" dataDxfId="5883"/>
    <tableColumn id="10520" xr3:uid="{E0905F39-BD81-42B7-A6DC-4BE5A1AB9790}" name="Column10472" dataDxfId="5882"/>
    <tableColumn id="10521" xr3:uid="{06F39992-2891-4746-9761-48C30173984C}" name="Column10473" dataDxfId="5881"/>
    <tableColumn id="10522" xr3:uid="{E3A8CA39-BCDC-4F98-B141-B1FB9900BA8A}" name="Column10474" dataDxfId="5880"/>
    <tableColumn id="10523" xr3:uid="{CC6C96E1-584A-4D78-879C-8F7928145306}" name="Column10475" dataDxfId="5879"/>
    <tableColumn id="10524" xr3:uid="{B6BCB028-52BA-49A4-B97D-B431D846489A}" name="Column10476" dataDxfId="5878"/>
    <tableColumn id="10525" xr3:uid="{E85D14F3-D6A5-424F-9BF5-C40AA75C81DD}" name="Column10477" dataDxfId="5877"/>
    <tableColumn id="10526" xr3:uid="{5275E468-82C1-4F0F-8A42-6F80A4FB3BFA}" name="Column10478" dataDxfId="5876"/>
    <tableColumn id="10527" xr3:uid="{0FDDC3CA-B5AE-4DB8-8027-10E7058C8BA9}" name="Column10479" dataDxfId="5875"/>
    <tableColumn id="10528" xr3:uid="{9FF727FF-F7C5-41A4-A543-48D07850B629}" name="Column10480" dataDxfId="5874"/>
    <tableColumn id="10529" xr3:uid="{2CE9958C-C3BC-4688-91AD-843573EF3C7F}" name="Column10481" dataDxfId="5873"/>
    <tableColumn id="10530" xr3:uid="{D6E5E30B-EA40-4FE6-94E4-3E13F7A3F1D3}" name="Column10482" dataDxfId="5872"/>
    <tableColumn id="10531" xr3:uid="{3884F843-CEC9-4B75-A753-1C11E1BE94F9}" name="Column10483" dataDxfId="5871"/>
    <tableColumn id="10532" xr3:uid="{6BF948FA-1C9C-4DDC-A320-5E7EFD5046CA}" name="Column10484" dataDxfId="5870"/>
    <tableColumn id="10533" xr3:uid="{3231C604-F09E-47F5-93DE-1EB271373903}" name="Column10485" dataDxfId="5869"/>
    <tableColumn id="10534" xr3:uid="{030FE4F2-5A34-4E10-82FE-5634029FE0C4}" name="Column10486" dataDxfId="5868"/>
    <tableColumn id="10535" xr3:uid="{F28F75B2-E803-41D2-989E-38BF0243BA8B}" name="Column10487" dataDxfId="5867"/>
    <tableColumn id="10536" xr3:uid="{F7AF9F83-6F0B-4732-8BE9-1F86F7E695AA}" name="Column10488" dataDxfId="5866"/>
    <tableColumn id="10537" xr3:uid="{B20F3384-63C6-432C-855C-473B8F1261D5}" name="Column10489" dataDxfId="5865"/>
    <tableColumn id="10538" xr3:uid="{4F4423AC-2A0E-46F1-8898-C68D9928F406}" name="Column10490" dataDxfId="5864"/>
    <tableColumn id="10539" xr3:uid="{B96BF4CB-425B-4B31-ACB0-94C6ADABD427}" name="Column10491" dataDxfId="5863"/>
    <tableColumn id="10540" xr3:uid="{CCAECA3F-2AA6-4A4E-93AC-DD62B2F67DEF}" name="Column10492" dataDxfId="5862"/>
    <tableColumn id="10541" xr3:uid="{9C0FEB50-B5B1-4F01-B24E-544A34DEAF39}" name="Column10493" dataDxfId="5861"/>
    <tableColumn id="10542" xr3:uid="{E6E13631-E69B-4D3D-835C-6A6F7AA8F15E}" name="Column10494" dataDxfId="5860"/>
    <tableColumn id="10543" xr3:uid="{6F4B7D07-285E-45F0-81D7-599771F9CD22}" name="Column10495" dataDxfId="5859"/>
    <tableColumn id="10544" xr3:uid="{EB63A8F2-303E-4CF2-8362-2887DB0B66A1}" name="Column10496" dataDxfId="5858"/>
    <tableColumn id="10545" xr3:uid="{0C42EBE3-353B-4A92-B4B5-E250474A9D3A}" name="Column10497" dataDxfId="5857"/>
    <tableColumn id="10546" xr3:uid="{D6F301B3-F831-43A9-A43E-7C76BF8BF05A}" name="Column10498" dataDxfId="5856"/>
    <tableColumn id="10547" xr3:uid="{7327CD1E-C4AC-4B43-BF90-C4FB687F3DC7}" name="Column10499" dataDxfId="5855"/>
    <tableColumn id="10548" xr3:uid="{B913944A-E889-4383-B236-17CC215D0B66}" name="Column10500" dataDxfId="5854"/>
    <tableColumn id="10549" xr3:uid="{9546601E-2202-4047-B666-93C647A35E72}" name="Column10501" dataDxfId="5853"/>
    <tableColumn id="10550" xr3:uid="{1E49039E-BCF5-4A99-96F8-990543899D96}" name="Column10502" dataDxfId="5852"/>
    <tableColumn id="10551" xr3:uid="{9EBD11FA-59EE-481B-A5D0-E70758C2CEC7}" name="Column10503" dataDxfId="5851"/>
    <tableColumn id="10552" xr3:uid="{8D504057-4695-4086-B925-178442187641}" name="Column10504" dataDxfId="5850"/>
    <tableColumn id="10553" xr3:uid="{7D378652-9BF0-4F11-AA4F-641F7064E0E3}" name="Column10505" dataDxfId="5849"/>
    <tableColumn id="10554" xr3:uid="{435C75EA-E970-49A8-B3E1-FF1A153B7055}" name="Column10506" dataDxfId="5848"/>
    <tableColumn id="10555" xr3:uid="{B7CD9401-D1F8-4925-BE00-966E6AE5A98D}" name="Column10507" dataDxfId="5847"/>
    <tableColumn id="10556" xr3:uid="{B078D2ED-225E-46E6-BC7B-D4FB91F126A7}" name="Column10508" dataDxfId="5846"/>
    <tableColumn id="10557" xr3:uid="{BFE486FD-960F-43E7-8729-BAD574C5EB9E}" name="Column10509" dataDxfId="5845"/>
    <tableColumn id="10558" xr3:uid="{9460E9F9-9E99-4A58-9492-6668999E5D70}" name="Column10510" dataDxfId="5844"/>
    <tableColumn id="10559" xr3:uid="{9D586DE2-A5D8-4777-99E7-B60D3E3D2E1F}" name="Column10511" dataDxfId="5843"/>
    <tableColumn id="10560" xr3:uid="{69D6FE48-D16B-4A66-B37B-997955D436CF}" name="Column10512" dataDxfId="5842"/>
    <tableColumn id="10561" xr3:uid="{6E6DD764-753D-40EC-86F5-88829DBC3A07}" name="Column10513" dataDxfId="5841"/>
    <tableColumn id="10562" xr3:uid="{C006578F-97B2-4D04-BC3F-5A68D717FDF9}" name="Column10514" dataDxfId="5840"/>
    <tableColumn id="10563" xr3:uid="{7FF3AF35-3596-4157-A665-49174C0041E4}" name="Column10515" dataDxfId="5839"/>
    <tableColumn id="10564" xr3:uid="{D01E039A-1A4A-4585-B187-9385F8A5DD61}" name="Column10516" dataDxfId="5838"/>
    <tableColumn id="10565" xr3:uid="{B51B6C7A-E919-40F2-B7E9-EB9AAF4F0F20}" name="Column10517" dataDxfId="5837"/>
    <tableColumn id="10566" xr3:uid="{4FC0998C-0F35-49FC-BE07-CE826B8E3B85}" name="Column10518" dataDxfId="5836"/>
    <tableColumn id="10567" xr3:uid="{987284DD-ADCA-4FF2-9ADD-E3710D56D77D}" name="Column10519" dataDxfId="5835"/>
    <tableColumn id="10568" xr3:uid="{4F958694-9353-4B12-95F4-0B28BD7DDDD2}" name="Column10520" dataDxfId="5834"/>
    <tableColumn id="10569" xr3:uid="{FA023B5D-C59B-473A-B1E3-112A1A261116}" name="Column10521" dataDxfId="5833"/>
    <tableColumn id="10570" xr3:uid="{8617288E-7C3A-419C-9A53-19D92A4472E5}" name="Column10522" dataDxfId="5832"/>
    <tableColumn id="10571" xr3:uid="{CC74E73E-477C-474F-9E2C-2604316CFC8A}" name="Column10523" dataDxfId="5831"/>
    <tableColumn id="10572" xr3:uid="{B2947798-9FB3-46E3-9D46-7C119A8E909C}" name="Column10524" dataDxfId="5830"/>
    <tableColumn id="10573" xr3:uid="{7A826B94-BF84-4427-A37B-08942903385C}" name="Column10525" dataDxfId="5829"/>
    <tableColumn id="10574" xr3:uid="{113DA4FE-5CB9-4048-AF24-3D7E6CFA69E7}" name="Column10526" dataDxfId="5828"/>
    <tableColumn id="10575" xr3:uid="{45B84F67-260A-4190-81BB-ED21F590BD54}" name="Column10527" dataDxfId="5827"/>
    <tableColumn id="10576" xr3:uid="{0B0FB4BE-8972-4427-A8DC-802B3EB69667}" name="Column10528" dataDxfId="5826"/>
    <tableColumn id="10577" xr3:uid="{9243EBD6-9B91-4295-90B9-B46A9265FBA5}" name="Column10529" dataDxfId="5825"/>
    <tableColumn id="10578" xr3:uid="{1565979A-4D8C-4423-A213-328019991349}" name="Column10530" dataDxfId="5824"/>
    <tableColumn id="10579" xr3:uid="{EE5DC525-8142-422C-87A0-7F7C7BCCA192}" name="Column10531" dataDxfId="5823"/>
    <tableColumn id="10580" xr3:uid="{120AF3A1-1CA6-49B5-94D8-07DC81960DBC}" name="Column10532" dataDxfId="5822"/>
    <tableColumn id="10581" xr3:uid="{FABEE4BE-BB7E-41BC-8D0C-35C063A8A608}" name="Column10533" dataDxfId="5821"/>
    <tableColumn id="10582" xr3:uid="{F5D72718-40CF-457D-8E14-C569043106B7}" name="Column10534" dataDxfId="5820"/>
    <tableColumn id="10583" xr3:uid="{79F7352D-848F-4F9F-8089-F438DD5E68B4}" name="Column10535" dataDxfId="5819"/>
    <tableColumn id="10584" xr3:uid="{496A7D6B-00E0-4F68-8B05-AAA01C265949}" name="Column10536" dataDxfId="5818"/>
    <tableColumn id="10585" xr3:uid="{C16084B5-9B59-47B5-8CAA-DCDC15DDD50F}" name="Column10537" dataDxfId="5817"/>
    <tableColumn id="10586" xr3:uid="{116FA137-B7A9-46DA-95BA-1A4E765FB35C}" name="Column10538" dataDxfId="5816"/>
    <tableColumn id="10587" xr3:uid="{33F93C33-D1EE-4E49-8057-A0F83B7903B4}" name="Column10539" dataDxfId="5815"/>
    <tableColumn id="10588" xr3:uid="{2C19E221-C71C-43CA-B893-DCC7D8910621}" name="Column10540" dataDxfId="5814"/>
    <tableColumn id="10589" xr3:uid="{AF4DAACF-0CAC-43E1-9932-A6DBA8B5AB74}" name="Column10541" dataDxfId="5813"/>
    <tableColumn id="10590" xr3:uid="{EAACCCF0-10E8-42FE-8644-1A14C0B5D448}" name="Column10542" dataDxfId="5812"/>
    <tableColumn id="10591" xr3:uid="{6F3EB5B0-1D87-401B-A709-31F11E5293A2}" name="Column10543" dataDxfId="5811"/>
    <tableColumn id="10592" xr3:uid="{53AF4452-42E4-4B95-AFBC-A33BA401E012}" name="Column10544" dataDxfId="5810"/>
    <tableColumn id="10593" xr3:uid="{3D5DC6A9-2C6C-40F5-8018-43ACCC05FAA7}" name="Column10545" dataDxfId="5809"/>
    <tableColumn id="10594" xr3:uid="{BD55B09F-3715-4DF5-B58D-0EE18D88FBA1}" name="Column10546" dataDxfId="5808"/>
    <tableColumn id="10595" xr3:uid="{15F14E69-EB42-47CC-9608-80E2D0603EC8}" name="Column10547" dataDxfId="5807"/>
    <tableColumn id="10596" xr3:uid="{1A9BEDC2-5CE0-49D3-98B7-5C7ADD0127B3}" name="Column10548" dataDxfId="5806"/>
    <tableColumn id="10597" xr3:uid="{B92CAEC5-BEB2-491F-8106-320682337E09}" name="Column10549" dataDxfId="5805"/>
    <tableColumn id="10598" xr3:uid="{1A4C0B00-6FBB-4A5B-B705-E1F4133957CE}" name="Column10550" dataDxfId="5804"/>
    <tableColumn id="10599" xr3:uid="{D7BF0067-A71B-4765-B780-EF2575D27B68}" name="Column10551" dataDxfId="5803"/>
    <tableColumn id="10600" xr3:uid="{5683B89B-F9E4-407F-99CD-8AAADEBB38AE}" name="Column10552" dataDxfId="5802"/>
    <tableColumn id="10601" xr3:uid="{F32E7D52-A0E2-4F93-B99F-147D7682ABDE}" name="Column10553" dataDxfId="5801"/>
    <tableColumn id="10602" xr3:uid="{78845530-05FD-4517-A6C1-839A051409F1}" name="Column10554" dataDxfId="5800"/>
    <tableColumn id="10603" xr3:uid="{F92B6AE7-30F8-4049-B793-6A9D82C46BD5}" name="Column10555" dataDxfId="5799"/>
    <tableColumn id="10604" xr3:uid="{DBC26C8A-F3C6-46DC-B781-5154CF282C46}" name="Column10556" dataDxfId="5798"/>
    <tableColumn id="10605" xr3:uid="{7EE5952D-A706-4845-A2A7-F986243B963D}" name="Column10557" dataDxfId="5797"/>
    <tableColumn id="10606" xr3:uid="{8DE1D498-0130-4BCE-9552-453F72C66606}" name="Column10558" dataDxfId="5796"/>
    <tableColumn id="10607" xr3:uid="{94ACE827-D194-4A0B-9F4C-78222B733A6E}" name="Column10559" dataDxfId="5795"/>
    <tableColumn id="10608" xr3:uid="{133EB8EC-0743-4A2F-AD0F-B996D9B3B9C2}" name="Column10560" dataDxfId="5794"/>
    <tableColumn id="10609" xr3:uid="{F0C8CFC1-AFB7-492E-8E75-2B70DCCF4BA4}" name="Column10561" dataDxfId="5793"/>
    <tableColumn id="10610" xr3:uid="{6CB76ECB-7623-4E94-A67B-1E3E2D407E48}" name="Column10562" dataDxfId="5792"/>
    <tableColumn id="10611" xr3:uid="{CD401C8D-4BD4-4CB2-AF41-4B0D91A90FD6}" name="Column10563" dataDxfId="5791"/>
    <tableColumn id="10612" xr3:uid="{3C76B712-0EAB-4C9F-A66F-247F69EDF939}" name="Column10564" dataDxfId="5790"/>
    <tableColumn id="10613" xr3:uid="{148244DB-B939-493F-834D-50AC07363516}" name="Column10565" dataDxfId="5789"/>
    <tableColumn id="10614" xr3:uid="{8CD491E6-CEF6-4A1A-B336-C287E7A85E67}" name="Column10566" dataDxfId="5788"/>
    <tableColumn id="10615" xr3:uid="{67E5F451-E548-4C4B-A42F-78AF420414DB}" name="Column10567" dataDxfId="5787"/>
    <tableColumn id="10616" xr3:uid="{E2B0896E-08F6-4BE2-8F52-59400DC12AF8}" name="Column10568" dataDxfId="5786"/>
    <tableColumn id="10617" xr3:uid="{D2420BAC-0998-4440-A241-F06D04770873}" name="Column10569" dataDxfId="5785"/>
    <tableColumn id="10618" xr3:uid="{73413A31-16D7-43E7-9870-5CC7B1FD2DF2}" name="Column10570" dataDxfId="5784"/>
    <tableColumn id="10619" xr3:uid="{3AAA9184-AB73-4760-A6D3-4155297318CC}" name="Column10571" dataDxfId="5783"/>
    <tableColumn id="10620" xr3:uid="{E4A380A3-7F07-4A70-98F3-89F458C89828}" name="Column10572" dataDxfId="5782"/>
    <tableColumn id="10621" xr3:uid="{15C4752D-E5E9-4EAC-AFA1-812B2A606341}" name="Column10573" dataDxfId="5781"/>
    <tableColumn id="10622" xr3:uid="{1F2638D2-F5DF-43D8-A208-7D336C06CBE2}" name="Column10574" dataDxfId="5780"/>
    <tableColumn id="10623" xr3:uid="{ECF870BB-913F-40DA-B941-9C09E307A0E9}" name="Column10575" dataDxfId="5779"/>
    <tableColumn id="10624" xr3:uid="{B6E231D9-5562-4AB8-91C7-FB1E8F25487D}" name="Column10576" dataDxfId="5778"/>
    <tableColumn id="10625" xr3:uid="{8BD4D57A-7737-44C5-877A-8E2F181259FD}" name="Column10577" dataDxfId="5777"/>
    <tableColumn id="10626" xr3:uid="{73A2A4F5-7F2D-494C-8E46-019466A94FB5}" name="Column10578" dataDxfId="5776"/>
    <tableColumn id="10627" xr3:uid="{484A8A24-32CA-4E03-8366-67DC4B60714A}" name="Column10579" dataDxfId="5775"/>
    <tableColumn id="10628" xr3:uid="{CF3B424C-650A-4B7B-8E59-6144185147E6}" name="Column10580" dataDxfId="5774"/>
    <tableColumn id="10629" xr3:uid="{B43C51F6-A211-495F-BBA0-9982A6DD3F9C}" name="Column10581" dataDxfId="5773"/>
    <tableColumn id="10630" xr3:uid="{3D08A9F7-3A7E-408D-9D8B-F8AD5EF21C10}" name="Column10582" dataDxfId="5772"/>
    <tableColumn id="10631" xr3:uid="{162507BC-2373-40CE-9BFD-769ADD0D10C4}" name="Column10583" dataDxfId="5771"/>
    <tableColumn id="10632" xr3:uid="{E8B3D0AA-68C8-472B-92CA-71F998E1EF88}" name="Column10584" dataDxfId="5770"/>
    <tableColumn id="10633" xr3:uid="{0BE4D7EE-E231-454E-A99B-B03965282B1F}" name="Column10585" dataDxfId="5769"/>
    <tableColumn id="10634" xr3:uid="{7BFFB520-0640-430D-913B-927C63B71DE2}" name="Column10586" dataDxfId="5768"/>
    <tableColumn id="10635" xr3:uid="{7E8ED08F-9046-4873-9FEF-EC04AB54B384}" name="Column10587" dataDxfId="5767"/>
    <tableColumn id="10636" xr3:uid="{199AD4F3-3088-4118-AC4F-F1C985C9658B}" name="Column10588" dataDxfId="5766"/>
    <tableColumn id="10637" xr3:uid="{B2AC1204-7ECC-45D2-A500-0634B508C314}" name="Column10589" dataDxfId="5765"/>
    <tableColumn id="10638" xr3:uid="{6C17E8C9-32E6-42BE-86C3-15ABB00EAB56}" name="Column10590" dataDxfId="5764"/>
    <tableColumn id="10639" xr3:uid="{20B44F55-6419-4C72-951C-111493DA551A}" name="Column10591" dataDxfId="5763"/>
    <tableColumn id="10640" xr3:uid="{D808AFB7-8F0A-401C-A7E1-D7CA4A4134A5}" name="Column10592" dataDxfId="5762"/>
    <tableColumn id="10641" xr3:uid="{8DE4EBF2-ECE5-420F-9DAF-7EF5EAFA3F07}" name="Column10593" dataDxfId="5761"/>
    <tableColumn id="10642" xr3:uid="{79BB76BE-24C8-416F-B987-EA26A3E284D0}" name="Column10594" dataDxfId="5760"/>
    <tableColumn id="10643" xr3:uid="{0DEB0D67-7C99-4952-82C8-FA845F2B4020}" name="Column10595" dataDxfId="5759"/>
    <tableColumn id="10644" xr3:uid="{FBC3367F-875B-43DE-8FAA-079F18A9DA9D}" name="Column10596" dataDxfId="5758"/>
    <tableColumn id="10645" xr3:uid="{E493D665-CFA2-414F-AD4A-13051284447F}" name="Column10597" dataDxfId="5757"/>
    <tableColumn id="10646" xr3:uid="{BC6333D6-D126-4E44-8E49-966D445F9476}" name="Column10598" dataDxfId="5756"/>
    <tableColumn id="10647" xr3:uid="{1568ABE8-DBF0-42B3-964F-3BB8A4984CB4}" name="Column10599" dataDxfId="5755"/>
    <tableColumn id="10648" xr3:uid="{159E5266-D945-4ECB-8EE4-5B6DB23E66A6}" name="Column10600" dataDxfId="5754"/>
    <tableColumn id="10649" xr3:uid="{E435EF63-2527-4302-930D-3547BF50AC00}" name="Column10601" dataDxfId="5753"/>
    <tableColumn id="10650" xr3:uid="{0254D83E-FF06-4450-BA72-0421076D80DC}" name="Column10602" dataDxfId="5752"/>
    <tableColumn id="10651" xr3:uid="{BA3326AB-CE04-4DB1-9FA4-60EFFFFC956E}" name="Column10603" dataDxfId="5751"/>
    <tableColumn id="10652" xr3:uid="{1F4788E9-05E8-4D1B-98B7-D45EFC93AB11}" name="Column10604" dataDxfId="5750"/>
    <tableColumn id="10653" xr3:uid="{E1E7332C-A11E-44EF-9169-E4FEF9EAE82B}" name="Column10605" dataDxfId="5749"/>
    <tableColumn id="10654" xr3:uid="{CFA044A2-B3A9-424C-ACEB-6A3E3C3D4E58}" name="Column10606" dataDxfId="5748"/>
    <tableColumn id="10655" xr3:uid="{155C929B-8B16-4EE9-8F4B-15EAC1A4ACBC}" name="Column10607" dataDxfId="5747"/>
    <tableColumn id="10656" xr3:uid="{CAB9D1F5-3B53-4703-BCBC-17DD34912464}" name="Column10608" dataDxfId="5746"/>
    <tableColumn id="10657" xr3:uid="{14C06CD4-4BA0-40D0-A312-B3FEE870E486}" name="Column10609" dataDxfId="5745"/>
    <tableColumn id="10658" xr3:uid="{68B5FFF9-BCF4-42D9-8217-FFA3A8EBEDE1}" name="Column10610" dataDxfId="5744"/>
    <tableColumn id="10659" xr3:uid="{BE449761-8FEC-4B8F-9F4B-A28882762C05}" name="Column10611" dataDxfId="5743"/>
    <tableColumn id="10660" xr3:uid="{A8F2DFDD-7825-4EEA-B6B2-BDB89FF9F9A0}" name="Column10612" dataDxfId="5742"/>
    <tableColumn id="10661" xr3:uid="{08E3F6EB-5DC5-4DD5-AA03-117FAE2C7685}" name="Column10613" dataDxfId="5741"/>
    <tableColumn id="10662" xr3:uid="{A50998EC-C55F-47A6-9590-8270E6476E55}" name="Column10614" dataDxfId="5740"/>
    <tableColumn id="10663" xr3:uid="{7B76D238-F123-4CCB-B46E-C3F027F81AD9}" name="Column10615" dataDxfId="5739"/>
    <tableColumn id="10664" xr3:uid="{C90EEF06-DA1E-4C76-BA39-0C215BBE6ECE}" name="Column10616" dataDxfId="5738"/>
    <tableColumn id="10665" xr3:uid="{E8FC3C47-5E29-46BE-B85D-C4144C9E3702}" name="Column10617" dataDxfId="5737"/>
    <tableColumn id="10666" xr3:uid="{A3A27E3C-C202-4F4C-817B-3DF43F04F505}" name="Column10618" dataDxfId="5736"/>
    <tableColumn id="10667" xr3:uid="{F45F4305-C050-4F5B-B98B-2569A054E44A}" name="Column10619" dataDxfId="5735"/>
    <tableColumn id="10668" xr3:uid="{818EB7C5-E4B7-4787-8D4A-043C9D30C099}" name="Column10620" dataDxfId="5734"/>
    <tableColumn id="10669" xr3:uid="{BE2ABDB8-022D-481D-A4A7-4B976A424CF7}" name="Column10621" dataDxfId="5733"/>
    <tableColumn id="10670" xr3:uid="{02683AF0-9AFD-4F7E-94F4-DABF78A7A0EF}" name="Column10622" dataDxfId="5732"/>
    <tableColumn id="10671" xr3:uid="{C700E13A-9DA0-4681-B237-C19B550B7C1F}" name="Column10623" dataDxfId="5731"/>
    <tableColumn id="10672" xr3:uid="{0E5623F2-768E-4016-A263-B5E84EFC764E}" name="Column10624" dataDxfId="5730"/>
    <tableColumn id="10673" xr3:uid="{BE37990F-E843-4F09-B76A-EC255A08B260}" name="Column10625" dataDxfId="5729"/>
    <tableColumn id="10674" xr3:uid="{59FAE81C-2163-423D-B48D-13713061E764}" name="Column10626" dataDxfId="5728"/>
    <tableColumn id="10675" xr3:uid="{AE8AAB11-BE30-475A-9487-2EB638F096F9}" name="Column10627" dataDxfId="5727"/>
    <tableColumn id="10676" xr3:uid="{DDF72439-CE33-4411-94DA-E9A2D0F956D6}" name="Column10628" dataDxfId="5726"/>
    <tableColumn id="10677" xr3:uid="{642ED69F-52A6-4F77-A92F-7DDF476DCEEE}" name="Column10629" dataDxfId="5725"/>
    <tableColumn id="10678" xr3:uid="{608CE0F1-22C6-4D1F-BBAA-38F63BCFB3CA}" name="Column10630" dataDxfId="5724"/>
    <tableColumn id="10679" xr3:uid="{EC250B81-F47A-46C4-A310-41D91ED5CC04}" name="Column10631" dataDxfId="5723"/>
    <tableColumn id="10680" xr3:uid="{C172D1AD-DABD-46F9-B068-3AE4A17AC1B2}" name="Column10632" dataDxfId="5722"/>
    <tableColumn id="10681" xr3:uid="{C58E911A-AB09-4CE6-88FC-2C07691BCA16}" name="Column10633" dataDxfId="5721"/>
    <tableColumn id="10682" xr3:uid="{BC533C80-F0D3-4A71-A345-6510238196A1}" name="Column10634" dataDxfId="5720"/>
    <tableColumn id="10683" xr3:uid="{46CD1B6D-9BFC-47B3-871A-0B9EAEE8BA41}" name="Column10635" dataDxfId="5719"/>
    <tableColumn id="10684" xr3:uid="{8418878B-E345-4A8D-9FD0-7DE84FEC5CF2}" name="Column10636" dataDxfId="5718"/>
    <tableColumn id="10685" xr3:uid="{26317A7B-D157-4CF1-9641-96FDE615C3F3}" name="Column10637" dataDxfId="5717"/>
    <tableColumn id="10686" xr3:uid="{9452D91D-6CAA-4403-BC87-6832E3C9798B}" name="Column10638" dataDxfId="5716"/>
    <tableColumn id="10687" xr3:uid="{D8B33A94-98E9-4DFE-B970-DB65FB1F2D34}" name="Column10639" dataDxfId="5715"/>
    <tableColumn id="10688" xr3:uid="{33E10A1E-B9DA-4A01-B81D-918030B95966}" name="Column10640" dataDxfId="5714"/>
    <tableColumn id="10689" xr3:uid="{81422688-B24B-4878-B693-165E270E9782}" name="Column10641" dataDxfId="5713"/>
    <tableColumn id="10690" xr3:uid="{FB080BC9-7354-4916-89B4-F58B033C71C8}" name="Column10642" dataDxfId="5712"/>
    <tableColumn id="10691" xr3:uid="{0408324E-240C-439B-8E84-B427195449E4}" name="Column10643" dataDxfId="5711"/>
    <tableColumn id="10692" xr3:uid="{3842B587-74E7-42EB-836C-7CAC2280E66F}" name="Column10644" dataDxfId="5710"/>
    <tableColumn id="10693" xr3:uid="{D989BB94-519E-4A02-9C92-738B057D6C29}" name="Column10645" dataDxfId="5709"/>
    <tableColumn id="10694" xr3:uid="{7485F6BB-351B-43F9-A86C-327BC2A8B249}" name="Column10646" dataDxfId="5708"/>
    <tableColumn id="10695" xr3:uid="{1D899C92-3EA3-4C11-8C3B-BBB1F07F1F5E}" name="Column10647" dataDxfId="5707"/>
    <tableColumn id="10696" xr3:uid="{02F90B6E-0E08-4645-BE83-1C3594F254EE}" name="Column10648" dataDxfId="5706"/>
    <tableColumn id="10697" xr3:uid="{FB51610D-284B-4A69-9066-496918F9713B}" name="Column10649" dataDxfId="5705"/>
    <tableColumn id="10698" xr3:uid="{35DBAA9C-7161-4120-A233-EB8E8F29D1CC}" name="Column10650" dataDxfId="5704"/>
    <tableColumn id="10699" xr3:uid="{26A997B6-3354-4DD2-A7D4-7339A2D48527}" name="Column10651" dataDxfId="5703"/>
    <tableColumn id="10700" xr3:uid="{8AF4A533-7A22-44B9-BCF9-E6537562911E}" name="Column10652" dataDxfId="5702"/>
    <tableColumn id="10701" xr3:uid="{87EC5158-58FD-45D1-8059-E23BF086FD43}" name="Column10653" dataDxfId="5701"/>
    <tableColumn id="10702" xr3:uid="{CB228EEE-782C-4CA0-BAB7-4DC560A59362}" name="Column10654" dataDxfId="5700"/>
    <tableColumn id="10703" xr3:uid="{082EB2A9-39B5-49E3-9BCF-78DCBB0026A3}" name="Column10655" dataDxfId="5699"/>
    <tableColumn id="10704" xr3:uid="{1CCD6E16-6453-452B-889E-93B76DDD6CFD}" name="Column10656" dataDxfId="5698"/>
    <tableColumn id="10705" xr3:uid="{00C720E2-3FBA-4F3D-BE64-B916C2CA9576}" name="Column10657" dataDxfId="5697"/>
    <tableColumn id="10706" xr3:uid="{75B32D36-FBB7-4D44-B786-C2D8AAF03A67}" name="Column10658" dataDxfId="5696"/>
    <tableColumn id="10707" xr3:uid="{4B4F91C6-9669-43BB-B93D-A7B91F8509EB}" name="Column10659" dataDxfId="5695"/>
    <tableColumn id="10708" xr3:uid="{D562F6E4-6CB2-4A5C-A397-CC430D606848}" name="Column10660" dataDxfId="5694"/>
    <tableColumn id="10709" xr3:uid="{F27BC8CC-7B5E-4291-97EE-CD5FFA9312B3}" name="Column10661" dataDxfId="5693"/>
    <tableColumn id="10710" xr3:uid="{726F2E6B-8182-49F0-8FEE-CCEA5A7BF6A9}" name="Column10662" dataDxfId="5692"/>
    <tableColumn id="10711" xr3:uid="{C58ED8C6-C237-4AB5-A3A9-5BEA3957D9E3}" name="Column10663" dataDxfId="5691"/>
    <tableColumn id="10712" xr3:uid="{FA43D5F1-F438-4D9B-AED6-95DB0DBDA9CD}" name="Column10664" dataDxfId="5690"/>
    <tableColumn id="10713" xr3:uid="{2CF767BE-EF95-41BF-8A5C-2A11B4285794}" name="Column10665" dataDxfId="5689"/>
    <tableColumn id="10714" xr3:uid="{51BA33CB-4829-4204-986C-DA8CCAB04A0E}" name="Column10666" dataDxfId="5688"/>
    <tableColumn id="10715" xr3:uid="{821DEC0F-BE02-4F0F-AD82-6908F7B2A784}" name="Column10667" dataDxfId="5687"/>
    <tableColumn id="10716" xr3:uid="{9C3EE967-DE45-4F84-8050-893F30A791EF}" name="Column10668" dataDxfId="5686"/>
    <tableColumn id="10717" xr3:uid="{912878F3-F1AE-4063-A9A9-A36E549FB1CA}" name="Column10669" dataDxfId="5685"/>
    <tableColumn id="10718" xr3:uid="{959329EC-754F-4138-9ABA-F3BCC4564452}" name="Column10670" dataDxfId="5684"/>
    <tableColumn id="10719" xr3:uid="{04E1B4D7-B4F4-4127-91A0-5A64B626EC8D}" name="Column10671" dataDxfId="5683"/>
    <tableColumn id="10720" xr3:uid="{3851CC07-36D4-412B-964F-E3B153A33605}" name="Column10672" dataDxfId="5682"/>
    <tableColumn id="10721" xr3:uid="{C7CBA7F7-2CE2-4F0D-A967-81BB99E7E993}" name="Column10673" dataDxfId="5681"/>
    <tableColumn id="10722" xr3:uid="{1BE8DF8D-0BF3-41E3-8448-D3C3B29A519B}" name="Column10674" dataDxfId="5680"/>
    <tableColumn id="10723" xr3:uid="{869044ED-72FA-4891-984D-CD354A80C70D}" name="Column10675" dataDxfId="5679"/>
    <tableColumn id="10724" xr3:uid="{192DEAF5-281D-47F5-AC3E-2680006EF695}" name="Column10676" dataDxfId="5678"/>
    <tableColumn id="10725" xr3:uid="{EAB63AED-29D8-4E46-AC21-6A1BC6F8CB07}" name="Column10677" dataDxfId="5677"/>
    <tableColumn id="10726" xr3:uid="{22AAA5A2-5E16-405F-9DFF-B11FCCCDA28D}" name="Column10678" dataDxfId="5676"/>
    <tableColumn id="10727" xr3:uid="{188B6F9E-8A9E-4894-9A63-872906269054}" name="Column10679" dataDxfId="5675"/>
    <tableColumn id="10728" xr3:uid="{B470CA44-BF26-4AD3-AA1B-8801637ED4CB}" name="Column10680" dataDxfId="5674"/>
    <tableColumn id="10729" xr3:uid="{F1312122-A238-40FB-ABA0-07A33374756D}" name="Column10681" dataDxfId="5673"/>
    <tableColumn id="10730" xr3:uid="{7B9D2EF1-B115-4432-AC03-5266518C8196}" name="Column10682" dataDxfId="5672"/>
    <tableColumn id="10731" xr3:uid="{76EC82E9-B02E-42BE-BEC8-B83E2CBA832C}" name="Column10683" dataDxfId="5671"/>
    <tableColumn id="10732" xr3:uid="{195B3017-E7C3-41C6-A861-D2FB84DE0B44}" name="Column10684" dataDxfId="5670"/>
    <tableColumn id="10733" xr3:uid="{C472D4ED-83AF-480F-B8BB-D90A75C2C1CB}" name="Column10685" dataDxfId="5669"/>
    <tableColumn id="10734" xr3:uid="{E498D610-D21D-4C71-A055-89B9D48D3537}" name="Column10686" dataDxfId="5668"/>
    <tableColumn id="10735" xr3:uid="{31B8B1EA-E847-497D-9151-EBD049DB7FBA}" name="Column10687" dataDxfId="5667"/>
    <tableColumn id="10736" xr3:uid="{E8EE7D05-DE7E-4DE0-A071-D1DF9B9DC570}" name="Column10688" dataDxfId="5666"/>
    <tableColumn id="10737" xr3:uid="{51E4F2CB-0312-4C14-AB4F-751699F873BB}" name="Column10689" dataDxfId="5665"/>
    <tableColumn id="10738" xr3:uid="{FFBA9799-C219-47A2-AE57-2BFAE2466747}" name="Column10690" dataDxfId="5664"/>
    <tableColumn id="10739" xr3:uid="{F1284891-C10A-43B0-A859-B98C206A3472}" name="Column10691" dataDxfId="5663"/>
    <tableColumn id="10740" xr3:uid="{5D60A23A-32D2-4B52-B2B1-174EE9AAAA5C}" name="Column10692" dataDxfId="5662"/>
    <tableColumn id="10741" xr3:uid="{F2069F2C-C5CD-4895-92F7-3844D6C65666}" name="Column10693" dataDxfId="5661"/>
    <tableColumn id="10742" xr3:uid="{E9EEF1B4-991A-41BB-BA80-BE1FCFBCC133}" name="Column10694" dataDxfId="5660"/>
    <tableColumn id="10743" xr3:uid="{DB36C537-88DF-48C2-B92F-A27561488823}" name="Column10695" dataDxfId="5659"/>
    <tableColumn id="10744" xr3:uid="{47B36332-0995-4277-8427-E4823B242688}" name="Column10696" dataDxfId="5658"/>
    <tableColumn id="10745" xr3:uid="{29381814-EEB9-4087-A289-1625F168DABD}" name="Column10697" dataDxfId="5657"/>
    <tableColumn id="10746" xr3:uid="{D45B2BAD-EAA1-4D10-868D-3812230FE8A1}" name="Column10698" dataDxfId="5656"/>
    <tableColumn id="10747" xr3:uid="{BBF7B907-DFE1-4529-9D03-1C74365FDCE6}" name="Column10699" dataDxfId="5655"/>
    <tableColumn id="10748" xr3:uid="{F2C36396-8924-4BBB-BD09-B1B317E1A569}" name="Column10700" dataDxfId="5654"/>
    <tableColumn id="10749" xr3:uid="{395EFB8D-3642-4962-BDC7-0F39E688DA66}" name="Column10701" dataDxfId="5653"/>
    <tableColumn id="10750" xr3:uid="{5EB29A08-4F1E-4164-B170-500E77085F52}" name="Column10702" dataDxfId="5652"/>
    <tableColumn id="10751" xr3:uid="{DB17B531-352C-405B-ABEC-70BDD9A1CBA6}" name="Column10703" dataDxfId="5651"/>
    <tableColumn id="10752" xr3:uid="{E5CC0960-F00C-4758-AA47-9F7D266A48A3}" name="Column10704" dataDxfId="5650"/>
    <tableColumn id="10753" xr3:uid="{7F2426A1-BA95-4B41-8634-3FA55BFB4235}" name="Column10705" dataDxfId="5649"/>
    <tableColumn id="10754" xr3:uid="{C5A0350F-405B-45C4-B5A7-091B11D7CC0F}" name="Column10706" dataDxfId="5648"/>
    <tableColumn id="10755" xr3:uid="{985D97AB-A1B1-4EFA-8494-096D6E248A48}" name="Column10707" dataDxfId="5647"/>
    <tableColumn id="10756" xr3:uid="{C420E4E4-C594-4F07-B507-53DA2DBB3119}" name="Column10708" dataDxfId="5646"/>
    <tableColumn id="10757" xr3:uid="{19F220B8-53F7-4F72-A4C0-9531E76B4938}" name="Column10709" dataDxfId="5645"/>
    <tableColumn id="10758" xr3:uid="{3C357999-CB56-41A9-9142-80B8126A2AEC}" name="Column10710" dataDxfId="5644"/>
    <tableColumn id="10759" xr3:uid="{7A89CECD-27EC-411F-8216-816A2E64BEFC}" name="Column10711" dataDxfId="5643"/>
    <tableColumn id="10760" xr3:uid="{63A420E6-C2D6-46D0-830A-F525C4841300}" name="Column10712" dataDxfId="5642"/>
    <tableColumn id="10761" xr3:uid="{C2C46F1A-6FD5-46DD-A2B9-F5815C9907CE}" name="Column10713" dataDxfId="5641"/>
    <tableColumn id="10762" xr3:uid="{BD22B179-3290-4A46-96E6-A2F158145987}" name="Column10714" dataDxfId="5640"/>
    <tableColumn id="10763" xr3:uid="{4DE736DE-5EAC-430E-B9C5-2A6C922CE9F7}" name="Column10715" dataDxfId="5639"/>
    <tableColumn id="10764" xr3:uid="{16A352E9-CD7F-4B07-A0D1-D4B782365CA4}" name="Column10716" dataDxfId="5638"/>
    <tableColumn id="10765" xr3:uid="{D8941FC0-5B72-41F1-946D-B83C9D510893}" name="Column10717" dataDxfId="5637"/>
    <tableColumn id="10766" xr3:uid="{0214721C-8EAE-4CD1-95FC-3970D9CBD6B9}" name="Column10718" dataDxfId="5636"/>
    <tableColumn id="10767" xr3:uid="{0175F2FB-F6F7-459A-A91A-FEBA108012AC}" name="Column10719" dataDxfId="5635"/>
    <tableColumn id="10768" xr3:uid="{FEB38722-B3BE-4F37-AEB5-5D29088A9E7B}" name="Column10720" dataDxfId="5634"/>
    <tableColumn id="10769" xr3:uid="{3425A13F-1AF4-47DC-92BD-3755C9A8CE3C}" name="Column10721" dataDxfId="5633"/>
    <tableColumn id="10770" xr3:uid="{4C2E0136-C49A-4299-9DFE-F5088241661B}" name="Column10722" dataDxfId="5632"/>
    <tableColumn id="10771" xr3:uid="{F6CA2DA4-E835-4B7A-982F-A090770CC5B4}" name="Column10723" dataDxfId="5631"/>
    <tableColumn id="10772" xr3:uid="{599DE0B3-7745-4401-87DA-3F245BF356F0}" name="Column10724" dataDxfId="5630"/>
    <tableColumn id="10773" xr3:uid="{5D099899-4855-41CF-8DFC-9ECF254A7787}" name="Column10725" dataDxfId="5629"/>
    <tableColumn id="10774" xr3:uid="{318626C5-3019-4B45-B11B-CD2D397BF185}" name="Column10726" dataDxfId="5628"/>
    <tableColumn id="10775" xr3:uid="{921FB22E-3896-4E78-A627-3595C82FFF90}" name="Column10727" dataDxfId="5627"/>
    <tableColumn id="10776" xr3:uid="{B98348F7-93AD-4D50-B1C6-13E32B8FF4F3}" name="Column10728" dataDxfId="5626"/>
    <tableColumn id="10777" xr3:uid="{C70B7D7A-8B82-4ECC-AAD9-2A6B0E3CA3B4}" name="Column10729" dataDxfId="5625"/>
    <tableColumn id="10778" xr3:uid="{6F9215D4-934A-4426-890C-53EF98D208BF}" name="Column10730" dataDxfId="5624"/>
    <tableColumn id="10779" xr3:uid="{BC3A761F-048A-4BEC-935E-F121959CEF5B}" name="Column10731" dataDxfId="5623"/>
    <tableColumn id="10780" xr3:uid="{0A6E959C-6892-4799-9DAA-FF6A32FEBCE6}" name="Column10732" dataDxfId="5622"/>
    <tableColumn id="10781" xr3:uid="{7B0E71BD-2BFC-4E43-A3AA-E79DFFEBF1AB}" name="Column10733" dataDxfId="5621"/>
    <tableColumn id="10782" xr3:uid="{174E2DFE-AE46-486B-932B-DBC891DD5C39}" name="Column10734" dataDxfId="5620"/>
    <tableColumn id="10783" xr3:uid="{857F8CF8-BB99-4EBE-BC4A-B4B4FB86AAB4}" name="Column10735" dataDxfId="5619"/>
    <tableColumn id="10784" xr3:uid="{BD8DAA77-0AB6-4428-92C9-EDB8E4C7EEAC}" name="Column10736" dataDxfId="5618"/>
    <tableColumn id="10785" xr3:uid="{5F7F6A15-C4C8-42D3-AAB3-ABAE77C3D581}" name="Column10737" dataDxfId="5617"/>
    <tableColumn id="10786" xr3:uid="{9300D138-4E62-439D-8301-3D6F34521B2D}" name="Column10738" dataDxfId="5616"/>
    <tableColumn id="10787" xr3:uid="{14302473-9371-4A1C-96AF-0521B3F76469}" name="Column10739" dataDxfId="5615"/>
    <tableColumn id="10788" xr3:uid="{AE34CF18-3EE4-4F5F-BEAB-48D4808CDF9C}" name="Column10740" dataDxfId="5614"/>
    <tableColumn id="10789" xr3:uid="{2F68AE14-122F-4C4E-8E39-85468FBF4778}" name="Column10741" dataDxfId="5613"/>
    <tableColumn id="10790" xr3:uid="{15A7059F-5742-490D-BDCD-EB78955063F7}" name="Column10742" dataDxfId="5612"/>
    <tableColumn id="10791" xr3:uid="{5027E883-F049-443B-BD55-94B8F901B07C}" name="Column10743" dataDxfId="5611"/>
    <tableColumn id="10792" xr3:uid="{A10311C0-1281-4B9E-8FDD-430158EAB7CC}" name="Column10744" dataDxfId="5610"/>
    <tableColumn id="10793" xr3:uid="{5560ACAB-82A3-4C35-A42A-76E59B929B1F}" name="Column10745" dataDxfId="5609"/>
    <tableColumn id="10794" xr3:uid="{9CF4A275-23DE-429F-B7F9-211FC78F2878}" name="Column10746" dataDxfId="5608"/>
    <tableColumn id="10795" xr3:uid="{77A1957A-CEBE-43FD-866B-F462CF76C211}" name="Column10747" dataDxfId="5607"/>
    <tableColumn id="10796" xr3:uid="{B5CF48A3-1B4B-4400-9A39-2248CCEDCF9C}" name="Column10748" dataDxfId="5606"/>
    <tableColumn id="10797" xr3:uid="{E02D1420-7CCD-4E53-A42D-303A65C23EA6}" name="Column10749" dataDxfId="5605"/>
    <tableColumn id="10798" xr3:uid="{94EA65BB-80DE-4C59-B4E3-73BD86BE591E}" name="Column10750" dataDxfId="5604"/>
    <tableColumn id="10799" xr3:uid="{7DBCE7A1-6682-4E7B-855B-4E70E5C7DB45}" name="Column10751" dataDxfId="5603"/>
    <tableColumn id="10800" xr3:uid="{012F0711-19F0-46AF-BB7B-AB6849CE31CD}" name="Column10752" dataDxfId="5602"/>
    <tableColumn id="10801" xr3:uid="{D711D4CF-A65A-42CE-8748-408059698C36}" name="Column10753" dataDxfId="5601"/>
    <tableColumn id="10802" xr3:uid="{075DC0B3-ECC3-4271-9BFF-6CB7CEA3D3DB}" name="Column10754" dataDxfId="5600"/>
    <tableColumn id="10803" xr3:uid="{07761237-27D6-4862-BE4D-806AD5EBC793}" name="Column10755" dataDxfId="5599"/>
    <tableColumn id="10804" xr3:uid="{76D55D72-4BEE-4302-AAE3-DDC9E7C2A99A}" name="Column10756" dataDxfId="5598"/>
    <tableColumn id="10805" xr3:uid="{D041BAE4-5713-4C65-A556-02C187409481}" name="Column10757" dataDxfId="5597"/>
    <tableColumn id="10806" xr3:uid="{7B76E9A9-4265-47E3-85CF-8AAA31A85240}" name="Column10758" dataDxfId="5596"/>
    <tableColumn id="10807" xr3:uid="{CBFFB41E-DD96-42AC-B883-FC9F1DF4B955}" name="Column10759" dataDxfId="5595"/>
    <tableColumn id="10808" xr3:uid="{47F19581-9CE0-4E1E-B2F8-2B406AEA9327}" name="Column10760" dataDxfId="5594"/>
    <tableColumn id="10809" xr3:uid="{C44C3C7A-0301-4936-8C5D-3890462A83BC}" name="Column10761" dataDxfId="5593"/>
    <tableColumn id="10810" xr3:uid="{03EEBC7F-5C0A-4305-8CB9-681EE0B7673C}" name="Column10762" dataDxfId="5592"/>
    <tableColumn id="10811" xr3:uid="{E3DBF2F8-9A3C-475A-9B34-B628290A18D1}" name="Column10763" dataDxfId="5591"/>
    <tableColumn id="10812" xr3:uid="{C9B07937-D2A1-4DBA-A5AF-04721A207429}" name="Column10764" dataDxfId="5590"/>
    <tableColumn id="10813" xr3:uid="{773D324D-B9BA-409B-92C5-74CB72E1E7B7}" name="Column10765" dataDxfId="5589"/>
    <tableColumn id="10814" xr3:uid="{CF754309-5F6D-4478-8088-6E3284938101}" name="Column10766" dataDxfId="5588"/>
    <tableColumn id="10815" xr3:uid="{C3633FDA-C33A-45E8-9651-972BE7CD6F8C}" name="Column10767" dataDxfId="5587"/>
    <tableColumn id="10816" xr3:uid="{9CE0FC5B-71CE-4064-9FEE-70FE47949FC3}" name="Column10768" dataDxfId="5586"/>
    <tableColumn id="10817" xr3:uid="{2FF77D78-1A40-49F4-8B2E-10BF78AF5D41}" name="Column10769" dataDxfId="5585"/>
    <tableColumn id="10818" xr3:uid="{27399480-57E4-4E28-A9B9-E489FD9E728E}" name="Column10770" dataDxfId="5584"/>
    <tableColumn id="10819" xr3:uid="{6F3F93E4-5EF9-4A0C-96EE-DED5CA395F87}" name="Column10771" dataDxfId="5583"/>
    <tableColumn id="10820" xr3:uid="{A0A4503E-242E-45DE-9B36-FAC45F2A9594}" name="Column10772" dataDxfId="5582"/>
    <tableColumn id="10821" xr3:uid="{C6B22921-3B10-4C0F-93D4-84E3A8BF789C}" name="Column10773" dataDxfId="5581"/>
    <tableColumn id="10822" xr3:uid="{F4292F6C-7539-401F-B03C-2A2327361AD5}" name="Column10774" dataDxfId="5580"/>
    <tableColumn id="10823" xr3:uid="{4F2DCEEE-530B-4947-839B-281FAC5E99B7}" name="Column10775" dataDxfId="5579"/>
    <tableColumn id="10824" xr3:uid="{D018BA0C-2D42-4EEB-9ACA-A21CBB01B2CD}" name="Column10776" dataDxfId="5578"/>
    <tableColumn id="10825" xr3:uid="{0D4BDF87-CE1D-4D55-B72D-674BA81740BA}" name="Column10777" dataDxfId="5577"/>
    <tableColumn id="10826" xr3:uid="{1C7BCC88-8788-457E-8EA3-8ECA087A0F53}" name="Column10778" dataDxfId="5576"/>
    <tableColumn id="10827" xr3:uid="{BDA85AC1-E801-4E11-8648-55EE3D92AC08}" name="Column10779" dataDxfId="5575"/>
    <tableColumn id="10828" xr3:uid="{D93E3E40-04B6-4D22-BAC4-C6446FCD9A12}" name="Column10780" dataDxfId="5574"/>
    <tableColumn id="10829" xr3:uid="{5DC2F731-BE5C-40E5-8FBC-7438A8AC2AF0}" name="Column10781" dataDxfId="5573"/>
    <tableColumn id="10830" xr3:uid="{1400426B-284D-4BE0-81C0-2E7ACC20301B}" name="Column10782" dataDxfId="5572"/>
    <tableColumn id="10831" xr3:uid="{3D911234-9B67-47FF-A05A-117C7948D300}" name="Column10783" dataDxfId="5571"/>
    <tableColumn id="10832" xr3:uid="{180B7344-9A17-4EF2-BBB2-E0A177893B4C}" name="Column10784" dataDxfId="5570"/>
    <tableColumn id="10833" xr3:uid="{9326C590-860B-44E0-9408-A47787B398B0}" name="Column10785" dataDxfId="5569"/>
    <tableColumn id="10834" xr3:uid="{ABA592C4-35A0-49A7-A86B-8D5AA08FFCA3}" name="Column10786" dataDxfId="5568"/>
    <tableColumn id="10835" xr3:uid="{19C0BB0F-3284-42C2-9721-38531D531DD7}" name="Column10787" dataDxfId="5567"/>
    <tableColumn id="10836" xr3:uid="{9B9D3FD0-EE8F-45FE-A530-B0CDC47D488E}" name="Column10788" dataDxfId="5566"/>
    <tableColumn id="10837" xr3:uid="{C9492D86-987F-4B71-A560-06D2256D40EA}" name="Column10789" dataDxfId="5565"/>
    <tableColumn id="10838" xr3:uid="{3A839E87-2568-4554-B25C-1AC6B6048BEF}" name="Column10790" dataDxfId="5564"/>
    <tableColumn id="10839" xr3:uid="{90161E96-5ABD-4765-B736-AA737ED470E7}" name="Column10791" dataDxfId="5563"/>
    <tableColumn id="10840" xr3:uid="{E9C7366B-C57E-45C8-B7C2-9F9F4958C6C1}" name="Column10792" dataDxfId="5562"/>
    <tableColumn id="10841" xr3:uid="{F385F510-84AE-4F15-B085-F78EF024B4E0}" name="Column10793" dataDxfId="5561"/>
    <tableColumn id="10842" xr3:uid="{D21EDC97-B5FD-4ACC-89A3-96BFDB5C8652}" name="Column10794" dataDxfId="5560"/>
    <tableColumn id="10843" xr3:uid="{D5E80D57-059C-4DED-8C57-E44E5374E421}" name="Column10795" dataDxfId="5559"/>
    <tableColumn id="10844" xr3:uid="{DB269BB2-9EB3-4F90-831D-2EAE403A889C}" name="Column10796" dataDxfId="5558"/>
    <tableColumn id="10845" xr3:uid="{66E06493-F062-4A6B-9DB4-CE6AE68EBE02}" name="Column10797" dataDxfId="5557"/>
    <tableColumn id="10846" xr3:uid="{20145E2C-1CAE-4BCD-A797-6C8634A0E913}" name="Column10798" dataDxfId="5556"/>
    <tableColumn id="10847" xr3:uid="{0F86B871-F2A8-4DDE-9254-094C6DC0E938}" name="Column10799" dataDxfId="5555"/>
    <tableColumn id="10848" xr3:uid="{DB564D65-7B89-414D-84A6-82D5DA793C15}" name="Column10800" dataDxfId="5554"/>
    <tableColumn id="10849" xr3:uid="{79012D98-A7D8-415A-98E3-4C921FC018CB}" name="Column10801" dataDxfId="5553"/>
    <tableColumn id="10850" xr3:uid="{16232AE4-3EBC-4D03-A33A-3F6996A4B692}" name="Column10802" dataDxfId="5552"/>
    <tableColumn id="10851" xr3:uid="{BBAD093A-0C41-49C0-A79F-CAD3C6D3BEA8}" name="Column10803" dataDxfId="5551"/>
    <tableColumn id="10852" xr3:uid="{B434EEA7-C443-478D-ACF9-B1DE4A1A07DB}" name="Column10804" dataDxfId="5550"/>
    <tableColumn id="10853" xr3:uid="{BC205904-5510-488D-8288-DDCF363735B8}" name="Column10805" dataDxfId="5549"/>
    <tableColumn id="10854" xr3:uid="{F6DB3B2C-9B84-4E3A-967B-89D83C11C1F9}" name="Column10806" dataDxfId="5548"/>
    <tableColumn id="10855" xr3:uid="{A7854BAA-6AEB-414C-B8C8-92A5C49FF4D7}" name="Column10807" dataDxfId="5547"/>
    <tableColumn id="10856" xr3:uid="{8F31040F-C1D0-4816-936E-D4FC45D23270}" name="Column10808" dataDxfId="5546"/>
    <tableColumn id="10857" xr3:uid="{9668E4CC-E14F-4358-ACD6-CFCB0F365D60}" name="Column10809" dataDxfId="5545"/>
    <tableColumn id="10858" xr3:uid="{FCFF8BC4-80ED-42DE-BC7F-F406CD859D0C}" name="Column10810" dataDxfId="5544"/>
    <tableColumn id="10859" xr3:uid="{108910C4-0C10-41CE-80EB-773E15F4C22B}" name="Column10811" dataDxfId="5543"/>
    <tableColumn id="10860" xr3:uid="{F0B1C5C4-2340-40CD-8A86-252F9BE19B5C}" name="Column10812" dataDxfId="5542"/>
    <tableColumn id="10861" xr3:uid="{0BBEF130-C3FB-4812-8699-7509710FE02B}" name="Column10813" dataDxfId="5541"/>
    <tableColumn id="10862" xr3:uid="{D16F4083-7B96-44E4-AF4C-3A5DBDA0BAE6}" name="Column10814" dataDxfId="5540"/>
    <tableColumn id="10863" xr3:uid="{062A1FC0-DCBE-4EB7-97C7-E24A2A3A4A77}" name="Column10815" dataDxfId="5539"/>
    <tableColumn id="10864" xr3:uid="{6E994D4E-DB6C-4AB8-9A7C-01A92F5FD258}" name="Column10816" dataDxfId="5538"/>
    <tableColumn id="10865" xr3:uid="{BD6E0470-B7F2-4930-BBF5-14B77CC34927}" name="Column10817" dataDxfId="5537"/>
    <tableColumn id="10866" xr3:uid="{5631B4E3-3467-4B73-81F4-C90F2ED2441E}" name="Column10818" dataDxfId="5536"/>
    <tableColumn id="10867" xr3:uid="{F024705F-30BE-4D5C-8263-D4E87D777AB1}" name="Column10819" dataDxfId="5535"/>
    <tableColumn id="10868" xr3:uid="{0582812F-C15F-4264-8CEC-F9FB21A4364B}" name="Column10820" dataDxfId="5534"/>
    <tableColumn id="10869" xr3:uid="{209C21A1-7AA7-4D67-9A45-36F56D88C750}" name="Column10821" dataDxfId="5533"/>
    <tableColumn id="10870" xr3:uid="{CDE0CA92-101F-4BDC-8FDB-4A557CB4955C}" name="Column10822" dataDxfId="5532"/>
    <tableColumn id="10871" xr3:uid="{07C5C18B-4101-44C1-856D-FF7818310BB1}" name="Column10823" dataDxfId="5531"/>
    <tableColumn id="10872" xr3:uid="{7BABA8D7-5A67-4B1D-A5A6-CC9D6C983425}" name="Column10824" dataDxfId="5530"/>
    <tableColumn id="10873" xr3:uid="{35F875E8-524F-404A-BB09-6843940B6663}" name="Column10825" dataDxfId="5529"/>
    <tableColumn id="10874" xr3:uid="{93F5A5C9-9257-41DA-88DC-0D619BAB44B3}" name="Column10826" dataDxfId="5528"/>
    <tableColumn id="10875" xr3:uid="{DACDAF1D-B23C-49F3-9E5A-4B66099B965E}" name="Column10827" dataDxfId="5527"/>
    <tableColumn id="10876" xr3:uid="{B1850842-7B85-4D83-89F1-D8054FA509E2}" name="Column10828" dataDxfId="5526"/>
    <tableColumn id="10877" xr3:uid="{B5F70EE7-8CAD-41BA-B491-0A384B5013C8}" name="Column10829" dataDxfId="5525"/>
    <tableColumn id="10878" xr3:uid="{CA944DC4-7FF3-402D-A83A-DE9C6D317116}" name="Column10830" dataDxfId="5524"/>
    <tableColumn id="10879" xr3:uid="{92C6EC94-1B70-4FC8-88D8-2F3B5ECF816E}" name="Column10831" dataDxfId="5523"/>
    <tableColumn id="10880" xr3:uid="{C14D2C2B-0C95-4492-A783-22F21113B84E}" name="Column10832" dataDxfId="5522"/>
    <tableColumn id="10881" xr3:uid="{03071BDE-360A-436F-A65B-7D4A4AB51FA2}" name="Column10833" dataDxfId="5521"/>
    <tableColumn id="10882" xr3:uid="{9422E86E-6447-4A48-B110-0AC5C2AA8589}" name="Column10834" dataDxfId="5520"/>
    <tableColumn id="10883" xr3:uid="{682CC377-6920-44F8-AF4E-8AE2875E5DC2}" name="Column10835" dataDxfId="5519"/>
    <tableColumn id="10884" xr3:uid="{4C33A0F8-345A-4909-89D2-DBDD5ECD48D3}" name="Column10836" dataDxfId="5518"/>
    <tableColumn id="10885" xr3:uid="{CC47AE50-A94D-4FFB-AB21-707167543EBA}" name="Column10837" dataDxfId="5517"/>
    <tableColumn id="10886" xr3:uid="{45467A08-059B-4B20-A164-BAEA017A3D82}" name="Column10838" dataDxfId="5516"/>
    <tableColumn id="10887" xr3:uid="{2318E437-40AB-4D10-8927-89C6189B5EDE}" name="Column10839" dataDxfId="5515"/>
    <tableColumn id="10888" xr3:uid="{5D11C37B-BA20-469A-9997-C1C9CDCC2959}" name="Column10840" dataDxfId="5514"/>
    <tableColumn id="10889" xr3:uid="{7CF91A1C-E949-49FF-A733-FC6C70AD5911}" name="Column10841" dataDxfId="5513"/>
    <tableColumn id="10890" xr3:uid="{E5474839-3EBD-4879-AEAE-49173A9F8658}" name="Column10842" dataDxfId="5512"/>
    <tableColumn id="10891" xr3:uid="{39F1FA49-07F2-4E28-B66B-B8171FFB442F}" name="Column10843" dataDxfId="5511"/>
    <tableColumn id="10892" xr3:uid="{96907CD9-56A2-4E67-A785-84F945E7D042}" name="Column10844" dataDxfId="5510"/>
    <tableColumn id="10893" xr3:uid="{3FAA27DA-738F-4334-8C13-4A7CCD2573D9}" name="Column10845" dataDxfId="5509"/>
    <tableColumn id="10894" xr3:uid="{73E6A97B-6FD3-4060-AE64-728BDFEB6733}" name="Column10846" dataDxfId="5508"/>
    <tableColumn id="10895" xr3:uid="{69B0588E-D045-4462-BB5E-F47B4AEB814C}" name="Column10847" dataDxfId="5507"/>
    <tableColumn id="10896" xr3:uid="{9669C4E4-A254-4086-A06B-6CBAA039117E}" name="Column10848" dataDxfId="5506"/>
    <tableColumn id="10897" xr3:uid="{91F9067D-F5E4-4202-B7E4-45E9AEB9E5BF}" name="Column10849" dataDxfId="5505"/>
    <tableColumn id="10898" xr3:uid="{EF5918F1-19B6-470C-9C87-62582AFA3125}" name="Column10850" dataDxfId="5504"/>
    <tableColumn id="10899" xr3:uid="{DE03CEF3-48C1-474E-B96A-251B666659F3}" name="Column10851" dataDxfId="5503"/>
    <tableColumn id="10900" xr3:uid="{A7D382E3-F500-4E22-B8CF-FD9D43E10B7F}" name="Column10852" dataDxfId="5502"/>
    <tableColumn id="10901" xr3:uid="{A4871057-2B0D-4E08-9839-2AFDEB20FA1F}" name="Column10853" dataDxfId="5501"/>
    <tableColumn id="10902" xr3:uid="{1C9CFBD6-A2D3-4353-97DA-42F4111FCDAF}" name="Column10854" dataDxfId="5500"/>
    <tableColumn id="10903" xr3:uid="{100D4BBA-E99F-4065-9BAC-64865BF0D01B}" name="Column10855" dataDxfId="5499"/>
    <tableColumn id="10904" xr3:uid="{D2A116FD-B1FE-4211-8F30-CCB3AE184F43}" name="Column10856" dataDxfId="5498"/>
    <tableColumn id="10905" xr3:uid="{A87C384B-76E2-4696-9716-7B2D1E95AB91}" name="Column10857" dataDxfId="5497"/>
    <tableColumn id="10906" xr3:uid="{88F1D165-F3B5-4AB0-AFFD-C7E1AE660B15}" name="Column10858" dataDxfId="5496"/>
    <tableColumn id="10907" xr3:uid="{4C632E6F-4992-443A-9C48-35AC33F3038D}" name="Column10859" dataDxfId="5495"/>
    <tableColumn id="10908" xr3:uid="{1A721867-23D3-45BD-82E3-561F141F869C}" name="Column10860" dataDxfId="5494"/>
    <tableColumn id="10909" xr3:uid="{18D8666A-4EAF-4712-9B4D-DFCE1EE7334A}" name="Column10861" dataDxfId="5493"/>
    <tableColumn id="10910" xr3:uid="{1D64F13B-45D4-4EBD-8FBA-1FB1F5139511}" name="Column10862" dataDxfId="5492"/>
    <tableColumn id="10911" xr3:uid="{13BBDED9-14EE-4142-8F95-277AB9DD8D19}" name="Column10863" dataDxfId="5491"/>
    <tableColumn id="10912" xr3:uid="{0EB3B124-CD4E-4669-8E97-5A080517D73B}" name="Column10864" dataDxfId="5490"/>
    <tableColumn id="10913" xr3:uid="{0E8F5B54-C546-4DAA-9969-CCB70C112C63}" name="Column10865" dataDxfId="5489"/>
    <tableColumn id="10914" xr3:uid="{2D4E1296-D29C-4BBE-82CD-A643B0CA4484}" name="Column10866" dataDxfId="5488"/>
    <tableColumn id="10915" xr3:uid="{390D9F56-8017-4D2D-BEF4-09010F083583}" name="Column10867" dataDxfId="5487"/>
    <tableColumn id="10916" xr3:uid="{63E9B75D-8C9A-4920-BAE4-7343AB30CBC6}" name="Column10868" dataDxfId="5486"/>
    <tableColumn id="10917" xr3:uid="{FCBD8F55-6255-452C-975A-9739DEDD0E4B}" name="Column10869" dataDxfId="5485"/>
    <tableColumn id="10918" xr3:uid="{62A127B8-5506-4433-96C7-4A35172D6EB6}" name="Column10870" dataDxfId="5484"/>
    <tableColumn id="10919" xr3:uid="{F241EB44-EBAF-4A5C-902F-246F3C3E2A79}" name="Column10871" dataDxfId="5483"/>
    <tableColumn id="10920" xr3:uid="{B5B7F316-4118-4224-BCAA-C38A04AB6286}" name="Column10872" dataDxfId="5482"/>
    <tableColumn id="10921" xr3:uid="{C24923E9-0C2A-444C-BD99-3A241BCCCE56}" name="Column10873" dataDxfId="5481"/>
    <tableColumn id="10922" xr3:uid="{7D033D70-5E57-49E7-86B3-2BEB93B608EF}" name="Column10874" dataDxfId="5480"/>
    <tableColumn id="10923" xr3:uid="{4C449223-C9CA-484B-9840-1B12401CA603}" name="Column10875" dataDxfId="5479"/>
    <tableColumn id="10924" xr3:uid="{B8994BEB-2818-4C51-B091-6B0E2617DC7E}" name="Column10876" dataDxfId="5478"/>
    <tableColumn id="10925" xr3:uid="{1D3C9730-5352-4D10-8958-59451AE1EAD0}" name="Column10877" dataDxfId="5477"/>
    <tableColumn id="10926" xr3:uid="{DC64E211-E762-462B-B9E7-8F83ED252893}" name="Column10878" dataDxfId="5476"/>
    <tableColumn id="10927" xr3:uid="{3CAF7DA4-80B5-4C94-B949-C7C9BAA15674}" name="Column10879" dataDxfId="5475"/>
    <tableColumn id="10928" xr3:uid="{C605407D-2D70-4FBA-A8CF-C5EC596ECE39}" name="Column10880" dataDxfId="5474"/>
    <tableColumn id="10929" xr3:uid="{A5B9AAE1-2DDA-44E2-A9C0-95448047DA03}" name="Column10881" dataDxfId="5473"/>
    <tableColumn id="10930" xr3:uid="{82475A9B-808B-44DC-8ECC-6436564072F7}" name="Column10882" dataDxfId="5472"/>
    <tableColumn id="10931" xr3:uid="{395C2650-81F0-496F-817E-10EB5D9F00D9}" name="Column10883" dataDxfId="5471"/>
    <tableColumn id="10932" xr3:uid="{CFFE47C3-8EFB-43B1-9DF8-4FE6439F52EA}" name="Column10884" dataDxfId="5470"/>
    <tableColumn id="10933" xr3:uid="{720EDD65-D619-4966-9F78-114F102B84C3}" name="Column10885" dataDxfId="5469"/>
    <tableColumn id="10934" xr3:uid="{2B161267-5CCF-45FE-A557-C760CC7FCD7E}" name="Column10886" dataDxfId="5468"/>
    <tableColumn id="10935" xr3:uid="{35077712-FA26-4514-8A7D-5B6244F3801E}" name="Column10887" dataDxfId="5467"/>
    <tableColumn id="10936" xr3:uid="{A24844E3-09CF-4676-945C-9BA388E11C04}" name="Column10888" dataDxfId="5466"/>
    <tableColumn id="10937" xr3:uid="{A3A58A55-268E-438F-B155-E088E625FDAF}" name="Column10889" dataDxfId="5465"/>
    <tableColumn id="10938" xr3:uid="{9FEBAB4B-B400-41D9-BE18-9B9C7A2C1C93}" name="Column10890" dataDxfId="5464"/>
    <tableColumn id="10939" xr3:uid="{5161B52A-815A-4F0D-8BCD-F111A0BA71E8}" name="Column10891" dataDxfId="5463"/>
    <tableColumn id="10940" xr3:uid="{0A04AC3E-13B1-4D62-9C9A-D0F894880BE5}" name="Column10892" dataDxfId="5462"/>
    <tableColumn id="10941" xr3:uid="{15C26CAB-E59B-40E0-9698-34A5697C87C4}" name="Column10893" dataDxfId="5461"/>
    <tableColumn id="10942" xr3:uid="{DC240436-0EEE-4DAF-A251-5DB927B95ABC}" name="Column10894" dataDxfId="5460"/>
    <tableColumn id="10943" xr3:uid="{16311EC9-A03D-4DCD-B37E-206FCC2D473F}" name="Column10895" dataDxfId="5459"/>
    <tableColumn id="10944" xr3:uid="{E17A83FF-142D-4B57-ADD7-B96E33B2F0D1}" name="Column10896" dataDxfId="5458"/>
    <tableColumn id="10945" xr3:uid="{4363D763-AA70-4FA4-92B8-41A9CE25DD52}" name="Column10897" dataDxfId="5457"/>
    <tableColumn id="10946" xr3:uid="{94BA3F00-A91B-494F-B61B-A3DC810C0007}" name="Column10898" dataDxfId="5456"/>
    <tableColumn id="10947" xr3:uid="{AC3694F3-B9A7-439F-A60C-B265BD6675DF}" name="Column10899" dataDxfId="5455"/>
    <tableColumn id="10948" xr3:uid="{384F444B-17A2-458A-84BE-6215F66FE333}" name="Column10900" dataDxfId="5454"/>
    <tableColumn id="10949" xr3:uid="{186EC874-821D-4399-9392-C4A834675924}" name="Column10901" dataDxfId="5453"/>
    <tableColumn id="10950" xr3:uid="{31D70A63-BF2D-4055-9154-1846FB3C16A6}" name="Column10902" dataDxfId="5452"/>
    <tableColumn id="10951" xr3:uid="{803B12B6-CE99-408C-B30E-326FE49DE764}" name="Column10903" dataDxfId="5451"/>
    <tableColumn id="10952" xr3:uid="{42616333-7A55-463C-9977-378A62419EE0}" name="Column10904" dataDxfId="5450"/>
    <tableColumn id="10953" xr3:uid="{71B0326E-6D5B-4C22-B6FA-A7052FDF07EB}" name="Column10905" dataDxfId="5449"/>
    <tableColumn id="10954" xr3:uid="{1A756975-F855-41C4-82CB-7E066D719B48}" name="Column10906" dataDxfId="5448"/>
    <tableColumn id="10955" xr3:uid="{6E504CDF-BC04-41A4-881B-54E251DF2E3F}" name="Column10907" dataDxfId="5447"/>
    <tableColumn id="10956" xr3:uid="{82FDFB5A-0E57-4E68-8498-08E735A11168}" name="Column10908" dataDxfId="5446"/>
    <tableColumn id="10957" xr3:uid="{4CCC684E-2160-44EC-BE02-7BA256E4AA4B}" name="Column10909" dataDxfId="5445"/>
    <tableColumn id="10958" xr3:uid="{F95751B1-73A5-4518-B140-A8CA40AAF2E0}" name="Column10910" dataDxfId="5444"/>
    <tableColumn id="10959" xr3:uid="{4883F0D7-48E5-4438-A90F-04860D06C079}" name="Column10911" dataDxfId="5443"/>
    <tableColumn id="10960" xr3:uid="{3E221E08-2040-49A7-95D7-FF10E29DB8C2}" name="Column10912" dataDxfId="5442"/>
    <tableColumn id="10961" xr3:uid="{35529ECE-2BCA-4E36-8C54-F2696B879C4C}" name="Column10913" dataDxfId="5441"/>
    <tableColumn id="10962" xr3:uid="{79045905-9441-4FFB-8EE6-2C9CE28D1B9B}" name="Column10914" dataDxfId="5440"/>
    <tableColumn id="10963" xr3:uid="{48B38BBE-E279-449C-8C91-D43A0AA7B14A}" name="Column10915" dataDxfId="5439"/>
    <tableColumn id="10964" xr3:uid="{1D40010B-C57A-403C-8C29-8CF9CB3400A3}" name="Column10916" dataDxfId="5438"/>
    <tableColumn id="10965" xr3:uid="{F0C8A0E5-1167-4E7A-B036-00CBC599A955}" name="Column10917" dataDxfId="5437"/>
    <tableColumn id="10966" xr3:uid="{1A5BE252-543A-46C0-BA2E-D530D0A82DEC}" name="Column10918" dataDxfId="5436"/>
    <tableColumn id="10967" xr3:uid="{014AD389-3D77-453E-A85F-D16F1148527F}" name="Column10919" dataDxfId="5435"/>
    <tableColumn id="10968" xr3:uid="{7CBD566F-6D32-4316-B563-F4F8BB3DF091}" name="Column10920" dataDxfId="5434"/>
    <tableColumn id="10969" xr3:uid="{D8B85D5C-FEFE-4745-A676-0B6F0BBCC6EA}" name="Column10921" dataDxfId="5433"/>
    <tableColumn id="10970" xr3:uid="{3476C3B8-8145-44E4-BEE4-75F5425B99CE}" name="Column10922" dataDxfId="5432"/>
    <tableColumn id="10971" xr3:uid="{0345A164-D0DE-4132-A9F7-24BCF91A235A}" name="Column10923" dataDxfId="5431"/>
    <tableColumn id="10972" xr3:uid="{57B460FF-4CB4-4452-BD2F-91E7E83EB0FC}" name="Column10924" dataDxfId="5430"/>
    <tableColumn id="10973" xr3:uid="{CB6688EB-11B0-41F1-A023-3A8B0E8850A8}" name="Column10925" dataDxfId="5429"/>
    <tableColumn id="10974" xr3:uid="{686C8B7E-6DCD-4B02-8FBD-CBCC6CE7D92F}" name="Column10926" dataDxfId="5428"/>
    <tableColumn id="10975" xr3:uid="{7879089F-66F8-44F3-9BC1-B64878191340}" name="Column10927" dataDxfId="5427"/>
    <tableColumn id="10976" xr3:uid="{346D1223-C83A-423B-A88E-6ED89F946334}" name="Column10928" dataDxfId="5426"/>
    <tableColumn id="10977" xr3:uid="{282C1803-8000-46C5-BA68-E803F685C4AA}" name="Column10929" dataDxfId="5425"/>
    <tableColumn id="10978" xr3:uid="{4B69D5F6-899E-4030-8AD4-403275343FAC}" name="Column10930" dataDxfId="5424"/>
    <tableColumn id="10979" xr3:uid="{E96CA93F-3EA0-45DC-9D71-E208EDB4201A}" name="Column10931" dataDxfId="5423"/>
    <tableColumn id="10980" xr3:uid="{774FD6DD-7CC5-4FE7-8E3A-084D2DA9A4D4}" name="Column10932" dataDxfId="5422"/>
    <tableColumn id="10981" xr3:uid="{8462E256-5C86-47EE-A093-AD1E692FBACF}" name="Column10933" dataDxfId="5421"/>
    <tableColumn id="10982" xr3:uid="{0796C3F3-D3BC-4438-B48A-F2853D8C3942}" name="Column10934" dataDxfId="5420"/>
    <tableColumn id="10983" xr3:uid="{1FAA7512-1450-41E4-B89A-02F37D80D645}" name="Column10935" dataDxfId="5419"/>
    <tableColumn id="10984" xr3:uid="{79732794-A42F-4435-B69C-92CE89A2612D}" name="Column10936" dataDxfId="5418"/>
    <tableColumn id="10985" xr3:uid="{78FE3FFA-8BF2-43B4-A7EC-972C9F44A5C1}" name="Column10937" dataDxfId="5417"/>
    <tableColumn id="10986" xr3:uid="{09303F33-0EFD-4860-AA85-F91025A72C36}" name="Column10938" dataDxfId="5416"/>
    <tableColumn id="10987" xr3:uid="{48AD999F-3EDC-4190-B10A-5D3CC1473BE4}" name="Column10939" dataDxfId="5415"/>
    <tableColumn id="10988" xr3:uid="{EA3654AD-FCD3-430F-BB91-4B573CA9E2F5}" name="Column10940" dataDxfId="5414"/>
    <tableColumn id="10989" xr3:uid="{DA642F26-A451-402F-8C37-C362A5F3F3FE}" name="Column10941" dataDxfId="5413"/>
    <tableColumn id="10990" xr3:uid="{8AEE3B41-2BBA-4AC0-96FE-C7289E3A1088}" name="Column10942" dataDxfId="5412"/>
    <tableColumn id="10991" xr3:uid="{13314C9F-1952-4815-82BB-3CE8CF665CB7}" name="Column10943" dataDxfId="5411"/>
    <tableColumn id="10992" xr3:uid="{F9A3831E-B117-4A21-9CD3-4C4FB0C6307A}" name="Column10944" dataDxfId="5410"/>
    <tableColumn id="10993" xr3:uid="{9E111D0F-32AC-42A6-ABCB-D1B15FE37599}" name="Column10945" dataDxfId="5409"/>
    <tableColumn id="10994" xr3:uid="{A94AB0D2-3F82-4488-8C1F-36EA1A5EECCA}" name="Column10946" dataDxfId="5408"/>
    <tableColumn id="10995" xr3:uid="{1B85A9CF-E0E0-431E-A96D-9566681344E6}" name="Column10947" dataDxfId="5407"/>
    <tableColumn id="10996" xr3:uid="{EAA276D7-D163-45D7-A30B-754920089D7A}" name="Column10948" dataDxfId="5406"/>
    <tableColumn id="10997" xr3:uid="{0A8B3121-A9DA-4F1A-A029-BD093844F996}" name="Column10949" dataDxfId="5405"/>
    <tableColumn id="10998" xr3:uid="{5E5E5B85-2350-4B0B-80D6-494B54347485}" name="Column10950" dataDxfId="5404"/>
    <tableColumn id="10999" xr3:uid="{AA669B5F-0F2A-4F23-B111-EE418B77E362}" name="Column10951" dataDxfId="5403"/>
    <tableColumn id="11000" xr3:uid="{08AEB434-CFC6-4096-A1F7-864F5F1D2F70}" name="Column10952" dataDxfId="5402"/>
    <tableColumn id="11001" xr3:uid="{BF7A4429-0088-4633-871F-531BAA16B617}" name="Column10953" dataDxfId="5401"/>
    <tableColumn id="11002" xr3:uid="{91AEB46C-5CBD-4AFB-8BC7-DFD300B77492}" name="Column10954" dataDxfId="5400"/>
    <tableColumn id="11003" xr3:uid="{72C34365-3A3A-44E2-B9D2-8978AB17A10D}" name="Column10955" dataDxfId="5399"/>
    <tableColumn id="11004" xr3:uid="{EF0F94DE-7B48-4E31-81AF-02229DDFE428}" name="Column10956" dataDxfId="5398"/>
    <tableColumn id="11005" xr3:uid="{2CAC8674-C7C1-4FDF-87EE-C5D07D7251FD}" name="Column10957" dataDxfId="5397"/>
    <tableColumn id="11006" xr3:uid="{61400BD0-211D-4982-89A9-1A8800719266}" name="Column10958" dataDxfId="5396"/>
    <tableColumn id="11007" xr3:uid="{60C79D3B-483A-460F-AF91-FE0E61821BBF}" name="Column10959" dataDxfId="5395"/>
    <tableColumn id="11008" xr3:uid="{3EB15BC4-76F9-48A4-9119-57FE6F783766}" name="Column10960" dataDxfId="5394"/>
    <tableColumn id="11009" xr3:uid="{42C0F07E-0772-4DBF-AD6A-EDFB9C1D155D}" name="Column10961" dataDxfId="5393"/>
    <tableColumn id="11010" xr3:uid="{09F2D6DC-C188-455D-90B4-B868F4EF550D}" name="Column10962" dataDxfId="5392"/>
    <tableColumn id="11011" xr3:uid="{2A6A8DDE-DDA5-4E7B-9E73-D99CE4BF7B9C}" name="Column10963" dataDxfId="5391"/>
    <tableColumn id="11012" xr3:uid="{A92BEA06-F5CA-4AFA-A84B-28A5463C2406}" name="Column10964" dataDxfId="5390"/>
    <tableColumn id="11013" xr3:uid="{1CF3CCF9-08A5-4256-8628-7B04D88294F9}" name="Column10965" dataDxfId="5389"/>
    <tableColumn id="11014" xr3:uid="{85F563FC-4287-4773-8DAF-E8C000B69C44}" name="Column10966" dataDxfId="5388"/>
    <tableColumn id="11015" xr3:uid="{025E8ABA-E8CD-484E-9468-2228E5DBEA7F}" name="Column10967" dataDxfId="5387"/>
    <tableColumn id="11016" xr3:uid="{8141A2C1-2B02-499E-B3A8-D9E313558359}" name="Column10968" dataDxfId="5386"/>
    <tableColumn id="11017" xr3:uid="{3E73ED2C-C1CF-41DF-A30A-28D268313BD3}" name="Column10969" dataDxfId="5385"/>
    <tableColumn id="11018" xr3:uid="{0F9D39FF-3C96-439C-86A6-CF09C64AA624}" name="Column10970" dataDxfId="5384"/>
    <tableColumn id="11019" xr3:uid="{261437BF-6AA2-4F96-BA5E-8808C65EAF9C}" name="Column10971" dataDxfId="5383"/>
    <tableColumn id="11020" xr3:uid="{51CA52E0-1EB4-4415-BFE3-1A0B93C33041}" name="Column10972" dataDxfId="5382"/>
    <tableColumn id="11021" xr3:uid="{9DD3E84C-4F94-4176-8E10-1020010E84C7}" name="Column10973" dataDxfId="5381"/>
    <tableColumn id="11022" xr3:uid="{92B6DE0E-5B62-4B37-8B6E-B9137B0A66AD}" name="Column10974" dataDxfId="5380"/>
    <tableColumn id="11023" xr3:uid="{8B7C0829-B858-40DB-833A-3CB33543AF16}" name="Column10975" dataDxfId="5379"/>
    <tableColumn id="11024" xr3:uid="{2CA360EC-25C2-4906-97A4-DE8B3BD4B3DB}" name="Column10976" dataDxfId="5378"/>
    <tableColumn id="11025" xr3:uid="{2C61743B-5BA7-418B-9799-02280D188A98}" name="Column10977" dataDxfId="5377"/>
    <tableColumn id="11026" xr3:uid="{FC34F6E7-CBF1-4462-B15D-617E0C62D04F}" name="Column10978" dataDxfId="5376"/>
    <tableColumn id="11027" xr3:uid="{925773DE-4655-48A6-A65A-8AF77EB9BE23}" name="Column10979" dataDxfId="5375"/>
    <tableColumn id="11028" xr3:uid="{07015DAA-3800-4549-A592-00C2C59BD664}" name="Column10980" dataDxfId="5374"/>
    <tableColumn id="11029" xr3:uid="{2142B036-C0B3-4669-8AAC-72654E0CFC1D}" name="Column10981" dataDxfId="5373"/>
    <tableColumn id="11030" xr3:uid="{A8C22C0D-B139-4B65-A75B-B359069E8909}" name="Column10982" dataDxfId="5372"/>
    <tableColumn id="11031" xr3:uid="{D2C69857-BA85-4BD6-A1DD-487010A07E06}" name="Column10983" dataDxfId="5371"/>
    <tableColumn id="11032" xr3:uid="{2A64DD1D-65C6-4B43-8B31-E9CAB52E2D6D}" name="Column10984" dataDxfId="5370"/>
    <tableColumn id="11033" xr3:uid="{03BD3492-E2FA-4B04-8681-0845F3F4057B}" name="Column10985" dataDxfId="5369"/>
    <tableColumn id="11034" xr3:uid="{D8E37080-FDA3-4E92-8415-78A0C95030FC}" name="Column10986" dataDxfId="5368"/>
    <tableColumn id="11035" xr3:uid="{4B16ABD3-0044-4AA1-9AED-7B6D1751D289}" name="Column10987" dataDxfId="5367"/>
    <tableColumn id="11036" xr3:uid="{D9D5D7BA-8BB2-4D71-8A32-12677BF4D1D9}" name="Column10988" dataDxfId="5366"/>
    <tableColumn id="11037" xr3:uid="{D70743F6-DB24-45B9-88AB-2F490198CFDB}" name="Column10989" dataDxfId="5365"/>
    <tableColumn id="11038" xr3:uid="{F34502E4-DCA5-4347-AD85-F69A736975AC}" name="Column10990" dataDxfId="5364"/>
    <tableColumn id="11039" xr3:uid="{0F25C700-4CB4-4D83-9712-8C6604A43E3F}" name="Column10991" dataDxfId="5363"/>
    <tableColumn id="11040" xr3:uid="{D8C7CA6D-BBE1-4BBC-B7A9-61A42615F217}" name="Column10992" dataDxfId="5362"/>
    <tableColumn id="11041" xr3:uid="{122D1231-153A-4171-8384-A31F916DE823}" name="Column10993" dataDxfId="5361"/>
    <tableColumn id="11042" xr3:uid="{F324F972-3409-476E-A725-91CE0690ED9D}" name="Column10994" dataDxfId="5360"/>
    <tableColumn id="11043" xr3:uid="{1F3A5BA6-2328-4C97-8FBE-5D9E9C6C1EEF}" name="Column10995" dataDxfId="5359"/>
    <tableColumn id="11044" xr3:uid="{0C9651D0-8C60-4735-9FEB-1948A30AE10A}" name="Column10996" dataDxfId="5358"/>
    <tableColumn id="11045" xr3:uid="{F7CC70BA-5662-45EB-A3D4-0FA7DE88678E}" name="Column10997" dataDxfId="5357"/>
    <tableColumn id="11046" xr3:uid="{78958263-272E-4CFE-95D8-C7CF796C2AE1}" name="Column10998" dataDxfId="5356"/>
    <tableColumn id="11047" xr3:uid="{5A2976D9-C13C-44E6-899B-332613EEC195}" name="Column10999" dataDxfId="5355"/>
    <tableColumn id="11048" xr3:uid="{B04AF741-BCB0-49FB-967D-F1BB4DB38E51}" name="Column11000" dataDxfId="5354"/>
    <tableColumn id="11049" xr3:uid="{3D532572-BC02-483C-BE93-798E5CD5B8F3}" name="Column11001" dataDxfId="5353"/>
    <tableColumn id="11050" xr3:uid="{27B71791-4348-40B9-A245-8E7DF17AF87F}" name="Column11002" dataDxfId="5352"/>
    <tableColumn id="11051" xr3:uid="{399AAF4B-2559-44E1-8624-93C90B3E6858}" name="Column11003" dataDxfId="5351"/>
    <tableColumn id="11052" xr3:uid="{4E22D9FA-0736-4284-A93B-495A7D0ED645}" name="Column11004" dataDxfId="5350"/>
    <tableColumn id="11053" xr3:uid="{F5A2DE8A-020C-4DEC-9CE8-4F7C5B7A7FF4}" name="Column11005" dataDxfId="5349"/>
    <tableColumn id="11054" xr3:uid="{CA34B712-4580-4BD7-AFF6-C19F397CDF56}" name="Column11006" dataDxfId="5348"/>
    <tableColumn id="11055" xr3:uid="{D0376E4E-FD16-457F-BBB8-D21FB20EBDCE}" name="Column11007" dataDxfId="5347"/>
    <tableColumn id="11056" xr3:uid="{ED71A08B-9DEE-4F66-B5F2-EDE7ED380C31}" name="Column11008" dataDxfId="5346"/>
    <tableColumn id="11057" xr3:uid="{0C58F097-F4DC-43D2-9F42-8884104784EB}" name="Column11009" dataDxfId="5345"/>
    <tableColumn id="11058" xr3:uid="{E261B7DB-973B-4F3C-A4DE-9F097F84F6AF}" name="Column11010" dataDxfId="5344"/>
    <tableColumn id="11059" xr3:uid="{91C395E2-30B8-4F23-8176-27504DF97142}" name="Column11011" dataDxfId="5343"/>
    <tableColumn id="11060" xr3:uid="{100F4F9F-B1D8-44C3-B849-55438C7D7701}" name="Column11012" dataDxfId="5342"/>
    <tableColumn id="11061" xr3:uid="{28E9441B-B9AE-4B8F-8248-CC44750003CC}" name="Column11013" dataDxfId="5341"/>
    <tableColumn id="11062" xr3:uid="{DE9C27B9-677E-4EFE-9933-84B701F43279}" name="Column11014" dataDxfId="5340"/>
    <tableColumn id="11063" xr3:uid="{5CF92004-C74E-4BAD-BBA3-734E4175F0F6}" name="Column11015" dataDxfId="5339"/>
    <tableColumn id="11064" xr3:uid="{8E66E8C6-6767-441F-A4FF-E76977AC1F93}" name="Column11016" dataDxfId="5338"/>
    <tableColumn id="11065" xr3:uid="{D4F4CA1A-CBDA-4FDA-A0C1-52C67795378C}" name="Column11017" dataDxfId="5337"/>
    <tableColumn id="11066" xr3:uid="{C1C4BCAB-76F0-4A1E-A6C3-5EC00532A74E}" name="Column11018" dataDxfId="5336"/>
    <tableColumn id="11067" xr3:uid="{FBB5BEA7-637E-4C5B-A3A6-E7FDDFADF0BC}" name="Column11019" dataDxfId="5335"/>
    <tableColumn id="11068" xr3:uid="{5A30DDB4-4C8E-43B6-801D-AD78C57C4E36}" name="Column11020" dataDxfId="5334"/>
    <tableColumn id="11069" xr3:uid="{FB61541B-2C43-4653-A696-77CC279DE579}" name="Column11021" dataDxfId="5333"/>
    <tableColumn id="11070" xr3:uid="{B61BC06C-B712-4876-86CF-199B8EFEE885}" name="Column11022" dataDxfId="5332"/>
    <tableColumn id="11071" xr3:uid="{61F99F57-C5C6-4BD0-9AFD-F2FEB67CA3E4}" name="Column11023" dataDxfId="5331"/>
    <tableColumn id="11072" xr3:uid="{3F0B1C3C-02E0-4300-9D16-E530320296B9}" name="Column11024" dataDxfId="5330"/>
    <tableColumn id="11073" xr3:uid="{57F48104-1E8A-497B-839C-7D54C400BCF1}" name="Column11025" dataDxfId="5329"/>
    <tableColumn id="11074" xr3:uid="{588FCCDA-454E-4047-8431-347E4F97D38F}" name="Column11026" dataDxfId="5328"/>
    <tableColumn id="11075" xr3:uid="{C991E79B-CF81-4BB2-B434-94E2634A6F95}" name="Column11027" dataDxfId="5327"/>
    <tableColumn id="11076" xr3:uid="{ED43EB5F-DF5C-4693-A43B-A823FF4FFF55}" name="Column11028" dataDxfId="5326"/>
    <tableColumn id="11077" xr3:uid="{EAF02F6A-52E9-4C83-A1DB-FE785180A413}" name="Column11029" dataDxfId="5325"/>
    <tableColumn id="11078" xr3:uid="{449B407F-47F2-494D-B983-605C506677B8}" name="Column11030" dataDxfId="5324"/>
    <tableColumn id="11079" xr3:uid="{B5E8FED3-2E21-458D-AA15-441DAB8171F9}" name="Column11031" dataDxfId="5323"/>
    <tableColumn id="11080" xr3:uid="{F9CA9D12-525C-4BB4-9138-77ED63DF26DD}" name="Column11032" dataDxfId="5322"/>
    <tableColumn id="11081" xr3:uid="{EE9C55D3-B67D-413A-B86E-3DEDE2C677A1}" name="Column11033" dataDxfId="5321"/>
    <tableColumn id="11082" xr3:uid="{7EAC9CBC-1ADF-444B-8569-7ABFF94EF37A}" name="Column11034" dataDxfId="5320"/>
    <tableColumn id="11083" xr3:uid="{21DC2887-2D34-4052-BDEF-D876AE67A8CD}" name="Column11035" dataDxfId="5319"/>
    <tableColumn id="11084" xr3:uid="{2B7F2A4B-E3E6-464B-BCCC-1ADB5499006B}" name="Column11036" dataDxfId="5318"/>
    <tableColumn id="11085" xr3:uid="{96A43E70-FAA0-4FC8-91A1-25215B6B90CE}" name="Column11037" dataDxfId="5317"/>
    <tableColumn id="11086" xr3:uid="{E2B55549-B118-485C-85D4-949ACC5913D1}" name="Column11038" dataDxfId="5316"/>
    <tableColumn id="11087" xr3:uid="{FE8D91CA-2804-444D-8DC9-9901597411C3}" name="Column11039" dataDxfId="5315"/>
    <tableColumn id="11088" xr3:uid="{1A2C9F7B-3918-4EBD-A45C-0CF4370B9976}" name="Column11040" dataDxfId="5314"/>
    <tableColumn id="11089" xr3:uid="{4754FE71-71EA-4085-8F7A-B7C3704310D2}" name="Column11041" dataDxfId="5313"/>
    <tableColumn id="11090" xr3:uid="{46841D55-CFF8-4722-A423-B915C5BC2724}" name="Column11042" dataDxfId="5312"/>
    <tableColumn id="11091" xr3:uid="{7861375E-914A-44BF-8549-99D90F02BB05}" name="Column11043" dataDxfId="5311"/>
    <tableColumn id="11092" xr3:uid="{638AC59B-DE50-456A-940A-B29271E2BD41}" name="Column11044" dataDxfId="5310"/>
    <tableColumn id="11093" xr3:uid="{18D02ADD-2A3F-477A-90AE-607EFD291F40}" name="Column11045" dataDxfId="5309"/>
    <tableColumn id="11094" xr3:uid="{03650E39-09F0-456D-98E8-F85829BE2336}" name="Column11046" dataDxfId="5308"/>
    <tableColumn id="11095" xr3:uid="{E4A70237-33AC-47CF-88A9-DDB508447D1A}" name="Column11047" dataDxfId="5307"/>
    <tableColumn id="11096" xr3:uid="{8671D789-CA25-47F1-ABFF-2496552EDFEA}" name="Column11048" dataDxfId="5306"/>
    <tableColumn id="11097" xr3:uid="{70F6DF8C-AEC0-418E-B29D-8E3709665719}" name="Column11049" dataDxfId="5305"/>
    <tableColumn id="11098" xr3:uid="{6693F8FE-6A50-4D77-B1AF-06340FE26FFE}" name="Column11050" dataDxfId="5304"/>
    <tableColumn id="11099" xr3:uid="{8DDC5F2A-EB05-40FA-975C-A440E5AB116E}" name="Column11051" dataDxfId="5303"/>
    <tableColumn id="11100" xr3:uid="{B6983D78-1AC3-4F75-836E-8953FA660A11}" name="Column11052" dataDxfId="5302"/>
    <tableColumn id="11101" xr3:uid="{0057F093-4A64-4A14-9C43-86DB1437707D}" name="Column11053" dataDxfId="5301"/>
    <tableColumn id="11102" xr3:uid="{833CB1D3-12C8-4CF2-9FE9-5DEA60DC7042}" name="Column11054" dataDxfId="5300"/>
    <tableColumn id="11103" xr3:uid="{3538DFCF-F4A6-4869-8BBE-9BEAB01809B6}" name="Column11055" dataDxfId="5299"/>
    <tableColumn id="11104" xr3:uid="{02D31572-61BF-4E65-BD1F-9F2CD178E6B9}" name="Column11056" dataDxfId="5298"/>
    <tableColumn id="11105" xr3:uid="{A0E5E42B-8E30-481A-A92B-208FDE71B3DE}" name="Column11057" dataDxfId="5297"/>
    <tableColumn id="11106" xr3:uid="{C3EB161F-83B7-4F70-B6A9-5886F165E6AF}" name="Column11058" dataDxfId="5296"/>
    <tableColumn id="11107" xr3:uid="{D413E892-EFC4-47C7-8B3F-93F7AADC6E9B}" name="Column11059" dataDxfId="5295"/>
    <tableColumn id="11108" xr3:uid="{9A73F5E6-56A9-4BEC-B3F6-8917DB36E1AA}" name="Column11060" dataDxfId="5294"/>
    <tableColumn id="11109" xr3:uid="{ED0A6898-BB20-4C4F-BBB8-14050CE44DD0}" name="Column11061" dataDxfId="5293"/>
    <tableColumn id="11110" xr3:uid="{01087BDE-2E31-4B26-8F49-DCF7D908BD4B}" name="Column11062" dataDxfId="5292"/>
    <tableColumn id="11111" xr3:uid="{156DC170-8857-4296-919F-5E549C4CC0C5}" name="Column11063" dataDxfId="5291"/>
    <tableColumn id="11112" xr3:uid="{5E4093FF-3C7D-4B51-AE6C-A7F0234258EF}" name="Column11064" dataDxfId="5290"/>
    <tableColumn id="11113" xr3:uid="{095465AB-C706-4199-AF7D-372F16B1ED0A}" name="Column11065" dataDxfId="5289"/>
    <tableColumn id="11114" xr3:uid="{92C97E80-E03C-4357-9D66-F1370FE1B449}" name="Column11066" dataDxfId="5288"/>
    <tableColumn id="11115" xr3:uid="{58A98644-AD3A-4725-9A27-F442894A4387}" name="Column11067" dataDxfId="5287"/>
    <tableColumn id="11116" xr3:uid="{C401752A-D7C6-4C5F-8694-341B22ECF5AB}" name="Column11068" dataDxfId="5286"/>
    <tableColumn id="11117" xr3:uid="{F1E7D187-F916-48EE-9FF6-834CC2B199CF}" name="Column11069" dataDxfId="5285"/>
    <tableColumn id="11118" xr3:uid="{39BB928C-9729-4012-9D51-E2D40DF933AF}" name="Column11070" dataDxfId="5284"/>
    <tableColumn id="11119" xr3:uid="{209C4106-4B60-46D1-9F29-8859B650D033}" name="Column11071" dataDxfId="5283"/>
    <tableColumn id="11120" xr3:uid="{F23EC2B4-EE33-4D0B-941A-E42B9D0FEBCD}" name="Column11072" dataDxfId="5282"/>
    <tableColumn id="11121" xr3:uid="{4CF8E7B9-D08D-4DC2-94EF-5EC4DF9CA197}" name="Column11073" dataDxfId="5281"/>
    <tableColumn id="11122" xr3:uid="{41FA1DDA-AE2C-485E-B264-E0F4480CE834}" name="Column11074" dataDxfId="5280"/>
    <tableColumn id="11123" xr3:uid="{B92578DE-3CCF-4464-8FD1-CA6E227CC44F}" name="Column11075" dataDxfId="5279"/>
    <tableColumn id="11124" xr3:uid="{230BB25B-6BD9-4AE6-AAD0-481554839DFB}" name="Column11076" dataDxfId="5278"/>
    <tableColumn id="11125" xr3:uid="{6B2B6A44-310D-472D-A41C-8396D3618C95}" name="Column11077" dataDxfId="5277"/>
    <tableColumn id="11126" xr3:uid="{C7C570DC-8CC7-470F-8E00-5702EBEEDAEA}" name="Column11078" dataDxfId="5276"/>
    <tableColumn id="11127" xr3:uid="{58EDFD12-766F-4A04-8B8F-638D68D84D59}" name="Column11079" dataDxfId="5275"/>
    <tableColumn id="11128" xr3:uid="{D36E1A3A-F3A2-46AF-839D-A068FD06D870}" name="Column11080" dataDxfId="5274"/>
    <tableColumn id="11129" xr3:uid="{BA0872FA-98BB-48E3-90C3-9179C4CB42AA}" name="Column11081" dataDxfId="5273"/>
    <tableColumn id="11130" xr3:uid="{291E4CB6-D28B-4476-A315-ABFCAFFEE443}" name="Column11082" dataDxfId="5272"/>
    <tableColumn id="11131" xr3:uid="{0795DB08-0588-4835-A029-1179377B96AA}" name="Column11083" dataDxfId="5271"/>
    <tableColumn id="11132" xr3:uid="{AA20078E-7B87-4072-B7BF-E57D3FFA25E5}" name="Column11084" dataDxfId="5270"/>
    <tableColumn id="11133" xr3:uid="{67125777-4762-462E-8030-749B923B8F89}" name="Column11085" dataDxfId="5269"/>
    <tableColumn id="11134" xr3:uid="{81B11C93-96F3-446A-9E9E-8360CCFA2BE8}" name="Column11086" dataDxfId="5268"/>
    <tableColumn id="11135" xr3:uid="{F7F15D26-906A-47BD-9B6D-7687510E602E}" name="Column11087" dataDxfId="5267"/>
    <tableColumn id="11136" xr3:uid="{5AB42EBD-2E49-4AFE-9BE9-5AF59A211990}" name="Column11088" dataDxfId="5266"/>
    <tableColumn id="11137" xr3:uid="{E41697E8-0390-4674-9039-0266ABAF8245}" name="Column11089" dataDxfId="5265"/>
    <tableColumn id="11138" xr3:uid="{86BEE565-EC58-4A24-AF6B-5D53345E2B36}" name="Column11090" dataDxfId="5264"/>
    <tableColumn id="11139" xr3:uid="{1840C191-C7D8-4030-BFF1-ACC9A68D0A48}" name="Column11091" dataDxfId="5263"/>
    <tableColumn id="11140" xr3:uid="{8D7C5052-5C51-40E8-A23E-BC5C697A3891}" name="Column11092" dataDxfId="5262"/>
    <tableColumn id="11141" xr3:uid="{3A13A768-E9DD-4A5B-8429-5987ABB76B93}" name="Column11093" dataDxfId="5261"/>
    <tableColumn id="11142" xr3:uid="{243FE8A2-EF83-49B1-83AD-ABBC3EB90C38}" name="Column11094" dataDxfId="5260"/>
    <tableColumn id="11143" xr3:uid="{6F6EDFD4-0094-4900-BCC3-B69546752F07}" name="Column11095" dataDxfId="5259"/>
    <tableColumn id="11144" xr3:uid="{5B34E333-FF9D-4EF6-B21D-7ED868814AE3}" name="Column11096" dataDxfId="5258"/>
    <tableColumn id="11145" xr3:uid="{60F6236C-8E19-42A4-8E60-A06BC86ED3D4}" name="Column11097" dataDxfId="5257"/>
    <tableColumn id="11146" xr3:uid="{AFAC1856-8225-4C4C-AFE0-1A098098999D}" name="Column11098" dataDxfId="5256"/>
    <tableColumn id="11147" xr3:uid="{9E621E81-26EA-4F52-A266-836195987216}" name="Column11099" dataDxfId="5255"/>
    <tableColumn id="11148" xr3:uid="{CA63E3CC-AA2A-42D5-8805-9A6CB0C70A37}" name="Column11100" dataDxfId="5254"/>
    <tableColumn id="11149" xr3:uid="{00247C86-9DFD-4B54-8A05-4710F4973D46}" name="Column11101" dataDxfId="5253"/>
    <tableColumn id="11150" xr3:uid="{D369136E-60CC-46EA-B99E-5DD094DA0094}" name="Column11102" dataDxfId="5252"/>
    <tableColumn id="11151" xr3:uid="{7131169F-4D4F-4826-B04D-A2A531CA912A}" name="Column11103" dataDxfId="5251"/>
    <tableColumn id="11152" xr3:uid="{2A17CD83-2287-46C2-8C77-71693BA79A7F}" name="Column11104" dataDxfId="5250"/>
    <tableColumn id="11153" xr3:uid="{9B983769-BA6F-4A80-92F6-CDCDA83A41A7}" name="Column11105" dataDxfId="5249"/>
    <tableColumn id="11154" xr3:uid="{2C99A3B2-0928-4626-BEC2-5BA3A132CDA4}" name="Column11106" dataDxfId="5248"/>
    <tableColumn id="11155" xr3:uid="{9E4214DA-A1E8-4C64-9000-A55A0772B562}" name="Column11107" dataDxfId="5247"/>
    <tableColumn id="11156" xr3:uid="{75EF0F22-AD08-4B9D-80C2-7EBF14C1519E}" name="Column11108" dataDxfId="5246"/>
    <tableColumn id="11157" xr3:uid="{98082B42-9281-49A4-8218-5F1F610F5B3C}" name="Column11109" dataDxfId="5245"/>
    <tableColumn id="11158" xr3:uid="{D20F2163-9DFD-44BF-A4FC-2D78573768A8}" name="Column11110" dataDxfId="5244"/>
    <tableColumn id="11159" xr3:uid="{E8CD9C92-061A-4A95-B9C5-D1E09378C09C}" name="Column11111" dataDxfId="5243"/>
    <tableColumn id="11160" xr3:uid="{E95D3BC0-3588-41EF-9802-F1BB4652611A}" name="Column11112" dataDxfId="5242"/>
    <tableColumn id="11161" xr3:uid="{60D2B9D3-97EC-4554-89A2-F9DA13A79DB6}" name="Column11113" dataDxfId="5241"/>
    <tableColumn id="11162" xr3:uid="{80802A0C-FA9E-4CDB-AE17-226C3264E171}" name="Column11114" dataDxfId="5240"/>
    <tableColumn id="11163" xr3:uid="{AC85F374-A03B-4D4E-B8DF-4EB6CBA0BB6F}" name="Column11115" dataDxfId="5239"/>
    <tableColumn id="11164" xr3:uid="{DA0F765E-1237-432F-B63D-902B02D39BF0}" name="Column11116" dataDxfId="5238"/>
    <tableColumn id="11165" xr3:uid="{EE7567AC-B899-4522-822A-EAB1F8119837}" name="Column11117" dataDxfId="5237"/>
    <tableColumn id="11166" xr3:uid="{1F08E357-EAD5-4605-B341-A682489236F5}" name="Column11118" dataDxfId="5236"/>
    <tableColumn id="11167" xr3:uid="{456D7210-C1B1-44B6-BAE6-B8B60FC5F21F}" name="Column11119" dataDxfId="5235"/>
    <tableColumn id="11168" xr3:uid="{E191E46D-3C18-4D24-9D79-931B6912B73B}" name="Column11120" dataDxfId="5234"/>
    <tableColumn id="11169" xr3:uid="{911D022D-234B-493C-B584-B75F6E58556D}" name="Column11121" dataDxfId="5233"/>
    <tableColumn id="11170" xr3:uid="{C768CB47-077D-4B95-B40B-B392B3F4260F}" name="Column11122" dataDxfId="5232"/>
    <tableColumn id="11171" xr3:uid="{3972BF70-B227-4848-B16D-77F359B68ACA}" name="Column11123" dataDxfId="5231"/>
    <tableColumn id="11172" xr3:uid="{96233959-FE35-4345-8FA5-984CD50661F3}" name="Column11124" dataDxfId="5230"/>
    <tableColumn id="11173" xr3:uid="{D5F2AE84-FB56-435D-A2CD-72C9A405D49D}" name="Column11125" dataDxfId="5229"/>
    <tableColumn id="11174" xr3:uid="{42AF37F6-2621-4EF5-B6DA-9D994C8ACA18}" name="Column11126" dataDxfId="5228"/>
    <tableColumn id="11175" xr3:uid="{788C6D13-2647-46A1-B590-4A099317A43A}" name="Column11127" dataDxfId="5227"/>
    <tableColumn id="11176" xr3:uid="{1CBDE638-06D4-4960-BBDF-6B0A76E0D2BB}" name="Column11128" dataDxfId="5226"/>
    <tableColumn id="11177" xr3:uid="{4E88C9E6-1BC0-4027-9B93-5FC8B911F593}" name="Column11129" dataDxfId="5225"/>
    <tableColumn id="11178" xr3:uid="{EFFA8FA7-4544-48D3-B6EB-D2200F738314}" name="Column11130" dataDxfId="5224"/>
    <tableColumn id="11179" xr3:uid="{5D168760-EDEA-48CC-815F-6422504DED5B}" name="Column11131" dataDxfId="5223"/>
    <tableColumn id="11180" xr3:uid="{1F4F17F1-64E0-422A-81EC-0B37E13751FB}" name="Column11132" dataDxfId="5222"/>
    <tableColumn id="11181" xr3:uid="{01ADB78F-58E6-4127-BEF2-18FCEFEF2FAF}" name="Column11133" dataDxfId="5221"/>
    <tableColumn id="11182" xr3:uid="{41A60260-BC75-426C-A189-56B68775227D}" name="Column11134" dataDxfId="5220"/>
    <tableColumn id="11183" xr3:uid="{0EA341EC-9152-4722-ADB5-FB6FC65D3C42}" name="Column11135" dataDxfId="5219"/>
    <tableColumn id="11184" xr3:uid="{90B96062-DB20-4278-99AC-1E15A58AA9DF}" name="Column11136" dataDxfId="5218"/>
    <tableColumn id="11185" xr3:uid="{8EBE5CE8-F813-4338-85C6-C0429698129A}" name="Column11137" dataDxfId="5217"/>
    <tableColumn id="11186" xr3:uid="{8CC3FA4D-D61E-4B7E-BDF0-4826893E42E8}" name="Column11138" dataDxfId="5216"/>
    <tableColumn id="11187" xr3:uid="{96732E8F-21B8-47E8-B9EF-FCA3655538D7}" name="Column11139" dataDxfId="5215"/>
    <tableColumn id="11188" xr3:uid="{8ED96B5B-03D0-4733-A1FD-2A7A0BD56F29}" name="Column11140" dataDxfId="5214"/>
    <tableColumn id="11189" xr3:uid="{11E0BC63-AEAE-48FF-82D1-065655275D5F}" name="Column11141" dataDxfId="5213"/>
    <tableColumn id="11190" xr3:uid="{17AC7036-1599-44D5-A2DC-1FFBB9429527}" name="Column11142" dataDxfId="5212"/>
    <tableColumn id="11191" xr3:uid="{641AE922-9BF9-4D67-8AE8-A070EFE1F4E2}" name="Column11143" dataDxfId="5211"/>
    <tableColumn id="11192" xr3:uid="{26F69821-453F-4951-BEC6-94EADBE6A9AD}" name="Column11144" dataDxfId="5210"/>
    <tableColumn id="11193" xr3:uid="{76192155-C200-4E8D-BE98-FA0A74F1CB5F}" name="Column11145" dataDxfId="5209"/>
    <tableColumn id="11194" xr3:uid="{1FB67D4E-0D30-47E6-928E-BAA07C31A676}" name="Column11146" dataDxfId="5208"/>
    <tableColumn id="11195" xr3:uid="{A68DA249-3FBE-421C-85BF-9FCEEF121475}" name="Column11147" dataDxfId="5207"/>
    <tableColumn id="11196" xr3:uid="{88A8A83D-E56C-4F25-8041-6E908BEE836D}" name="Column11148" dataDxfId="5206"/>
    <tableColumn id="11197" xr3:uid="{A8F339D5-0C73-41C3-B529-58F22CFF4D97}" name="Column11149" dataDxfId="5205"/>
    <tableColumn id="11198" xr3:uid="{2B29637E-B868-487D-B22E-ED7BAA1447AA}" name="Column11150" dataDxfId="5204"/>
    <tableColumn id="11199" xr3:uid="{D9C0054E-3557-45DB-ABB2-5553AF29090F}" name="Column11151" dataDxfId="5203"/>
    <tableColumn id="11200" xr3:uid="{7A04CA95-BA87-4553-902A-4DDAA58D8562}" name="Column11152" dataDxfId="5202"/>
    <tableColumn id="11201" xr3:uid="{7F582AEC-F46E-4DDD-88F8-33170E78E8BF}" name="Column11153" dataDxfId="5201"/>
    <tableColumn id="11202" xr3:uid="{D7AF6C4A-54F4-4BAD-B7F5-A74D5B61FAEB}" name="Column11154" dataDxfId="5200"/>
    <tableColumn id="11203" xr3:uid="{93C970F2-EA51-4344-90A1-82744382E8A1}" name="Column11155" dataDxfId="5199"/>
    <tableColumn id="11204" xr3:uid="{A7301B12-EE24-4116-B1DD-A6CD270AE0A2}" name="Column11156" dataDxfId="5198"/>
    <tableColumn id="11205" xr3:uid="{BF640A76-2DCC-4A4C-B36D-8BA7C5A6F426}" name="Column11157" dataDxfId="5197"/>
    <tableColumn id="11206" xr3:uid="{15D4BA80-C1D8-4A73-8BE5-E8A2BAB6D9B1}" name="Column11158" dataDxfId="5196"/>
    <tableColumn id="11207" xr3:uid="{C9E4EFCF-5F77-4473-B725-F3A0D13B7288}" name="Column11159" dataDxfId="5195"/>
    <tableColumn id="11208" xr3:uid="{25E6BD75-7D7E-4B93-A686-5DBF5C3ADFBE}" name="Column11160" dataDxfId="5194"/>
    <tableColumn id="11209" xr3:uid="{1120875C-B685-44E4-A0F9-2E51BB710855}" name="Column11161" dataDxfId="5193"/>
    <tableColumn id="11210" xr3:uid="{C439B17F-26C7-4730-A64E-35DF7D3FDE51}" name="Column11162" dataDxfId="5192"/>
    <tableColumn id="11211" xr3:uid="{70798B99-EFB7-4236-AB67-6E2F4D54A2C0}" name="Column11163" dataDxfId="5191"/>
    <tableColumn id="11212" xr3:uid="{A86C4965-54CE-4354-9FFC-34CC02B622E1}" name="Column11164" dataDxfId="5190"/>
    <tableColumn id="11213" xr3:uid="{EADB9582-7C20-4C3F-B606-DFB7BB839DAC}" name="Column11165" dataDxfId="5189"/>
    <tableColumn id="11214" xr3:uid="{28855866-C01A-420A-9B81-67D13771FBA9}" name="Column11166" dataDxfId="5188"/>
    <tableColumn id="11215" xr3:uid="{F940A723-0B71-43C9-95D9-7619EEEB4CC3}" name="Column11167" dataDxfId="5187"/>
    <tableColumn id="11216" xr3:uid="{D13338D5-9258-49B8-B2B8-67DE0DA8C261}" name="Column11168" dataDxfId="5186"/>
    <tableColumn id="11217" xr3:uid="{DBE81972-2AE8-4171-A120-557C8D9C0452}" name="Column11169" dataDxfId="5185"/>
    <tableColumn id="11218" xr3:uid="{92B1E316-6414-4656-875F-34B6DECB1384}" name="Column11170" dataDxfId="5184"/>
    <tableColumn id="11219" xr3:uid="{BEBE1AC8-D1CE-4E2F-82E4-2355D7435D7D}" name="Column11171" dataDxfId="5183"/>
    <tableColumn id="11220" xr3:uid="{9D3745F8-3618-4CC8-B6D4-224A62102318}" name="Column11172" dataDxfId="5182"/>
    <tableColumn id="11221" xr3:uid="{74B5501A-B1FD-43AD-BD93-20A4C6591083}" name="Column11173" dataDxfId="5181"/>
    <tableColumn id="11222" xr3:uid="{14DAC964-10CA-49AF-B426-A669F34D7286}" name="Column11174" dataDxfId="5180"/>
    <tableColumn id="11223" xr3:uid="{03BAD118-ED46-4B63-8A24-15B5D97FCADF}" name="Column11175" dataDxfId="5179"/>
    <tableColumn id="11224" xr3:uid="{605A82AB-8518-4455-9F08-3B062DC56D4A}" name="Column11176" dataDxfId="5178"/>
    <tableColumn id="11225" xr3:uid="{81047596-A802-4D31-B0CB-81E421EE41CE}" name="Column11177" dataDxfId="5177"/>
    <tableColumn id="11226" xr3:uid="{3169817E-654A-40C9-AF91-BA098497BEA5}" name="Column11178" dataDxfId="5176"/>
    <tableColumn id="11227" xr3:uid="{45F5ED7A-D543-4571-8175-886911B1E004}" name="Column11179" dataDxfId="5175"/>
    <tableColumn id="11228" xr3:uid="{7A55AA21-5B4D-4320-849B-6FB4B04C7BE7}" name="Column11180" dataDxfId="5174"/>
    <tableColumn id="11229" xr3:uid="{A8EFA5B2-5FAA-4485-B5E3-5403F0D9D9B9}" name="Column11181" dataDxfId="5173"/>
    <tableColumn id="11230" xr3:uid="{37A8B8A8-E5EC-4CB5-9436-9FAFEE437966}" name="Column11182" dataDxfId="5172"/>
    <tableColumn id="11231" xr3:uid="{26DCCBAF-2231-4265-AF0A-5CA45420EABD}" name="Column11183" dataDxfId="5171"/>
    <tableColumn id="11232" xr3:uid="{58823ED2-AF70-4C1C-BAC5-4084D33F67EF}" name="Column11184" dataDxfId="5170"/>
    <tableColumn id="11233" xr3:uid="{412655D7-ED12-4610-8BDE-40A422F2C1C3}" name="Column11185" dataDxfId="5169"/>
    <tableColumn id="11234" xr3:uid="{5F5FCB94-5F83-41B4-930F-EF3B197BBA87}" name="Column11186" dataDxfId="5168"/>
    <tableColumn id="11235" xr3:uid="{8F571ED9-2E87-466C-861F-DEA3344B9049}" name="Column11187" dataDxfId="5167"/>
    <tableColumn id="11236" xr3:uid="{51D415C2-9F4D-4605-B6DF-6E6BA5DFC10F}" name="Column11188" dataDxfId="5166"/>
    <tableColumn id="11237" xr3:uid="{5C6425B6-0345-432A-908A-9B85921097C5}" name="Column11189" dataDxfId="5165"/>
    <tableColumn id="11238" xr3:uid="{B093D0F4-E8EF-4DBE-A04E-93C1D11CBCF1}" name="Column11190" dataDxfId="5164"/>
    <tableColumn id="11239" xr3:uid="{540545E1-95E5-408F-AE06-742BA86F153C}" name="Column11191" dataDxfId="5163"/>
    <tableColumn id="11240" xr3:uid="{78529F53-6ECB-4D9A-96C9-06CC0BFA624E}" name="Column11192" dataDxfId="5162"/>
    <tableColumn id="11241" xr3:uid="{003AF204-4DC1-477C-9BC7-F7FC086A0303}" name="Column11193" dataDxfId="5161"/>
    <tableColumn id="11242" xr3:uid="{63E00E91-DA9A-4CC1-AA05-E53C08B9AD66}" name="Column11194" dataDxfId="5160"/>
    <tableColumn id="11243" xr3:uid="{976FC95D-2FF7-4719-A2DC-E84261A21D8F}" name="Column11195" dataDxfId="5159"/>
    <tableColumn id="11244" xr3:uid="{895ED897-333E-4B5E-AF07-E6A0EB8896FF}" name="Column11196" dataDxfId="5158"/>
    <tableColumn id="11245" xr3:uid="{26216C2E-4707-4769-9FD7-EBABFDA396DB}" name="Column11197" dataDxfId="5157"/>
    <tableColumn id="11246" xr3:uid="{1B992FFC-EA0D-4B28-BA65-C3227F6A53D5}" name="Column11198" dataDxfId="5156"/>
    <tableColumn id="11247" xr3:uid="{B8378F48-3398-468B-B1FB-DB26A046FBAF}" name="Column11199" dataDxfId="5155"/>
    <tableColumn id="11248" xr3:uid="{55FDF1B0-7EC6-4681-8E4E-C1B3E17163E3}" name="Column11200" dataDxfId="5154"/>
    <tableColumn id="11249" xr3:uid="{E92A12E0-AC94-4B25-BA2C-7FCE63E7E013}" name="Column11201" dataDxfId="5153"/>
    <tableColumn id="11250" xr3:uid="{5EC6F9A1-6D3D-4FDB-B3BA-B4819DC56063}" name="Column11202" dataDxfId="5152"/>
    <tableColumn id="11251" xr3:uid="{10DA8549-5C9D-4DC0-8BBF-3CD0E4833357}" name="Column11203" dataDxfId="5151"/>
    <tableColumn id="11252" xr3:uid="{34AF3ED8-36AF-4AA9-9F21-6FD17AA21580}" name="Column11204" dataDxfId="5150"/>
    <tableColumn id="11253" xr3:uid="{6E9F462C-2C33-4500-86A3-2C55FBA1A517}" name="Column11205" dataDxfId="5149"/>
    <tableColumn id="11254" xr3:uid="{F2233B81-42D9-476F-B8B2-AE30885983E6}" name="Column11206" dataDxfId="5148"/>
    <tableColumn id="11255" xr3:uid="{C8A38C67-DCF2-4E26-95F3-2288400CF833}" name="Column11207" dataDxfId="5147"/>
    <tableColumn id="11256" xr3:uid="{336271F7-EC08-44F1-A7AA-C62A610B2B38}" name="Column11208" dataDxfId="5146"/>
    <tableColumn id="11257" xr3:uid="{2632F56A-71CD-435C-B311-ACD534B5B18F}" name="Column11209" dataDxfId="5145"/>
    <tableColumn id="11258" xr3:uid="{9710CE0A-B8E8-4632-A089-2DA2F16DA3DD}" name="Column11210" dataDxfId="5144"/>
    <tableColumn id="11259" xr3:uid="{8B4878FD-4E77-40DB-93AC-119A468E83E9}" name="Column11211" dataDxfId="5143"/>
    <tableColumn id="11260" xr3:uid="{4F91CB3D-0F4E-4922-9515-0F3CA743A3F4}" name="Column11212" dataDxfId="5142"/>
    <tableColumn id="11261" xr3:uid="{E021EDA7-17DC-48DF-87A6-8F8090FC9E33}" name="Column11213" dataDxfId="5141"/>
    <tableColumn id="11262" xr3:uid="{D766848C-D37F-40DF-A612-2D11ECD83B9A}" name="Column11214" dataDxfId="5140"/>
    <tableColumn id="11263" xr3:uid="{0300450F-C8F6-4614-8B1E-BDFA2F0E36E9}" name="Column11215" dataDxfId="5139"/>
    <tableColumn id="11264" xr3:uid="{F882403D-49E3-4E77-9386-0A257BECC6C5}" name="Column11216" dataDxfId="5138"/>
    <tableColumn id="11265" xr3:uid="{F633127F-8A3B-4F7C-9374-D091FB60D85E}" name="Column11217" dataDxfId="5137"/>
    <tableColumn id="11266" xr3:uid="{D76111E5-B6EF-47D6-A742-954B1A424621}" name="Column11218" dataDxfId="5136"/>
    <tableColumn id="11267" xr3:uid="{336D3169-251A-49FC-9FA3-3A748BA2204B}" name="Column11219" dataDxfId="5135"/>
    <tableColumn id="11268" xr3:uid="{44B031B6-1C43-4481-B68D-2B47B27B596A}" name="Column11220" dataDxfId="5134"/>
    <tableColumn id="11269" xr3:uid="{BA754A9E-AF94-4FE6-9CED-9A2190D7656C}" name="Column11221" dataDxfId="5133"/>
    <tableColumn id="11270" xr3:uid="{9BCAA1D6-3887-445E-B397-D85CB1213D7D}" name="Column11222" dataDxfId="5132"/>
    <tableColumn id="11271" xr3:uid="{3FA0B4A9-B59F-4FE7-8E48-15A6A07AB296}" name="Column11223" dataDxfId="5131"/>
    <tableColumn id="11272" xr3:uid="{61F084B6-8C3C-4C54-9BB6-FE8E76E6F6A5}" name="Column11224" dataDxfId="5130"/>
    <tableColumn id="11273" xr3:uid="{768A1A29-059E-4D74-B731-CF4BE7D2E629}" name="Column11225" dataDxfId="5129"/>
    <tableColumn id="11274" xr3:uid="{2BFCEB04-D8E2-4337-AF81-0E1819513383}" name="Column11226" dataDxfId="5128"/>
    <tableColumn id="11275" xr3:uid="{8C864028-FD19-4740-BD54-75E9B302ED49}" name="Column11227" dataDxfId="5127"/>
    <tableColumn id="11276" xr3:uid="{294750E4-2C2A-4B1D-A392-704FBE86FDFE}" name="Column11228" dataDxfId="5126"/>
    <tableColumn id="11277" xr3:uid="{A2622063-BC0E-49F5-99A6-84DD5EEEA328}" name="Column11229" dataDxfId="5125"/>
    <tableColumn id="11278" xr3:uid="{22724900-1B32-4DE5-9C65-C2982A010AB2}" name="Column11230" dataDxfId="5124"/>
    <tableColumn id="11279" xr3:uid="{3AA47C9D-44CC-4F41-8F72-A605AAD54594}" name="Column11231" dataDxfId="5123"/>
    <tableColumn id="11280" xr3:uid="{6E4E24FE-8DC4-4E00-A6D2-F7FCA4F1DA5D}" name="Column11232" dataDxfId="5122"/>
    <tableColumn id="11281" xr3:uid="{5EEE5011-3FEA-42AA-9457-D6704E69163A}" name="Column11233" dataDxfId="5121"/>
    <tableColumn id="11282" xr3:uid="{C2713CE2-D267-478E-B5D3-4D806225504C}" name="Column11234" dataDxfId="5120"/>
    <tableColumn id="11283" xr3:uid="{0FC1A458-0BDE-4708-AF04-D2FD789BB2F7}" name="Column11235" dataDxfId="5119"/>
    <tableColumn id="11284" xr3:uid="{2652BDCE-1567-4BE4-BE61-D59ED3146719}" name="Column11236" dataDxfId="5118"/>
    <tableColumn id="11285" xr3:uid="{BA3F91C4-310E-436C-B4F2-F5AD8F72AA4C}" name="Column11237" dataDxfId="5117"/>
    <tableColumn id="11286" xr3:uid="{EFDEFD3E-D20C-42E0-8047-BC0757E5ACB2}" name="Column11238" dataDxfId="5116"/>
    <tableColumn id="11287" xr3:uid="{F9929344-98BC-453C-B8BB-7CDB3B62AA28}" name="Column11239" dataDxfId="5115"/>
    <tableColumn id="11288" xr3:uid="{69FE1A2E-4496-411D-AAAF-D84A3DFB8C2C}" name="Column11240" dataDxfId="5114"/>
    <tableColumn id="11289" xr3:uid="{45D67B5B-135E-4A16-9C2A-FB39C4E4BB18}" name="Column11241" dataDxfId="5113"/>
    <tableColumn id="11290" xr3:uid="{CCBACE1A-9B40-48B6-BF1C-7439A7C7F8F4}" name="Column11242" dataDxfId="5112"/>
    <tableColumn id="11291" xr3:uid="{A03CA81D-371D-49D3-A530-D17564851B57}" name="Column11243" dataDxfId="5111"/>
    <tableColumn id="11292" xr3:uid="{668E3998-3383-4543-9D33-3D225263E4ED}" name="Column11244" dataDxfId="5110"/>
    <tableColumn id="11293" xr3:uid="{3CF9DC5D-0828-4F93-80A2-23EE52BC5B3F}" name="Column11245" dataDxfId="5109"/>
    <tableColumn id="11294" xr3:uid="{AA8D60D5-2308-4243-ABBA-5EEEC28A9C94}" name="Column11246" dataDxfId="5108"/>
    <tableColumn id="11295" xr3:uid="{A5EE337A-DB24-431F-91B4-1BFCC8089801}" name="Column11247" dataDxfId="5107"/>
    <tableColumn id="11296" xr3:uid="{06CDDCAF-C155-458A-AF59-D075490EC710}" name="Column11248" dataDxfId="5106"/>
    <tableColumn id="11297" xr3:uid="{494C90F2-FF71-4D1A-87A9-78BF93B2C19A}" name="Column11249" dataDxfId="5105"/>
    <tableColumn id="11298" xr3:uid="{4B62FF1A-73B0-4E93-A2B5-8AD19EE2551A}" name="Column11250" dataDxfId="5104"/>
    <tableColumn id="11299" xr3:uid="{0A3FF130-FA54-439A-9F3F-F6C675C7AAF0}" name="Column11251" dataDxfId="5103"/>
    <tableColumn id="11300" xr3:uid="{EABBC189-A5EF-48A7-9172-E2E8C61FB642}" name="Column11252" dataDxfId="5102"/>
    <tableColumn id="11301" xr3:uid="{DEED0375-60DD-4D19-8002-3ECAD69D29E9}" name="Column11253" dataDxfId="5101"/>
    <tableColumn id="11302" xr3:uid="{B1249A89-22B0-4C87-B28B-8E5FF1B59E8A}" name="Column11254" dataDxfId="5100"/>
    <tableColumn id="11303" xr3:uid="{83E6424B-B5E8-4D30-95AB-0DD91DDC3069}" name="Column11255" dataDxfId="5099"/>
    <tableColumn id="11304" xr3:uid="{6883E058-2048-4FF5-B42B-99FAE367755C}" name="Column11256" dataDxfId="5098"/>
    <tableColumn id="11305" xr3:uid="{1FB80D9A-5096-45AF-8F91-EE7F936FB1CA}" name="Column11257" dataDxfId="5097"/>
    <tableColumn id="11306" xr3:uid="{89912CC8-FD15-4529-8858-33C168430250}" name="Column11258" dataDxfId="5096"/>
    <tableColumn id="11307" xr3:uid="{5DE116D4-1868-4534-9902-C9144C45D471}" name="Column11259" dataDxfId="5095"/>
    <tableColumn id="11308" xr3:uid="{2506517C-C81C-41B6-A986-4F05275F1F08}" name="Column11260" dataDxfId="5094"/>
    <tableColumn id="11309" xr3:uid="{60788D52-B226-4927-906B-FE623C02467A}" name="Column11261" dataDxfId="5093"/>
    <tableColumn id="11310" xr3:uid="{7B4DC6AD-C3C4-4DC5-B7DD-A3D303BC5956}" name="Column11262" dataDxfId="5092"/>
    <tableColumn id="11311" xr3:uid="{A2B7A7C4-1174-444C-AAFD-0EE0851E28BA}" name="Column11263" dataDxfId="5091"/>
    <tableColumn id="11312" xr3:uid="{CF59013B-A1FE-477D-8BE4-EB1508B33C67}" name="Column11264" dataDxfId="5090"/>
    <tableColumn id="11313" xr3:uid="{FEA06FBA-0CF9-4DAB-93C4-BF8CEA131CD8}" name="Column11265" dataDxfId="5089"/>
    <tableColumn id="11314" xr3:uid="{0A13B768-2CDC-46A0-B2EF-BFC7BB800AC5}" name="Column11266" dataDxfId="5088"/>
    <tableColumn id="11315" xr3:uid="{81AA3879-70E3-4BB0-98BC-564BEA219B2F}" name="Column11267" dataDxfId="5087"/>
    <tableColumn id="11316" xr3:uid="{066B807C-9617-403E-BA6F-C2B0B4D32057}" name="Column11268" dataDxfId="5086"/>
    <tableColumn id="11317" xr3:uid="{A5F32CFF-2D6A-4871-B772-F88F996AE88F}" name="Column11269" dataDxfId="5085"/>
    <tableColumn id="11318" xr3:uid="{51D50A3E-AE50-4FB9-8302-280EB0BC36CC}" name="Column11270" dataDxfId="5084"/>
    <tableColumn id="11319" xr3:uid="{16B70F46-74C5-4A5C-99E7-823AD792EF9A}" name="Column11271" dataDxfId="5083"/>
    <tableColumn id="11320" xr3:uid="{89E6D2DE-8456-4A13-B935-680018F5DFC7}" name="Column11272" dataDxfId="5082"/>
    <tableColumn id="11321" xr3:uid="{0917209F-6298-419E-A784-8B5B7A1794DD}" name="Column11273" dataDxfId="5081"/>
    <tableColumn id="11322" xr3:uid="{3FF75C01-6293-446B-BF34-287AAAB708DB}" name="Column11274" dataDxfId="5080"/>
    <tableColumn id="11323" xr3:uid="{447B57E4-087F-498D-9B68-B07C3D9350F2}" name="Column11275" dataDxfId="5079"/>
    <tableColumn id="11324" xr3:uid="{F171302B-BFAF-4BC8-8DD4-5849CFC79FD0}" name="Column11276" dataDxfId="5078"/>
    <tableColumn id="11325" xr3:uid="{83A9AB00-0F91-4F32-80A8-EB07D9FAB5EC}" name="Column11277" dataDxfId="5077"/>
    <tableColumn id="11326" xr3:uid="{290781F0-B627-466D-A03D-AC448D7399C7}" name="Column11278" dataDxfId="5076"/>
    <tableColumn id="11327" xr3:uid="{7AC953DF-8E8B-4636-AE80-547591343D10}" name="Column11279" dataDxfId="5075"/>
    <tableColumn id="11328" xr3:uid="{30A1E6A7-0ED8-4A32-B827-9073C1298823}" name="Column11280" dataDxfId="5074"/>
    <tableColumn id="11329" xr3:uid="{233EBC21-3163-43A3-8872-D5D4B7FEE89B}" name="Column11281" dataDxfId="5073"/>
    <tableColumn id="11330" xr3:uid="{1D3E26BD-9563-4341-925E-DE314740DCB5}" name="Column11282" dataDxfId="5072"/>
    <tableColumn id="11331" xr3:uid="{4EBF04F2-D73B-4377-B667-B92C0D44C1B2}" name="Column11283" dataDxfId="5071"/>
    <tableColumn id="11332" xr3:uid="{D30B4800-1583-43A7-9982-1538BA62590F}" name="Column11284" dataDxfId="5070"/>
    <tableColumn id="11333" xr3:uid="{A16AFD98-60E5-4E72-852A-59850D97A991}" name="Column11285" dataDxfId="5069"/>
    <tableColumn id="11334" xr3:uid="{96175F0C-6DB2-4977-88AF-8E46B1E3E302}" name="Column11286" dataDxfId="5068"/>
    <tableColumn id="11335" xr3:uid="{DDB50B90-A0CE-436E-AF95-18D242E1902A}" name="Column11287" dataDxfId="5067"/>
    <tableColumn id="11336" xr3:uid="{DC534CEF-44E2-456E-87B6-9B7EEF9800A0}" name="Column11288" dataDxfId="5066"/>
    <tableColumn id="11337" xr3:uid="{4D912671-72E7-4BAE-A318-05053262CF85}" name="Column11289" dataDxfId="5065"/>
    <tableColumn id="11338" xr3:uid="{32591820-C015-4D8B-8829-9FB08A6301AE}" name="Column11290" dataDxfId="5064"/>
    <tableColumn id="11339" xr3:uid="{03AC611B-D355-4FB4-B9EC-BAAB52C2063F}" name="Column11291" dataDxfId="5063"/>
    <tableColumn id="11340" xr3:uid="{2B6BEEDF-5B1A-4A57-87BE-7A186D98497D}" name="Column11292" dataDxfId="5062"/>
    <tableColumn id="11341" xr3:uid="{B8AAFC57-F14D-49C0-AFC5-C33A65124AF5}" name="Column11293" dataDxfId="5061"/>
    <tableColumn id="11342" xr3:uid="{63B5C203-6E59-4F3C-8EF6-B41EEDBFBDF9}" name="Column11294" dataDxfId="5060"/>
    <tableColumn id="11343" xr3:uid="{2FACC2DF-1E0F-4CD3-A38E-A9C50AAADF50}" name="Column11295" dataDxfId="5059"/>
    <tableColumn id="11344" xr3:uid="{E9615D55-F01E-4652-B01A-617A7F46BB6C}" name="Column11296" dataDxfId="5058"/>
    <tableColumn id="11345" xr3:uid="{54050DC0-6652-4CFA-9773-F128B7BC7DFD}" name="Column11297" dataDxfId="5057"/>
    <tableColumn id="11346" xr3:uid="{ACF0A70F-3D6F-4B18-A857-9C02DCF64C10}" name="Column11298" dataDxfId="5056"/>
    <tableColumn id="11347" xr3:uid="{2EE2B90F-7945-40C0-A024-E09598121331}" name="Column11299" dataDxfId="5055"/>
    <tableColumn id="11348" xr3:uid="{D1D0F4BF-5B31-4564-8DB3-A5BCF624C10B}" name="Column11300" dataDxfId="5054"/>
    <tableColumn id="11349" xr3:uid="{DA0730E4-9EFD-4753-ACA1-E2ED3CE14FD9}" name="Column11301" dataDxfId="5053"/>
    <tableColumn id="11350" xr3:uid="{CB167992-2C9E-4742-AD3E-37D5E85195A2}" name="Column11302" dataDxfId="5052"/>
    <tableColumn id="11351" xr3:uid="{811AB22B-99E9-47FA-A494-228646D2E64D}" name="Column11303" dataDxfId="5051"/>
    <tableColumn id="11352" xr3:uid="{00BC61E1-8571-45DD-939D-4462C6E31048}" name="Column11304" dataDxfId="5050"/>
    <tableColumn id="11353" xr3:uid="{DC77E2BD-4EDD-4190-BB52-5B1997E39726}" name="Column11305" dataDxfId="5049"/>
    <tableColumn id="11354" xr3:uid="{AA94656D-4009-41E1-9126-CF0361B23EA3}" name="Column11306" dataDxfId="5048"/>
    <tableColumn id="11355" xr3:uid="{7A84E450-1B64-4F3F-A01D-03121132085E}" name="Column11307" dataDxfId="5047"/>
    <tableColumn id="11356" xr3:uid="{88BCD156-3286-4BDD-97CE-F598CB7A9F7F}" name="Column11308" dataDxfId="5046"/>
    <tableColumn id="11357" xr3:uid="{296AB8A3-BBB0-4FE2-A49A-7A7ED98B3125}" name="Column11309" dataDxfId="5045"/>
    <tableColumn id="11358" xr3:uid="{FF039946-C9AE-4007-80B6-D84E7826B46F}" name="Column11310" dataDxfId="5044"/>
    <tableColumn id="11359" xr3:uid="{10DD20E7-C0DB-416D-81C8-BD1CA6576A98}" name="Column11311" dataDxfId="5043"/>
    <tableColumn id="11360" xr3:uid="{FE942F2C-3A25-49A7-A178-A1945976F1D7}" name="Column11312" dataDxfId="5042"/>
    <tableColumn id="11361" xr3:uid="{1F9814B8-1BFE-4152-B6C7-90A7893FA916}" name="Column11313" dataDxfId="5041"/>
    <tableColumn id="11362" xr3:uid="{232244A8-56AA-46D7-A45E-17347E61F0DA}" name="Column11314" dataDxfId="5040"/>
    <tableColumn id="11363" xr3:uid="{1F1E5185-27B2-4FE9-9FBB-E57A38FF618A}" name="Column11315" dataDxfId="5039"/>
    <tableColumn id="11364" xr3:uid="{FE62EC08-F87C-40AC-B31C-9458EA1B9E54}" name="Column11316" dataDxfId="5038"/>
    <tableColumn id="11365" xr3:uid="{ED4212E7-9248-4905-9502-7C0D5B5EE055}" name="Column11317" dataDxfId="5037"/>
    <tableColumn id="11366" xr3:uid="{9AB239C7-86CA-4CA2-9E40-00796E55B28F}" name="Column11318" dataDxfId="5036"/>
    <tableColumn id="11367" xr3:uid="{B8887242-4C5A-40C0-AEF9-A3EC75032195}" name="Column11319" dataDxfId="5035"/>
    <tableColumn id="11368" xr3:uid="{B8DDB477-971D-49FD-97F6-82BB0BBF6C6D}" name="Column11320" dataDxfId="5034"/>
    <tableColumn id="11369" xr3:uid="{31FF33B0-F6D5-4028-9F71-C26DD3862B5F}" name="Column11321" dataDxfId="5033"/>
    <tableColumn id="11370" xr3:uid="{426FB183-7178-4147-B2EF-98020444B6CE}" name="Column11322" dataDxfId="5032"/>
    <tableColumn id="11371" xr3:uid="{C338D6D8-23AC-44DE-A785-343AD7049142}" name="Column11323" dataDxfId="5031"/>
    <tableColumn id="11372" xr3:uid="{1F93B137-7310-4C2F-9DB4-CE3A4F87FF31}" name="Column11324" dataDxfId="5030"/>
    <tableColumn id="11373" xr3:uid="{9807EA57-6992-497F-B006-85F2E118D760}" name="Column11325" dataDxfId="5029"/>
    <tableColumn id="11374" xr3:uid="{ED2CE28A-B172-4838-AE22-5B0B29329831}" name="Column11326" dataDxfId="5028"/>
    <tableColumn id="11375" xr3:uid="{23A8D944-605D-4107-9B2A-CE6A42D74642}" name="Column11327" dataDxfId="5027"/>
    <tableColumn id="11376" xr3:uid="{E3731CB8-ABC8-453F-840E-3795EC99CF6B}" name="Column11328" dataDxfId="5026"/>
    <tableColumn id="11377" xr3:uid="{AECAA664-B63E-446C-9082-CD6437F1B70D}" name="Column11329" dataDxfId="5025"/>
    <tableColumn id="11378" xr3:uid="{779548F3-DA29-4A0A-85A7-F3A6E0134B1E}" name="Column11330" dataDxfId="5024"/>
    <tableColumn id="11379" xr3:uid="{1A74BE21-DC75-4306-842C-6DC2568A13EE}" name="Column11331" dataDxfId="5023"/>
    <tableColumn id="11380" xr3:uid="{A9577587-2081-4DA8-8527-1D71DC946E17}" name="Column11332" dataDxfId="5022"/>
    <tableColumn id="11381" xr3:uid="{C2692EA6-0C10-4EC6-BFE0-ECABD8C7513E}" name="Column11333" dataDxfId="5021"/>
    <tableColumn id="11382" xr3:uid="{8A840A19-A3BF-471C-910D-29C77F0BBDF4}" name="Column11334" dataDxfId="5020"/>
    <tableColumn id="11383" xr3:uid="{B6D202E9-3AD0-434C-A53A-39291115FDF5}" name="Column11335" dataDxfId="5019"/>
    <tableColumn id="11384" xr3:uid="{818D1221-2824-4309-B7FB-B72DA27F5283}" name="Column11336" dataDxfId="5018"/>
    <tableColumn id="11385" xr3:uid="{7D1220FC-B0A2-40D4-B5D4-A35A7F674326}" name="Column11337" dataDxfId="5017"/>
    <tableColumn id="11386" xr3:uid="{23C8AC14-F442-4150-BFB6-DB42242BAC52}" name="Column11338" dataDxfId="5016"/>
    <tableColumn id="11387" xr3:uid="{32DD68B4-E939-4A7C-A3D2-FF9B51770B57}" name="Column11339" dataDxfId="5015"/>
    <tableColumn id="11388" xr3:uid="{A9B5666B-0C49-416C-996D-718EA8D27562}" name="Column11340" dataDxfId="5014"/>
    <tableColumn id="11389" xr3:uid="{09112AFD-0D33-463B-A346-E4601C8EF016}" name="Column11341" dataDxfId="5013"/>
    <tableColumn id="11390" xr3:uid="{0A948193-D39B-4936-B996-6D03D79D0E84}" name="Column11342" dataDxfId="5012"/>
    <tableColumn id="11391" xr3:uid="{037EEE98-C367-4187-996F-107C9C995F7E}" name="Column11343" dataDxfId="5011"/>
    <tableColumn id="11392" xr3:uid="{316A0C1B-32E0-4B81-BEDC-379A248F489B}" name="Column11344" dataDxfId="5010"/>
    <tableColumn id="11393" xr3:uid="{AE4D924F-F11F-48CC-8EE4-E26AC3ADD5C9}" name="Column11345" dataDxfId="5009"/>
    <tableColumn id="11394" xr3:uid="{768026B7-3203-4EB3-B20E-FF82FE81B6FA}" name="Column11346" dataDxfId="5008"/>
    <tableColumn id="11395" xr3:uid="{43F3FC7F-991C-44A8-9808-1AB1C3B3A886}" name="Column11347" dataDxfId="5007"/>
    <tableColumn id="11396" xr3:uid="{A040DF4A-890D-4C1B-B077-3FB1CDD1CF9B}" name="Column11348" dataDxfId="5006"/>
    <tableColumn id="11397" xr3:uid="{EB54B532-2FF7-4D5C-99EF-C781876E7362}" name="Column11349" dataDxfId="5005"/>
    <tableColumn id="11398" xr3:uid="{3CAFE1D7-F0ED-41D2-994A-039600952B38}" name="Column11350" dataDxfId="5004"/>
    <tableColumn id="11399" xr3:uid="{BD385FA9-C93B-4931-B414-7311ABAEA413}" name="Column11351" dataDxfId="5003"/>
    <tableColumn id="11400" xr3:uid="{4C64F97E-BB23-4DA2-9F48-A200EF22C580}" name="Column11352" dataDxfId="5002"/>
    <tableColumn id="11401" xr3:uid="{64439E12-9704-430A-AC8D-65D66F3FB2DC}" name="Column11353" dataDxfId="5001"/>
    <tableColumn id="11402" xr3:uid="{254FF03A-6E05-4E8E-A1D0-89F3CC80DB33}" name="Column11354" dataDxfId="5000"/>
    <tableColumn id="11403" xr3:uid="{A92B033F-BF78-4C30-AF0A-0800472D73BF}" name="Column11355" dataDxfId="4999"/>
    <tableColumn id="11404" xr3:uid="{AEC75C5A-CC4F-4A83-8171-24FDBC235CEA}" name="Column11356" dataDxfId="4998"/>
    <tableColumn id="11405" xr3:uid="{15F71B5F-B019-4D21-B893-FBCB005FE770}" name="Column11357" dataDxfId="4997"/>
    <tableColumn id="11406" xr3:uid="{9781D5E9-4D0E-4BC1-A410-43FFF4BC7F7D}" name="Column11358" dataDxfId="4996"/>
    <tableColumn id="11407" xr3:uid="{CEC2333E-69D9-4777-AE3C-00A3A6D18C10}" name="Column11359" dataDxfId="4995"/>
    <tableColumn id="11408" xr3:uid="{E45AE2A6-4928-42D7-B433-D19443554B89}" name="Column11360" dataDxfId="4994"/>
    <tableColumn id="11409" xr3:uid="{4F7358DA-805C-4470-B00F-C3A930999AEF}" name="Column11361" dataDxfId="4993"/>
    <tableColumn id="11410" xr3:uid="{67845CEA-AF8E-4DE4-8310-C01EA61060D0}" name="Column11362" dataDxfId="4992"/>
    <tableColumn id="11411" xr3:uid="{EA236A0B-7378-4E83-AFE5-8F3D5E0B5B79}" name="Column11363" dataDxfId="4991"/>
    <tableColumn id="11412" xr3:uid="{05996797-ED0E-4DD2-B1DA-5D71498784D1}" name="Column11364" dataDxfId="4990"/>
    <tableColumn id="11413" xr3:uid="{16AB1701-462E-430F-94C5-FCB4C1A22CA8}" name="Column11365" dataDxfId="4989"/>
    <tableColumn id="11414" xr3:uid="{3C8F2A12-AA2C-4BAE-8E2C-6F0691E07676}" name="Column11366" dataDxfId="4988"/>
    <tableColumn id="11415" xr3:uid="{007B37B5-0A4D-49C4-B9BD-EB73704C1CFB}" name="Column11367" dataDxfId="4987"/>
    <tableColumn id="11416" xr3:uid="{AB003501-6E1C-458C-B213-3E03F5A28868}" name="Column11368" dataDxfId="4986"/>
    <tableColumn id="11417" xr3:uid="{CB8D8B7F-C686-4D78-B097-F0AEDAFD81DA}" name="Column11369" dataDxfId="4985"/>
    <tableColumn id="11418" xr3:uid="{3F049F79-C5CF-4373-A416-7B525F004301}" name="Column11370" dataDxfId="4984"/>
    <tableColumn id="11419" xr3:uid="{44FA703E-9150-4691-89E8-FC597EAFB8CC}" name="Column11371" dataDxfId="4983"/>
    <tableColumn id="11420" xr3:uid="{8695DD38-E6BB-4577-9C5B-C2994D0FD0D4}" name="Column11372" dataDxfId="4982"/>
    <tableColumn id="11421" xr3:uid="{CF117C4E-A64A-4150-91C7-A385522D3808}" name="Column11373" dataDxfId="4981"/>
    <tableColumn id="11422" xr3:uid="{32C45814-10AF-4ABD-A63E-DC9D87D97101}" name="Column11374" dataDxfId="4980"/>
    <tableColumn id="11423" xr3:uid="{FC948FF5-0644-4E5F-AD73-2C4F9970EEEB}" name="Column11375" dataDxfId="4979"/>
    <tableColumn id="11424" xr3:uid="{36BF2336-EA54-413F-8BC3-6A86D4D0AC24}" name="Column11376" dataDxfId="4978"/>
    <tableColumn id="11425" xr3:uid="{42C7CD90-CC29-4D9F-AC2A-FFE9DE27A9BF}" name="Column11377" dataDxfId="4977"/>
    <tableColumn id="11426" xr3:uid="{1A3CF604-D8CE-400E-8073-08D8F61660D1}" name="Column11378" dataDxfId="4976"/>
    <tableColumn id="11427" xr3:uid="{CE3EB57D-F07A-42BE-BC84-3FB32E7DFD7A}" name="Column11379" dataDxfId="4975"/>
    <tableColumn id="11428" xr3:uid="{39AE094A-6A18-480B-84AD-429B56C40736}" name="Column11380" dataDxfId="4974"/>
    <tableColumn id="11429" xr3:uid="{CCD5D7FB-989B-476A-95BD-70D96545AFBF}" name="Column11381" dataDxfId="4973"/>
    <tableColumn id="11430" xr3:uid="{55050A67-4FD3-44CB-A87D-474672212123}" name="Column11382" dataDxfId="4972"/>
    <tableColumn id="11431" xr3:uid="{F8FDE981-7E9F-4005-90DA-CD63CAFF331C}" name="Column11383" dataDxfId="4971"/>
    <tableColumn id="11432" xr3:uid="{6EB32E26-C6DF-43FB-8032-8E68DDBB9466}" name="Column11384" dataDxfId="4970"/>
    <tableColumn id="11433" xr3:uid="{D54BF27C-6612-4B93-8F16-C867377B07C9}" name="Column11385" dataDxfId="4969"/>
    <tableColumn id="11434" xr3:uid="{F1818763-9FBA-491C-8EDE-7CADC442601E}" name="Column11386" dataDxfId="4968"/>
    <tableColumn id="11435" xr3:uid="{EBC6E1CE-1C61-4E61-8A40-E059B8EBE6F3}" name="Column11387" dataDxfId="4967"/>
    <tableColumn id="11436" xr3:uid="{9E3335B4-BA9C-47DA-BBC0-91B7D6E54619}" name="Column11388" dataDxfId="4966"/>
    <tableColumn id="11437" xr3:uid="{AB1882FF-70C3-4D25-8FD4-59031A125D92}" name="Column11389" dataDxfId="4965"/>
    <tableColumn id="11438" xr3:uid="{327FEF18-E9B5-4C30-8005-2D59E60059E0}" name="Column11390" dataDxfId="4964"/>
    <tableColumn id="11439" xr3:uid="{3181DBB5-1E8D-4FB2-9B7C-7BD008DC6788}" name="Column11391" dataDxfId="4963"/>
    <tableColumn id="11440" xr3:uid="{F84A05F0-6BF9-41E3-822F-1845D81E2FB2}" name="Column11392" dataDxfId="4962"/>
    <tableColumn id="11441" xr3:uid="{4CD8A84D-684B-4282-88C2-E657018E807E}" name="Column11393" dataDxfId="4961"/>
    <tableColumn id="11442" xr3:uid="{D4939DA1-B015-407C-83AF-295CEF6CE550}" name="Column11394" dataDxfId="4960"/>
    <tableColumn id="11443" xr3:uid="{94A0C768-1946-4CD6-B418-BF2A28AF6762}" name="Column11395" dataDxfId="4959"/>
    <tableColumn id="11444" xr3:uid="{0C9F74D6-D2E5-4092-83EA-3E3E71FED261}" name="Column11396" dataDxfId="4958"/>
    <tableColumn id="11445" xr3:uid="{4AAE8473-B415-4D27-9185-057641B1F8AF}" name="Column11397" dataDxfId="4957"/>
    <tableColumn id="11446" xr3:uid="{FDB3A8F8-F535-441D-AE28-B978D9501EB9}" name="Column11398" dataDxfId="4956"/>
    <tableColumn id="11447" xr3:uid="{68FF1815-D558-4FCF-935E-B7B109F757BC}" name="Column11399" dataDxfId="4955"/>
    <tableColumn id="11448" xr3:uid="{1691BC94-9317-437E-AD0B-78ADBD58B1A4}" name="Column11400" dataDxfId="4954"/>
    <tableColumn id="11449" xr3:uid="{8031B68D-90AF-4510-B444-2A3D8A0046A8}" name="Column11401" dataDxfId="4953"/>
    <tableColumn id="11450" xr3:uid="{5F7B1C1B-AEC8-40B2-9362-3FB2E7CD16A5}" name="Column11402" dataDxfId="4952"/>
    <tableColumn id="11451" xr3:uid="{674FFD77-E6CD-4567-B2FE-60598B4260BF}" name="Column11403" dataDxfId="4951"/>
    <tableColumn id="11452" xr3:uid="{E4EFFD13-DF47-4C58-8461-5288421C9B78}" name="Column11404" dataDxfId="4950"/>
    <tableColumn id="11453" xr3:uid="{3E07A12F-30AC-4116-9DFB-D1F3A0B96EAD}" name="Column11405" dataDxfId="4949"/>
    <tableColumn id="11454" xr3:uid="{6AB5D7F1-90F7-45BD-94ED-EC9EA86F2C24}" name="Column11406" dataDxfId="4948"/>
    <tableColumn id="11455" xr3:uid="{7676848E-0CD5-4158-953F-0FB201BE14D6}" name="Column11407" dataDxfId="4947"/>
    <tableColumn id="11456" xr3:uid="{F41AB641-9110-4677-A39E-F2E84B8FBBB7}" name="Column11408" dataDxfId="4946"/>
    <tableColumn id="11457" xr3:uid="{90408A3F-AEB1-4130-B2F3-DE62AFC95072}" name="Column11409" dataDxfId="4945"/>
    <tableColumn id="11458" xr3:uid="{754412FD-5E74-4311-B4AF-79CA51328306}" name="Column11410" dataDxfId="4944"/>
    <tableColumn id="11459" xr3:uid="{FCA8E96C-5EB9-4952-A405-FF49077483E6}" name="Column11411" dataDxfId="4943"/>
    <tableColumn id="11460" xr3:uid="{55F3BC2F-5650-448D-A167-8575453890F4}" name="Column11412" dataDxfId="4942"/>
    <tableColumn id="11461" xr3:uid="{AD50471C-6C4D-4EC9-AFD6-81D9CE052AEA}" name="Column11413" dataDxfId="4941"/>
    <tableColumn id="11462" xr3:uid="{4E7F5301-B4DA-437F-9D0B-C693A9148E8C}" name="Column11414" dataDxfId="4940"/>
    <tableColumn id="11463" xr3:uid="{854E5D4F-58AA-494D-9E50-A4D8C3F3EB0B}" name="Column11415" dataDxfId="4939"/>
    <tableColumn id="11464" xr3:uid="{D9F3DBF4-2125-4070-A531-B701DFE37BA4}" name="Column11416" dataDxfId="4938"/>
    <tableColumn id="11465" xr3:uid="{CA8BD773-CD1E-4C7E-941C-FFCAC1933A7E}" name="Column11417" dataDxfId="4937"/>
    <tableColumn id="11466" xr3:uid="{BC02D824-4B9F-425C-8F6A-F3B61ED47091}" name="Column11418" dataDxfId="4936"/>
    <tableColumn id="11467" xr3:uid="{5BB95ADA-D8C0-4E95-975E-AA69DADC223A}" name="Column11419" dataDxfId="4935"/>
    <tableColumn id="11468" xr3:uid="{5E9B8143-81B4-4517-AEDD-81C491F06EBE}" name="Column11420" dataDxfId="4934"/>
    <tableColumn id="11469" xr3:uid="{F42CDDF8-7BAA-440E-9CF6-5439249D70D2}" name="Column11421" dataDxfId="4933"/>
    <tableColumn id="11470" xr3:uid="{F8D0CB20-F4CB-473C-973B-38C4C21EEE4D}" name="Column11422" dataDxfId="4932"/>
    <tableColumn id="11471" xr3:uid="{4404318B-204C-4842-A4E4-B4D3CA7BDAC2}" name="Column11423" dataDxfId="4931"/>
    <tableColumn id="11472" xr3:uid="{5FDEB33A-C957-4734-AD36-A3A7F61C1F89}" name="Column11424" dataDxfId="4930"/>
    <tableColumn id="11473" xr3:uid="{492CDB11-3DF6-4C76-B88B-6BE328532BBF}" name="Column11425" dataDxfId="4929"/>
    <tableColumn id="11474" xr3:uid="{22E20B63-572B-4E35-9DB6-34C0F2D9CB77}" name="Column11426" dataDxfId="4928"/>
    <tableColumn id="11475" xr3:uid="{7A808D3F-8D39-4FFC-B237-4E33F0FB1BC7}" name="Column11427" dataDxfId="4927"/>
    <tableColumn id="11476" xr3:uid="{31A62AA4-A5EB-44E9-9F75-1E4378E817DC}" name="Column11428" dataDxfId="4926"/>
    <tableColumn id="11477" xr3:uid="{E085A071-7792-43F2-BE41-17171456690C}" name="Column11429" dataDxfId="4925"/>
    <tableColumn id="11478" xr3:uid="{580E124F-C4AD-4ABA-97F4-59851F8782C1}" name="Column11430" dataDxfId="4924"/>
    <tableColumn id="11479" xr3:uid="{5257500B-F6B9-4204-8C8B-416D942A971C}" name="Column11431" dataDxfId="4923"/>
    <tableColumn id="11480" xr3:uid="{B3E087B8-BA99-4B61-A154-0D4BF48872F1}" name="Column11432" dataDxfId="4922"/>
    <tableColumn id="11481" xr3:uid="{A3ACFA86-BC13-4BCA-BE2D-FF8123C8E136}" name="Column11433" dataDxfId="4921"/>
    <tableColumn id="11482" xr3:uid="{53194739-4E01-4ECB-93D1-3D2E57BC27FD}" name="Column11434" dataDxfId="4920"/>
    <tableColumn id="11483" xr3:uid="{D698E770-70A3-4F03-87C1-C743CB128D93}" name="Column11435" dataDxfId="4919"/>
    <tableColumn id="11484" xr3:uid="{EAE20E52-7C44-4F81-B0FE-CEFC6808B4CC}" name="Column11436" dataDxfId="4918"/>
    <tableColumn id="11485" xr3:uid="{BDA1DF4E-B834-4D7E-A749-38E2BD8B18CB}" name="Column11437" dataDxfId="4917"/>
    <tableColumn id="11486" xr3:uid="{5A977007-7770-4DEF-9F01-C5458CD5F089}" name="Column11438" dataDxfId="4916"/>
    <tableColumn id="11487" xr3:uid="{0734EFAD-91BD-4442-A6D2-17D31C50462E}" name="Column11439" dataDxfId="4915"/>
    <tableColumn id="11488" xr3:uid="{57E80552-0086-4912-8521-1F3981972FC8}" name="Column11440" dataDxfId="4914"/>
    <tableColumn id="11489" xr3:uid="{579C5012-BC35-4137-9CB3-B9F9F27E8EC8}" name="Column11441" dataDxfId="4913"/>
    <tableColumn id="11490" xr3:uid="{14DA9F1E-0A51-4AB7-8964-945E13BFD98B}" name="Column11442" dataDxfId="4912"/>
    <tableColumn id="11491" xr3:uid="{129ED087-DD3E-46FE-9814-13A537E53CB7}" name="Column11443" dataDxfId="4911"/>
    <tableColumn id="11492" xr3:uid="{6B6FBEDC-6FB4-48BC-A630-64913987F954}" name="Column11444" dataDxfId="4910"/>
    <tableColumn id="11493" xr3:uid="{576C8AF5-FFA2-4E37-9D1C-637B3FD6404E}" name="Column11445" dataDxfId="4909"/>
    <tableColumn id="11494" xr3:uid="{B925084C-89BD-4BE9-B9BB-AA47E9290329}" name="Column11446" dataDxfId="4908"/>
    <tableColumn id="11495" xr3:uid="{800F5E72-F8A5-4452-BB9C-87745734E743}" name="Column11447" dataDxfId="4907"/>
    <tableColumn id="11496" xr3:uid="{8EB8B4CE-0253-459E-9A8E-07B19B5AD070}" name="Column11448" dataDxfId="4906"/>
    <tableColumn id="11497" xr3:uid="{E92DF000-DC9A-48F5-9838-957D31DF40C9}" name="Column11449" dataDxfId="4905"/>
    <tableColumn id="11498" xr3:uid="{11A036C6-7308-455F-937A-980AB858C3A5}" name="Column11450" dataDxfId="4904"/>
    <tableColumn id="11499" xr3:uid="{2CD46AC4-ED3E-4B51-AC8A-3F121AC00FBA}" name="Column11451" dataDxfId="4903"/>
    <tableColumn id="11500" xr3:uid="{A2E4F177-D196-4EE1-B884-A27A84A52BEE}" name="Column11452" dataDxfId="4902"/>
    <tableColumn id="11501" xr3:uid="{55F63245-61C1-4CF4-9078-CB08C4F0B7F9}" name="Column11453" dataDxfId="4901"/>
    <tableColumn id="11502" xr3:uid="{01615FB7-0177-4D71-94FF-B949E9D6861C}" name="Column11454" dataDxfId="4900"/>
    <tableColumn id="11503" xr3:uid="{CF2A0416-6B14-4081-B0B8-932496FFC7A4}" name="Column11455" dataDxfId="4899"/>
    <tableColumn id="11504" xr3:uid="{5BE1B0EF-AC9D-4D1B-8233-CBF8C7276A14}" name="Column11456" dataDxfId="4898"/>
    <tableColumn id="11505" xr3:uid="{58836C62-A4AC-474E-941F-3165F6629991}" name="Column11457" dataDxfId="4897"/>
    <tableColumn id="11506" xr3:uid="{8C3F6EBE-8B31-4AAA-9493-63E03460ED2D}" name="Column11458" dataDxfId="4896"/>
    <tableColumn id="11507" xr3:uid="{AC033797-A677-4C4C-9309-08A9D8BF5365}" name="Column11459" dataDxfId="4895"/>
    <tableColumn id="11508" xr3:uid="{0DF30285-212F-4BB5-9734-BA275A20DC74}" name="Column11460" dataDxfId="4894"/>
    <tableColumn id="11509" xr3:uid="{47A506B5-0E48-4553-B8E2-BC0ACA9638BC}" name="Column11461" dataDxfId="4893"/>
    <tableColumn id="11510" xr3:uid="{21ACB6E3-C328-49BF-9FD5-FBA8E290F4D7}" name="Column11462" dataDxfId="4892"/>
    <tableColumn id="11511" xr3:uid="{6972EF67-671E-4EFA-8E28-E56B2C9F919B}" name="Column11463" dataDxfId="4891"/>
    <tableColumn id="11512" xr3:uid="{C71A67BF-ECF9-4022-8D0F-0C2A70366E56}" name="Column11464" dataDxfId="4890"/>
    <tableColumn id="11513" xr3:uid="{DEE44336-EB84-4D6B-885F-EBE59ABC3D94}" name="Column11465" dataDxfId="4889"/>
    <tableColumn id="11514" xr3:uid="{723A6B93-FC23-43CE-B4B3-59B242300699}" name="Column11466" dataDxfId="4888"/>
    <tableColumn id="11515" xr3:uid="{D7439FD8-2466-47C4-85D1-060E8BA7C7F9}" name="Column11467" dataDxfId="4887"/>
    <tableColumn id="11516" xr3:uid="{5AAAF7A9-0053-4011-A14A-3402ED88889D}" name="Column11468" dataDxfId="4886"/>
    <tableColumn id="11517" xr3:uid="{7083EABA-5453-481D-B768-14495AC7B9BE}" name="Column11469" dataDxfId="4885"/>
    <tableColumn id="11518" xr3:uid="{711B4562-3236-47F7-96B0-74FED29423B0}" name="Column11470" dataDxfId="4884"/>
    <tableColumn id="11519" xr3:uid="{F41C60FE-3672-4C51-8BF8-76AAA68C477C}" name="Column11471" dataDxfId="4883"/>
    <tableColumn id="11520" xr3:uid="{5430ADB2-C7BD-4B73-8E94-3A428489B6C7}" name="Column11472" dataDxfId="4882"/>
    <tableColumn id="11521" xr3:uid="{1ADE7D18-AEBB-47E9-865D-B4D5B98781E5}" name="Column11473" dataDxfId="4881"/>
    <tableColumn id="11522" xr3:uid="{EBD5F0ED-6AE6-49BB-BD70-DD6159E86B8A}" name="Column11474" dataDxfId="4880"/>
    <tableColumn id="11523" xr3:uid="{8EB1C0C9-A8E0-4B00-8C27-21B7EE1D3E20}" name="Column11475" dataDxfId="4879"/>
    <tableColumn id="11524" xr3:uid="{5F051D27-34AC-4036-8918-734BCF24EACE}" name="Column11476" dataDxfId="4878"/>
    <tableColumn id="11525" xr3:uid="{5EC9A898-053A-4AFC-A01A-B00E1CB48D0E}" name="Column11477" dataDxfId="4877"/>
    <tableColumn id="11526" xr3:uid="{BFDDDCBE-0915-4802-B14B-976199D1B333}" name="Column11478" dataDxfId="4876"/>
    <tableColumn id="11527" xr3:uid="{7FD78823-A9BD-46CD-9B25-DDE6BB525207}" name="Column11479" dataDxfId="4875"/>
    <tableColumn id="11528" xr3:uid="{6B7AA7E2-3372-4AA6-A0C9-31D02E4B4D62}" name="Column11480" dataDxfId="4874"/>
    <tableColumn id="11529" xr3:uid="{4E9E3355-DE45-477C-8B73-8ACD78519975}" name="Column11481" dataDxfId="4873"/>
    <tableColumn id="11530" xr3:uid="{6A4E2B2B-2747-4771-B50C-5620B04EDC0A}" name="Column11482" dataDxfId="4872"/>
    <tableColumn id="11531" xr3:uid="{6EA65F46-13D4-4F74-A9DF-E5485D5B36DE}" name="Column11483" dataDxfId="4871"/>
    <tableColumn id="11532" xr3:uid="{383ECA05-B47F-46DF-BE95-1AB469AACE4A}" name="Column11484" dataDxfId="4870"/>
    <tableColumn id="11533" xr3:uid="{CF85FEEF-C446-4CD9-A010-2FC568BE6AD6}" name="Column11485" dataDxfId="4869"/>
    <tableColumn id="11534" xr3:uid="{C819E87D-B9D9-46E8-AE74-B084FC40C0C7}" name="Column11486" dataDxfId="4868"/>
    <tableColumn id="11535" xr3:uid="{7FD2B635-6A62-47F1-927B-631136BC402E}" name="Column11487" dataDxfId="4867"/>
    <tableColumn id="11536" xr3:uid="{2D0930E3-1D75-4477-8942-A22312E96DD1}" name="Column11488" dataDxfId="4866"/>
    <tableColumn id="11537" xr3:uid="{84B1B4BC-63EA-4178-A289-E0D5B2DF00AB}" name="Column11489" dataDxfId="4865"/>
    <tableColumn id="11538" xr3:uid="{69A3858B-E325-4805-9730-DEE2524A7321}" name="Column11490" dataDxfId="4864"/>
    <tableColumn id="11539" xr3:uid="{FD758C54-513C-46FA-8A31-F1E4A8B53996}" name="Column11491" dataDxfId="4863"/>
    <tableColumn id="11540" xr3:uid="{C3E2C0F2-151D-4D97-811A-75994EE4CBD2}" name="Column11492" dataDxfId="4862"/>
    <tableColumn id="11541" xr3:uid="{BE851EE2-1D5B-4CB7-8C79-D5F4EFB6B2D2}" name="Column11493" dataDxfId="4861"/>
    <tableColumn id="11542" xr3:uid="{74451934-651E-461D-8106-EEF2E506E49E}" name="Column11494" dataDxfId="4860"/>
    <tableColumn id="11543" xr3:uid="{28E6E083-1DCB-467D-9B5E-0FDF0D961B65}" name="Column11495" dataDxfId="4859"/>
    <tableColumn id="11544" xr3:uid="{A46D2845-FDC2-4F37-8ED3-B1EF8FCC1352}" name="Column11496" dataDxfId="4858"/>
    <tableColumn id="11545" xr3:uid="{8F7D00C7-8CD2-4979-A3D4-D472837FA729}" name="Column11497" dataDxfId="4857"/>
    <tableColumn id="11546" xr3:uid="{8E553CFA-0134-4544-95B9-7BF3D54810EA}" name="Column11498" dataDxfId="4856"/>
    <tableColumn id="11547" xr3:uid="{CA584F47-541F-4E9B-BEAC-9A3E278EEE24}" name="Column11499" dataDxfId="4855"/>
    <tableColumn id="11548" xr3:uid="{F7D2B55E-143D-45D0-87D7-8F0FEC8C0450}" name="Column11500" dataDxfId="4854"/>
    <tableColumn id="11549" xr3:uid="{37F2020A-72BD-47C1-A4FC-8DF558C27407}" name="Column11501" dataDxfId="4853"/>
    <tableColumn id="11550" xr3:uid="{D584EDDB-7BBC-44A1-B80E-B18164F68707}" name="Column11502" dataDxfId="4852"/>
    <tableColumn id="11551" xr3:uid="{FB062AF5-D721-4628-9E58-42F212AD304D}" name="Column11503" dataDxfId="4851"/>
    <tableColumn id="11552" xr3:uid="{B132F72F-2C3C-4044-BF46-AB98CB063F04}" name="Column11504" dataDxfId="4850"/>
    <tableColumn id="11553" xr3:uid="{B9343EF6-0074-4F94-9AC9-704C69B783CA}" name="Column11505" dataDxfId="4849"/>
    <tableColumn id="11554" xr3:uid="{57CC0C15-14B7-40D0-977F-8A2ECB90AA64}" name="Column11506" dataDxfId="4848"/>
    <tableColumn id="11555" xr3:uid="{E22419AD-C890-40CF-9480-1DAF66076409}" name="Column11507" dataDxfId="4847"/>
    <tableColumn id="11556" xr3:uid="{F50857C8-952E-4ED6-B7A3-3842A282075A}" name="Column11508" dataDxfId="4846"/>
    <tableColumn id="11557" xr3:uid="{CC221C58-684B-4DD7-BFB6-FCE2E59E12EC}" name="Column11509" dataDxfId="4845"/>
    <tableColumn id="11558" xr3:uid="{4EFBF05E-CA88-4FB8-974B-5589C6AF906D}" name="Column11510" dataDxfId="4844"/>
    <tableColumn id="11559" xr3:uid="{2BC074E3-DA17-4C0F-B9AA-31130E916294}" name="Column11511" dataDxfId="4843"/>
    <tableColumn id="11560" xr3:uid="{97B682F4-E9D2-4F53-82F9-145EE8940AB1}" name="Column11512" dataDxfId="4842"/>
    <tableColumn id="11561" xr3:uid="{DBD07C00-563B-48FF-A8B3-BE2E1F9888DA}" name="Column11513" dataDxfId="4841"/>
    <tableColumn id="11562" xr3:uid="{4394B025-B309-4518-8808-901AD0D79B62}" name="Column11514" dataDxfId="4840"/>
    <tableColumn id="11563" xr3:uid="{1BCD5FB2-8B43-41E3-9A22-FAB0AB197E28}" name="Column11515" dataDxfId="4839"/>
    <tableColumn id="11564" xr3:uid="{03D858CD-10A7-4A13-AC63-C7AAA37ACE47}" name="Column11516" dataDxfId="4838"/>
    <tableColumn id="11565" xr3:uid="{61D43A17-91B8-4FB8-9667-5C0D8FA81E2F}" name="Column11517" dataDxfId="4837"/>
    <tableColumn id="11566" xr3:uid="{84F15D65-7AD8-4C0B-811D-A79854611401}" name="Column11518" dataDxfId="4836"/>
    <tableColumn id="11567" xr3:uid="{825F084E-0511-4B26-9A85-58447E588BCC}" name="Column11519" dataDxfId="4835"/>
    <tableColumn id="11568" xr3:uid="{F9E37EE6-1EEA-4991-A7D3-6AD1C37DD902}" name="Column11520" dataDxfId="4834"/>
    <tableColumn id="11569" xr3:uid="{07EF66C3-1AA3-4EF9-AED1-4F00ABDB2D5C}" name="Column11521" dataDxfId="4833"/>
    <tableColumn id="11570" xr3:uid="{697E6C11-55E7-434D-8E80-CB2B065A5B10}" name="Column11522" dataDxfId="4832"/>
    <tableColumn id="11571" xr3:uid="{1E765C16-D6FD-4156-BE4C-8F541A297703}" name="Column11523" dataDxfId="4831"/>
    <tableColumn id="11572" xr3:uid="{25319F54-FAA1-4A52-8BD7-ECC528C1512C}" name="Column11524" dataDxfId="4830"/>
    <tableColumn id="11573" xr3:uid="{96D174E4-938F-41EE-B712-F45F4D8D3EBF}" name="Column11525" dataDxfId="4829"/>
    <tableColumn id="11574" xr3:uid="{F8ADD55B-82AF-4222-A9EC-7B4AFB9249B1}" name="Column11526" dataDxfId="4828"/>
    <tableColumn id="11575" xr3:uid="{2843DBB3-7AC5-468C-92C4-6FB8E32D0881}" name="Column11527" dataDxfId="4827"/>
    <tableColumn id="11576" xr3:uid="{4EDF6660-011E-4223-B487-AED3274ADB98}" name="Column11528" dataDxfId="4826"/>
    <tableColumn id="11577" xr3:uid="{BF6766A8-3701-4EC0-A1C0-907872BDA234}" name="Column11529" dataDxfId="4825"/>
    <tableColumn id="11578" xr3:uid="{05394407-3686-4225-82E7-2840609E858D}" name="Column11530" dataDxfId="4824"/>
    <tableColumn id="11579" xr3:uid="{BDA48DFC-27D3-4847-956B-C4F44DA67DAB}" name="Column11531" dataDxfId="4823"/>
    <tableColumn id="11580" xr3:uid="{9A7563DE-BB02-431F-9E80-61134C935594}" name="Column11532" dataDxfId="4822"/>
    <tableColumn id="11581" xr3:uid="{56D03A80-0938-40F1-A398-03EFDCCE39E0}" name="Column11533" dataDxfId="4821"/>
    <tableColumn id="11582" xr3:uid="{8D6A91E0-2CA8-41A1-B527-DC3699291A86}" name="Column11534" dataDxfId="4820"/>
    <tableColumn id="11583" xr3:uid="{0E0DACFB-604C-4B8A-9E75-98F739964CF5}" name="Column11535" dataDxfId="4819"/>
    <tableColumn id="11584" xr3:uid="{60228452-8EB0-449E-9BDD-0E81B6466A81}" name="Column11536" dataDxfId="4818"/>
    <tableColumn id="11585" xr3:uid="{84B01625-A568-4C26-875B-232EA2DE7901}" name="Column11537" dataDxfId="4817"/>
    <tableColumn id="11586" xr3:uid="{D9D20C80-046B-4966-B1CE-02A49154E631}" name="Column11538" dataDxfId="4816"/>
    <tableColumn id="11587" xr3:uid="{4ADDE354-B106-45F3-8494-A904076C01FD}" name="Column11539" dataDxfId="4815"/>
    <tableColumn id="11588" xr3:uid="{E59FA94B-3D20-4207-9D2C-FC3DA6DC10ED}" name="Column11540" dataDxfId="4814"/>
    <tableColumn id="11589" xr3:uid="{50F94DDE-E6ED-420E-BB53-A6097BA50D1B}" name="Column11541" dataDxfId="4813"/>
    <tableColumn id="11590" xr3:uid="{73D4F87C-2427-4442-8DE3-D6B812BB93F5}" name="Column11542" dataDxfId="4812"/>
    <tableColumn id="11591" xr3:uid="{5DCD3FA2-F138-470D-B0A3-570871053BD1}" name="Column11543" dataDxfId="4811"/>
    <tableColumn id="11592" xr3:uid="{34B42016-EBFC-4A3D-BA7D-EB4EB4E2F09C}" name="Column11544" dataDxfId="4810"/>
    <tableColumn id="11593" xr3:uid="{680BB4AF-5DEC-4C69-8246-91A0CDD44EC3}" name="Column11545" dataDxfId="4809"/>
    <tableColumn id="11594" xr3:uid="{02C91FF2-AFE9-4FA7-911F-7B43BBB30F85}" name="Column11546" dataDxfId="4808"/>
    <tableColumn id="11595" xr3:uid="{E1C6C79E-BC8B-4F79-BFFD-C0FE89C442F6}" name="Column11547" dataDxfId="4807"/>
    <tableColumn id="11596" xr3:uid="{958F733D-E99A-40DB-BD26-CE6118B6E2DF}" name="Column11548" dataDxfId="4806"/>
    <tableColumn id="11597" xr3:uid="{914B7D5F-5DB0-4F8D-A6D5-C8B44618D4BA}" name="Column11549" dataDxfId="4805"/>
    <tableColumn id="11598" xr3:uid="{12DFAA2A-CC16-49B4-9F58-8FE145DC483F}" name="Column11550" dataDxfId="4804"/>
    <tableColumn id="11599" xr3:uid="{5E04A15B-3AE2-4FBB-8B89-004C583DA23E}" name="Column11551" dataDxfId="4803"/>
    <tableColumn id="11600" xr3:uid="{5B67A1F1-5DE8-4BC4-8521-7E64102C0106}" name="Column11552" dataDxfId="4802"/>
    <tableColumn id="11601" xr3:uid="{FBD3E8D7-E09E-4F2E-94B4-2C475D686FA7}" name="Column11553" dataDxfId="4801"/>
    <tableColumn id="11602" xr3:uid="{A6868C96-7E49-41BF-A17B-1C18FB2DF6F4}" name="Column11554" dataDxfId="4800"/>
    <tableColumn id="11603" xr3:uid="{FB6CA237-874F-4E00-8C26-EA8B123B5BD9}" name="Column11555" dataDxfId="4799"/>
    <tableColumn id="11604" xr3:uid="{8888FB55-BE0E-45E8-9780-C2400076E1DE}" name="Column11556" dataDxfId="4798"/>
    <tableColumn id="11605" xr3:uid="{3D91319F-FF8E-4821-9E90-1A3144F401F0}" name="Column11557" dataDxfId="4797"/>
    <tableColumn id="11606" xr3:uid="{F9505BB7-8D6C-4450-9F25-FCB4A8717355}" name="Column11558" dataDxfId="4796"/>
    <tableColumn id="11607" xr3:uid="{F44D7D61-E723-4B01-A38E-5481164960AC}" name="Column11559" dataDxfId="4795"/>
    <tableColumn id="11608" xr3:uid="{F4BD2489-08B7-4257-8089-CB6111FFD3B4}" name="Column11560" dataDxfId="4794"/>
    <tableColumn id="11609" xr3:uid="{81253F83-D19A-446C-99F2-CF45BC26FCC1}" name="Column11561" dataDxfId="4793"/>
    <tableColumn id="11610" xr3:uid="{6848C067-6B94-4DAD-8E2E-44E38492021A}" name="Column11562" dataDxfId="4792"/>
    <tableColumn id="11611" xr3:uid="{67D86A8C-3754-4073-8B86-0DE7003F5CE2}" name="Column11563" dataDxfId="4791"/>
    <tableColumn id="11612" xr3:uid="{740787B3-97C6-4BDC-B8C3-C81139461DF3}" name="Column11564" dataDxfId="4790"/>
    <tableColumn id="11613" xr3:uid="{8CC32AA2-C9A3-401D-85B1-02A373D36C46}" name="Column11565" dataDxfId="4789"/>
    <tableColumn id="11614" xr3:uid="{68176D9F-0F6A-4E56-85F3-A3973A1C4A6D}" name="Column11566" dataDxfId="4788"/>
    <tableColumn id="11615" xr3:uid="{668E386B-74D2-4C98-B5CB-549E4C8E90E5}" name="Column11567" dataDxfId="4787"/>
    <tableColumn id="11616" xr3:uid="{C912458B-B18A-432B-996B-1D483F082832}" name="Column11568" dataDxfId="4786"/>
    <tableColumn id="11617" xr3:uid="{8EB2C45A-749C-4110-8E5A-A3BD70133283}" name="Column11569" dataDxfId="4785"/>
    <tableColumn id="11618" xr3:uid="{E2E73183-B4F4-4F56-BEEE-5A23A738DF28}" name="Column11570" dataDxfId="4784"/>
    <tableColumn id="11619" xr3:uid="{C65EDDB1-27F0-4A26-AF0A-F936B65508B9}" name="Column11571" dataDxfId="4783"/>
    <tableColumn id="11620" xr3:uid="{E401057D-DCB2-4DFF-B1F3-498B6F60BF17}" name="Column11572" dataDxfId="4782"/>
    <tableColumn id="11621" xr3:uid="{62DAB568-189F-4513-A6A3-225F6C08A294}" name="Column11573" dataDxfId="4781"/>
    <tableColumn id="11622" xr3:uid="{D9A705FC-6F45-45F1-BDA6-1A0944F40CDA}" name="Column11574" dataDxfId="4780"/>
    <tableColumn id="11623" xr3:uid="{6DAB510A-EAC9-4F3A-8324-D37C1A638476}" name="Column11575" dataDxfId="4779"/>
    <tableColumn id="11624" xr3:uid="{A0B581C0-98AA-43EF-8CCC-BDDC8F164973}" name="Column11576" dataDxfId="4778"/>
    <tableColumn id="11625" xr3:uid="{016E2F82-A5EF-4FE1-86FD-F68CEE35DBA2}" name="Column11577" dataDxfId="4777"/>
    <tableColumn id="11626" xr3:uid="{7CB59155-B736-4CB1-9A76-30BF1903378C}" name="Column11578" dataDxfId="4776"/>
    <tableColumn id="11627" xr3:uid="{523A0B2D-41D7-4854-AF40-2A12849CE367}" name="Column11579" dataDxfId="4775"/>
    <tableColumn id="11628" xr3:uid="{43F96BEE-AE49-405D-89AE-6B3CE81FDC2B}" name="Column11580" dataDxfId="4774"/>
    <tableColumn id="11629" xr3:uid="{CE32721D-616E-48D5-8B61-47A02461810B}" name="Column11581" dataDxfId="4773"/>
    <tableColumn id="11630" xr3:uid="{183BD420-888F-4BCC-AB10-BEEBC24EF752}" name="Column11582" dataDxfId="4772"/>
    <tableColumn id="11631" xr3:uid="{E2425F4C-2C31-4A78-937E-F0D4C8DE1A3A}" name="Column11583" dataDxfId="4771"/>
    <tableColumn id="11632" xr3:uid="{6028FFCB-F84D-4420-A70D-95D2D521A456}" name="Column11584" dataDxfId="4770"/>
    <tableColumn id="11633" xr3:uid="{DF0465B6-655A-4115-8002-94D33D3C989A}" name="Column11585" dataDxfId="4769"/>
    <tableColumn id="11634" xr3:uid="{B7114741-3083-4D5C-AFC0-90302C5AF104}" name="Column11586" dataDxfId="4768"/>
    <tableColumn id="11635" xr3:uid="{4D5E2462-BAAA-4FCA-BCA8-BE2F639A15BE}" name="Column11587" dataDxfId="4767"/>
    <tableColumn id="11636" xr3:uid="{4ED97294-E4D5-4080-AAFD-60972C826C1C}" name="Column11588" dataDxfId="4766"/>
    <tableColumn id="11637" xr3:uid="{2E404A9A-FC14-4B33-8979-5D5F76CAF37C}" name="Column11589" dataDxfId="4765"/>
    <tableColumn id="11638" xr3:uid="{85D9E7AF-6299-497F-8F5B-7B207A988FB5}" name="Column11590" dataDxfId="4764"/>
    <tableColumn id="11639" xr3:uid="{668C767E-683A-4F9C-932E-10615A87199F}" name="Column11591" dataDxfId="4763"/>
    <tableColumn id="11640" xr3:uid="{E2B61B4C-C68D-4008-AC3F-22A351730EE7}" name="Column11592" dataDxfId="4762"/>
    <tableColumn id="11641" xr3:uid="{B480BE0E-1898-4844-A6FF-9C86CB0E72F1}" name="Column11593" dataDxfId="4761"/>
    <tableColumn id="11642" xr3:uid="{68578376-DB63-45CC-8E0B-01F8569345A1}" name="Column11594" dataDxfId="4760"/>
    <tableColumn id="11643" xr3:uid="{A4D54B32-B03D-4E67-9658-B398F0280332}" name="Column11595" dataDxfId="4759"/>
    <tableColumn id="11644" xr3:uid="{CBA98398-D0FE-439C-B8FB-C7D9CF4B46A0}" name="Column11596" dataDxfId="4758"/>
    <tableColumn id="11645" xr3:uid="{E1458533-F904-4780-84D4-04129B1B1180}" name="Column11597" dataDxfId="4757"/>
    <tableColumn id="11646" xr3:uid="{A44FABB6-BEB6-4C29-A17F-C738CAF18CB8}" name="Column11598" dataDxfId="4756"/>
    <tableColumn id="11647" xr3:uid="{5D488615-D80B-4648-93E5-5BAB6DD5FC16}" name="Column11599" dataDxfId="4755"/>
    <tableColumn id="11648" xr3:uid="{0D96E95F-5858-4479-9A2D-BA8D8440063D}" name="Column11600" dataDxfId="4754"/>
    <tableColumn id="11649" xr3:uid="{AF848714-0E6B-4195-8625-16036C68E948}" name="Column11601" dataDxfId="4753"/>
    <tableColumn id="11650" xr3:uid="{8ECCE4E1-2724-4863-A820-8A25343A434B}" name="Column11602" dataDxfId="4752"/>
    <tableColumn id="11651" xr3:uid="{B305DC6F-3E81-4BFF-B021-ADE36AB0C857}" name="Column11603" dataDxfId="4751"/>
    <tableColumn id="11652" xr3:uid="{70E75D81-4472-49DA-B9DC-6CEA11704489}" name="Column11604" dataDxfId="4750"/>
    <tableColumn id="11653" xr3:uid="{52F43C63-E9B2-4AF7-BD1E-0B3BEE6AA71D}" name="Column11605" dataDxfId="4749"/>
    <tableColumn id="11654" xr3:uid="{4D090D4A-0964-4166-8157-4E2CDE6858EC}" name="Column11606" dataDxfId="4748"/>
    <tableColumn id="11655" xr3:uid="{DD5E77A5-957A-4534-B267-6B42586B51B0}" name="Column11607" dataDxfId="4747"/>
    <tableColumn id="11656" xr3:uid="{10D9262A-DB44-4B16-AFB0-F464A31C364C}" name="Column11608" dataDxfId="4746"/>
    <tableColumn id="11657" xr3:uid="{7E93D229-ED30-4881-9E04-F6DF20AA2E98}" name="Column11609" dataDxfId="4745"/>
    <tableColumn id="11658" xr3:uid="{4F3A703A-C862-4654-9D42-85FA5194D9D6}" name="Column11610" dataDxfId="4744"/>
    <tableColumn id="11659" xr3:uid="{6CB35C20-EF80-4164-8C6A-21E15CF50476}" name="Column11611" dataDxfId="4743"/>
    <tableColumn id="11660" xr3:uid="{30D7F30E-7F8A-40B7-9E41-3EA89DD2D51E}" name="Column11612" dataDxfId="4742"/>
    <tableColumn id="11661" xr3:uid="{5CF41FE6-097B-4FCA-81B2-7F14BF47A483}" name="Column11613" dataDxfId="4741"/>
    <tableColumn id="11662" xr3:uid="{D324F04D-128A-44B2-98A4-542D5DDE752A}" name="Column11614" dataDxfId="4740"/>
    <tableColumn id="11663" xr3:uid="{5D4284D7-1C84-4204-BA65-17B25E416AD1}" name="Column11615" dataDxfId="4739"/>
    <tableColumn id="11664" xr3:uid="{A3CB7CDD-DEDE-4829-94FD-97C2064B8767}" name="Column11616" dataDxfId="4738"/>
    <tableColumn id="11665" xr3:uid="{47D19D3C-E12E-490B-91EA-4EDCD65D1578}" name="Column11617" dataDxfId="4737"/>
    <tableColumn id="11666" xr3:uid="{FE9983A8-5DC9-4990-A2C0-10F361B13134}" name="Column11618" dataDxfId="4736"/>
    <tableColumn id="11667" xr3:uid="{609C9149-3869-4E2B-8506-CFE193AB2B5C}" name="Column11619" dataDxfId="4735"/>
    <tableColumn id="11668" xr3:uid="{1A91BFD5-B0FA-49A8-9A6E-77A62F390C61}" name="Column11620" dataDxfId="4734"/>
    <tableColumn id="11669" xr3:uid="{2B12F464-A175-439B-9A7D-3A9B09DCA36B}" name="Column11621" dataDxfId="4733"/>
    <tableColumn id="11670" xr3:uid="{EF5A45BB-E340-42B4-A38E-45A91D061F09}" name="Column11622" dataDxfId="4732"/>
    <tableColumn id="11671" xr3:uid="{093C5387-EBD4-4418-9EA2-56F0AB561389}" name="Column11623" dataDxfId="4731"/>
    <tableColumn id="11672" xr3:uid="{9E275955-8DCA-4268-A238-3E8AAE138C76}" name="Column11624" dataDxfId="4730"/>
    <tableColumn id="11673" xr3:uid="{091D6D70-2B39-400E-A342-E6A19311A420}" name="Column11625" dataDxfId="4729"/>
    <tableColumn id="11674" xr3:uid="{BEBFC89A-DEDB-440E-9464-F174B568111B}" name="Column11626" dataDxfId="4728"/>
    <tableColumn id="11675" xr3:uid="{D3A6719B-1BC0-4F4D-AE2C-CDEEAFEC3768}" name="Column11627" dataDxfId="4727"/>
    <tableColumn id="11676" xr3:uid="{C556AD97-8ACA-461D-9B21-88B328B922B1}" name="Column11628" dataDxfId="4726"/>
    <tableColumn id="11677" xr3:uid="{980EC97E-F2E1-46EB-9453-FBAE1AFB90D0}" name="Column11629" dataDxfId="4725"/>
    <tableColumn id="11678" xr3:uid="{814599CA-D737-4B6D-BE87-A95EE9121603}" name="Column11630" dataDxfId="4724"/>
    <tableColumn id="11679" xr3:uid="{A021398E-E381-431E-98A0-3C6470B30773}" name="Column11631" dataDxfId="4723"/>
    <tableColumn id="11680" xr3:uid="{DD3C26F4-164B-4972-B9D3-0199E8B5A4A1}" name="Column11632" dataDxfId="4722"/>
    <tableColumn id="11681" xr3:uid="{EF85AED3-349F-44DC-A9D4-B6E7A5F18D61}" name="Column11633" dataDxfId="4721"/>
    <tableColumn id="11682" xr3:uid="{D44A6069-F5B6-4D68-B4F7-78A6AB5E2F83}" name="Column11634" dataDxfId="4720"/>
    <tableColumn id="11683" xr3:uid="{68B5D68A-2F26-441B-8FF2-EA1817A0598A}" name="Column11635" dataDxfId="4719"/>
    <tableColumn id="11684" xr3:uid="{0949E866-98DD-4C3F-8FF0-4DCCE6D9D68C}" name="Column11636" dataDxfId="4718"/>
    <tableColumn id="11685" xr3:uid="{F67CB182-4A92-4348-9BE6-2AEB953B7AAC}" name="Column11637" dataDxfId="4717"/>
    <tableColumn id="11686" xr3:uid="{245A258F-3B67-4EB8-8717-F78B1D1B1A26}" name="Column11638" dataDxfId="4716"/>
    <tableColumn id="11687" xr3:uid="{5B18FC9C-BD64-49DF-A379-A42969C974F2}" name="Column11639" dataDxfId="4715"/>
    <tableColumn id="11688" xr3:uid="{DBC9AD96-BC10-4A98-BD6C-733463F84A9C}" name="Column11640" dataDxfId="4714"/>
    <tableColumn id="11689" xr3:uid="{569EB62B-BA61-4C07-982C-1949D02FF74C}" name="Column11641" dataDxfId="4713"/>
    <tableColumn id="11690" xr3:uid="{205A8281-6239-4607-A766-AD9A53198E90}" name="Column11642" dataDxfId="4712"/>
    <tableColumn id="11691" xr3:uid="{0A6A5D8B-3CCC-44C8-A2DB-7C321D6F53B5}" name="Column11643" dataDxfId="4711"/>
    <tableColumn id="11692" xr3:uid="{53168509-7AA4-4CDA-AB15-1E694EA83F74}" name="Column11644" dataDxfId="4710"/>
    <tableColumn id="11693" xr3:uid="{1DB1B885-82FC-4B41-834F-6F7BEC99ACBB}" name="Column11645" dataDxfId="4709"/>
    <tableColumn id="11694" xr3:uid="{FA2914B5-1543-45EC-9ED5-43895B87CC28}" name="Column11646" dataDxfId="4708"/>
    <tableColumn id="11695" xr3:uid="{8AA8923C-597F-49AE-BE2C-73ED2F904125}" name="Column11647" dataDxfId="4707"/>
    <tableColumn id="11696" xr3:uid="{D0CBC8D7-3373-49D0-B0C9-EA9EF4DE1F7F}" name="Column11648" dataDxfId="4706"/>
    <tableColumn id="11697" xr3:uid="{914F2242-0269-4C45-897C-77952219A1D8}" name="Column11649" dataDxfId="4705"/>
    <tableColumn id="11698" xr3:uid="{914F28EF-73BD-4795-A073-C36F9C1A5C99}" name="Column11650" dataDxfId="4704"/>
    <tableColumn id="11699" xr3:uid="{DD3A8224-A96E-4F6C-AE07-EBD464652CCF}" name="Column11651" dataDxfId="4703"/>
    <tableColumn id="11700" xr3:uid="{FE7B48CD-7E69-42F9-A102-8A7BD903B8DA}" name="Column11652" dataDxfId="4702"/>
    <tableColumn id="11701" xr3:uid="{98A2CE2D-C482-4195-9A8D-CE1E23077886}" name="Column11653" dataDxfId="4701"/>
    <tableColumn id="11702" xr3:uid="{37EE6007-13A8-484A-B964-F860AACC6341}" name="Column11654" dataDxfId="4700"/>
    <tableColumn id="11703" xr3:uid="{BCBB57F9-EC1A-455B-B067-00382795B7EB}" name="Column11655" dataDxfId="4699"/>
    <tableColumn id="11704" xr3:uid="{7CC807CA-2217-43ED-9B65-83DA9549500F}" name="Column11656" dataDxfId="4698"/>
    <tableColumn id="11705" xr3:uid="{3688F06F-64B5-45B5-8064-93F41D9DC844}" name="Column11657" dataDxfId="4697"/>
    <tableColumn id="11706" xr3:uid="{A9BB86BF-BDBB-4C38-905F-88795118ECD5}" name="Column11658" dataDxfId="4696"/>
    <tableColumn id="11707" xr3:uid="{C87FC150-2B86-454F-ADDE-B7108683ACBE}" name="Column11659" dataDxfId="4695"/>
    <tableColumn id="11708" xr3:uid="{9E2C6B9B-77B6-4310-AF2A-2EC925FB8111}" name="Column11660" dataDxfId="4694"/>
    <tableColumn id="11709" xr3:uid="{2F67B7D7-D4E0-457C-8F2C-197904E46E33}" name="Column11661" dataDxfId="4693"/>
    <tableColumn id="11710" xr3:uid="{76A0BDEE-204D-4BF5-A82F-E852F39F02A5}" name="Column11662" dataDxfId="4692"/>
    <tableColumn id="11711" xr3:uid="{93103CD6-9050-4833-8178-8C6DB9BA79D9}" name="Column11663" dataDxfId="4691"/>
    <tableColumn id="11712" xr3:uid="{6857F052-4FDD-41B9-A01E-24A0EFFD635B}" name="Column11664" dataDxfId="4690"/>
    <tableColumn id="11713" xr3:uid="{EF4C49FD-8B60-4E6E-84D1-9887EA2491FD}" name="Column11665" dataDxfId="4689"/>
    <tableColumn id="11714" xr3:uid="{7C1FCCB2-1FEE-4DA0-B427-81E7D14CB7DB}" name="Column11666" dataDxfId="4688"/>
    <tableColumn id="11715" xr3:uid="{453D36FC-3B2B-4B58-A8B1-B656BF9F948F}" name="Column11667" dataDxfId="4687"/>
    <tableColumn id="11716" xr3:uid="{9CAA5A6E-8E3B-48C9-A264-65388FE1D238}" name="Column11668" dataDxfId="4686"/>
    <tableColumn id="11717" xr3:uid="{0B847B7D-664A-4E78-8C96-034AD4036F30}" name="Column11669" dataDxfId="4685"/>
    <tableColumn id="11718" xr3:uid="{65376E01-99BE-4F02-B003-BD7130391040}" name="Column11670" dataDxfId="4684"/>
    <tableColumn id="11719" xr3:uid="{F4B24309-36F3-4738-856C-9B4C166C1EFD}" name="Column11671" dataDxfId="4683"/>
    <tableColumn id="11720" xr3:uid="{0D661039-9A82-47F7-AB7D-9FB75185EDF9}" name="Column11672" dataDxfId="4682"/>
    <tableColumn id="11721" xr3:uid="{0E93991A-B326-4A6A-A671-5EFCC1816806}" name="Column11673" dataDxfId="4681"/>
    <tableColumn id="11722" xr3:uid="{124E6122-BA67-44AF-8331-9B6751199A97}" name="Column11674" dataDxfId="4680"/>
    <tableColumn id="11723" xr3:uid="{A468FEDE-D322-4F02-A82C-2413EF1A5D91}" name="Column11675" dataDxfId="4679"/>
    <tableColumn id="11724" xr3:uid="{DA0FB6CC-1409-48CC-8E01-A7BC78CAEA57}" name="Column11676" dataDxfId="4678"/>
    <tableColumn id="11725" xr3:uid="{6A07AA61-CCA5-4D7B-9FD2-46D42357FAEE}" name="Column11677" dataDxfId="4677"/>
    <tableColumn id="11726" xr3:uid="{0508E684-B9E0-4743-94FC-12D3F2A3A7B9}" name="Column11678" dataDxfId="4676"/>
    <tableColumn id="11727" xr3:uid="{344D257D-ACB5-4A3F-B2EA-7CBF4BA985C1}" name="Column11679" dataDxfId="4675"/>
    <tableColumn id="11728" xr3:uid="{E33C6CBC-5327-45DA-A623-6722316392A2}" name="Column11680" dataDxfId="4674"/>
    <tableColumn id="11729" xr3:uid="{F4D0296C-3D4C-45A0-A7FF-5C650DF3C5EE}" name="Column11681" dataDxfId="4673"/>
    <tableColumn id="11730" xr3:uid="{F48EFF22-BFBF-4B04-B189-7968B9013F34}" name="Column11682" dataDxfId="4672"/>
    <tableColumn id="11731" xr3:uid="{B22E0F5C-62AC-43EF-8F8A-59B7CF61D4BF}" name="Column11683" dataDxfId="4671"/>
    <tableColumn id="11732" xr3:uid="{A609EA3F-6F5E-46BC-89D3-429F6EB9D3C5}" name="Column11684" dataDxfId="4670"/>
    <tableColumn id="11733" xr3:uid="{36C939CE-9C5D-465C-BF7D-38B94133F125}" name="Column11685" dataDxfId="4669"/>
    <tableColumn id="11734" xr3:uid="{1EC00C2A-FB9C-4769-9B91-820305438AF0}" name="Column11686" dataDxfId="4668"/>
    <tableColumn id="11735" xr3:uid="{776117A9-CD7B-45C7-BCA8-B90F7205B0FD}" name="Column11687" dataDxfId="4667"/>
    <tableColumn id="11736" xr3:uid="{B40597B4-717C-4FB7-A9A6-0D30A68BC647}" name="Column11688" dataDxfId="4666"/>
    <tableColumn id="11737" xr3:uid="{E1738D17-0F5F-4044-A347-7FA0C29F6360}" name="Column11689" dataDxfId="4665"/>
    <tableColumn id="11738" xr3:uid="{0DF54C0B-2762-4248-BE44-465EA355D1A9}" name="Column11690" dataDxfId="4664"/>
    <tableColumn id="11739" xr3:uid="{545ED5AB-4E01-4C31-9A57-448F1ADFC77A}" name="Column11691" dataDxfId="4663"/>
    <tableColumn id="11740" xr3:uid="{0A424DC1-B78F-4F5A-AB61-4B63C32A961C}" name="Column11692" dataDxfId="4662"/>
    <tableColumn id="11741" xr3:uid="{CA58E60F-EA87-4074-B333-40C807EA542B}" name="Column11693" dataDxfId="4661"/>
    <tableColumn id="11742" xr3:uid="{80B19454-1348-4925-B318-FD12C158C1BE}" name="Column11694" dataDxfId="4660"/>
    <tableColumn id="11743" xr3:uid="{FDD9E80F-B075-4D9F-A9BD-9DAE11F07C97}" name="Column11695" dataDxfId="4659"/>
    <tableColumn id="11744" xr3:uid="{E32B53C1-9251-4F61-AC9C-F65F6A5D41BA}" name="Column11696" dataDxfId="4658"/>
    <tableColumn id="11745" xr3:uid="{C879C385-4030-406C-8A3A-951464CE2CDD}" name="Column11697" dataDxfId="4657"/>
    <tableColumn id="11746" xr3:uid="{D802DDCD-305A-47D9-9FC6-736EC8BA2A77}" name="Column11698" dataDxfId="4656"/>
    <tableColumn id="11747" xr3:uid="{50F84156-6034-4985-84BF-48695B1C49CF}" name="Column11699" dataDxfId="4655"/>
    <tableColumn id="11748" xr3:uid="{BCAD6664-5180-401D-9547-2D27C1DAD362}" name="Column11700" dataDxfId="4654"/>
    <tableColumn id="11749" xr3:uid="{DA6194A3-68AE-4C89-988A-5FD38FE82C09}" name="Column11701" dataDxfId="4653"/>
    <tableColumn id="11750" xr3:uid="{CAC51601-7EFA-44ED-9A78-5EA7BE2534CF}" name="Column11702" dataDxfId="4652"/>
    <tableColumn id="11751" xr3:uid="{FB3F4573-8314-4699-B827-55BFA4E94201}" name="Column11703" dataDxfId="4651"/>
    <tableColumn id="11752" xr3:uid="{0F54CEE7-D95F-4194-B03C-2FDE524528D8}" name="Column11704" dataDxfId="4650"/>
    <tableColumn id="11753" xr3:uid="{C8F9DAB4-3C1C-4A74-92E7-47CA9CDA6756}" name="Column11705" dataDxfId="4649"/>
    <tableColumn id="11754" xr3:uid="{4EEE96A7-FB87-4329-ADEE-4A816A5AA542}" name="Column11706" dataDxfId="4648"/>
    <tableColumn id="11755" xr3:uid="{F919905B-31A3-4A85-B24E-1B4EA059B787}" name="Column11707" dataDxfId="4647"/>
    <tableColumn id="11756" xr3:uid="{77339AFA-5848-403A-8240-870AFCBC4C4F}" name="Column11708" dataDxfId="4646"/>
    <tableColumn id="11757" xr3:uid="{9D04473E-C527-4F29-9B79-FEB6C4EFC8EB}" name="Column11709" dataDxfId="4645"/>
    <tableColumn id="11758" xr3:uid="{439A2EA1-6595-42E0-A1C7-8F7B31450A62}" name="Column11710" dataDxfId="4644"/>
    <tableColumn id="11759" xr3:uid="{9D8A62ED-F581-474E-9C39-1C90F38987B6}" name="Column11711" dataDxfId="4643"/>
    <tableColumn id="11760" xr3:uid="{155DCA0B-7A2F-4584-ADC2-D3194299E1D2}" name="Column11712" dataDxfId="4642"/>
    <tableColumn id="11761" xr3:uid="{57C8291C-9FFB-43CD-92B3-8916DC99F86D}" name="Column11713" dataDxfId="4641"/>
    <tableColumn id="11762" xr3:uid="{DB2E35F4-2C1B-4EB6-A02D-E303A0661CE2}" name="Column11714" dataDxfId="4640"/>
    <tableColumn id="11763" xr3:uid="{0A69D963-9BF9-4191-B020-3BA662685D0E}" name="Column11715" dataDxfId="4639"/>
    <tableColumn id="11764" xr3:uid="{96281B4D-76CA-408D-8B50-1BDA565D030B}" name="Column11716" dataDxfId="4638"/>
    <tableColumn id="11765" xr3:uid="{952DCBB6-B368-4158-B4C0-25ED8B26A46E}" name="Column11717" dataDxfId="4637"/>
    <tableColumn id="11766" xr3:uid="{125B2FA6-E506-4AC1-BA66-5F5D2D43787E}" name="Column11718" dataDxfId="4636"/>
    <tableColumn id="11767" xr3:uid="{6C144F4F-F054-47EB-B108-1F4C773FD6FD}" name="Column11719" dataDxfId="4635"/>
    <tableColumn id="11768" xr3:uid="{E141F5EE-F694-4AEC-8A67-82CE442DE739}" name="Column11720" dataDxfId="4634"/>
    <tableColumn id="11769" xr3:uid="{5EB5B0F7-1396-4F64-972A-E224D1E7C27E}" name="Column11721" dataDxfId="4633"/>
    <tableColumn id="11770" xr3:uid="{EE4B68A9-E919-4174-A4BB-4189E8FF0C91}" name="Column11722" dataDxfId="4632"/>
    <tableColumn id="11771" xr3:uid="{BB8FB90C-5DAB-487E-AD53-D6BAE9584398}" name="Column11723" dataDxfId="4631"/>
    <tableColumn id="11772" xr3:uid="{C33935A6-5ACC-45E4-A711-1A032356DA92}" name="Column11724" dataDxfId="4630"/>
    <tableColumn id="11773" xr3:uid="{7162151E-E105-4355-8842-7C9AFAC2FB1A}" name="Column11725" dataDxfId="4629"/>
    <tableColumn id="11774" xr3:uid="{BB4B8852-83EF-48EB-BA76-E3FEC8498726}" name="Column11726" dataDxfId="4628"/>
    <tableColumn id="11775" xr3:uid="{14F91168-6D6F-4F5D-96B2-36B1CF2FAC74}" name="Column11727" dataDxfId="4627"/>
    <tableColumn id="11776" xr3:uid="{32FCD66B-6394-479C-9BA4-EF0E15DFB926}" name="Column11728" dataDxfId="4626"/>
    <tableColumn id="11777" xr3:uid="{0120A467-4295-4A48-AD93-4A47510C6C06}" name="Column11729" dataDxfId="4625"/>
    <tableColumn id="11778" xr3:uid="{F8666C1A-3C9B-4876-8532-3D2AC06C3FC2}" name="Column11730" dataDxfId="4624"/>
    <tableColumn id="11779" xr3:uid="{4BFB0AAA-1CCB-434A-930B-F000D8DC0506}" name="Column11731" dataDxfId="4623"/>
    <tableColumn id="11780" xr3:uid="{E3AE5557-CC42-45F4-AA7D-FE15509B5A07}" name="Column11732" dataDxfId="4622"/>
    <tableColumn id="11781" xr3:uid="{0B1A3F9A-4C20-44C8-971D-D8AC98421DBD}" name="Column11733" dataDxfId="4621"/>
    <tableColumn id="11782" xr3:uid="{3C1FBC96-6F7F-4D4B-9D81-99A046999521}" name="Column11734" dataDxfId="4620"/>
    <tableColumn id="11783" xr3:uid="{65C742AC-43A8-4883-9601-1AA85E087761}" name="Column11735" dataDxfId="4619"/>
    <tableColumn id="11784" xr3:uid="{15AA2456-BA07-48D5-9868-87F4BE7FEE14}" name="Column11736" dataDxfId="4618"/>
    <tableColumn id="11785" xr3:uid="{EB9B3BAD-1662-43DB-96C0-C523CD77224C}" name="Column11737" dataDxfId="4617"/>
    <tableColumn id="11786" xr3:uid="{26B0C835-C330-4E2E-A08A-231137607489}" name="Column11738" dataDxfId="4616"/>
    <tableColumn id="11787" xr3:uid="{B6556F26-3E16-4F46-B126-6EC5AF38245C}" name="Column11739" dataDxfId="4615"/>
    <tableColumn id="11788" xr3:uid="{C5D3F66B-D217-419E-A467-35F7333FD1E4}" name="Column11740" dataDxfId="4614"/>
    <tableColumn id="11789" xr3:uid="{A46ACB87-AF6F-463B-828A-73DF6F91A301}" name="Column11741" dataDxfId="4613"/>
    <tableColumn id="11790" xr3:uid="{D774B815-740E-4AC7-BC92-751963E25FF5}" name="Column11742" dataDxfId="4612"/>
    <tableColumn id="11791" xr3:uid="{18337C93-0930-4BC7-884C-CC668D043FF8}" name="Column11743" dataDxfId="4611"/>
    <tableColumn id="11792" xr3:uid="{4CB1E55A-98E5-4B5B-9345-BC769899187A}" name="Column11744" dataDxfId="4610"/>
    <tableColumn id="11793" xr3:uid="{EDCC88DC-42A5-4687-AC81-28ED63E72414}" name="Column11745" dataDxfId="4609"/>
    <tableColumn id="11794" xr3:uid="{95D7F82F-BA4C-43EE-94E0-0E2CB8AF5FD8}" name="Column11746" dataDxfId="4608"/>
    <tableColumn id="11795" xr3:uid="{8893E4F9-3A15-42BE-81E3-D072F395F566}" name="Column11747" dataDxfId="4607"/>
    <tableColumn id="11796" xr3:uid="{2478B5D0-98EB-45A1-B4A8-9112AD6899B7}" name="Column11748" dataDxfId="4606"/>
    <tableColumn id="11797" xr3:uid="{4D985414-9EF0-47D0-8403-235AD255BA7F}" name="Column11749" dataDxfId="4605"/>
    <tableColumn id="11798" xr3:uid="{626A39AE-06EF-4850-A2F5-77103F7C2EDC}" name="Column11750" dataDxfId="4604"/>
    <tableColumn id="11799" xr3:uid="{963F8A8B-1C3C-49E0-AA28-38CE3D88B6F0}" name="Column11751" dataDxfId="4603"/>
    <tableColumn id="11800" xr3:uid="{B9310FD8-2D0C-47FF-B7D5-6395BCD681FA}" name="Column11752" dataDxfId="4602"/>
    <tableColumn id="11801" xr3:uid="{E739ADE7-4649-467A-AD5A-B1D145FF0B32}" name="Column11753" dataDxfId="4601"/>
    <tableColumn id="11802" xr3:uid="{F2D2737A-0923-46D5-9808-601B919A8C52}" name="Column11754" dataDxfId="4600"/>
    <tableColumn id="11803" xr3:uid="{A36C4395-75B7-4E69-8DA3-F63DDC646E4E}" name="Column11755" dataDxfId="4599"/>
    <tableColumn id="11804" xr3:uid="{F49FF332-4833-4B96-A4D6-E2DE07CF5EF3}" name="Column11756" dataDxfId="4598"/>
    <tableColumn id="11805" xr3:uid="{8874A75A-D27E-4BFE-B608-14E180F943DD}" name="Column11757" dataDxfId="4597"/>
    <tableColumn id="11806" xr3:uid="{2C4B4FCC-2A1D-4CE6-88CC-F2EBD644D5F2}" name="Column11758" dataDxfId="4596"/>
    <tableColumn id="11807" xr3:uid="{AFF3402C-53D1-4F76-B9BD-F9BFD2D8BAAD}" name="Column11759" dataDxfId="4595"/>
    <tableColumn id="11808" xr3:uid="{08F5E709-6257-4E0B-BCEB-298CED8F7F08}" name="Column11760" dataDxfId="4594"/>
    <tableColumn id="11809" xr3:uid="{5C29D9A1-9A82-4D4A-AB73-D7FC2B449DF0}" name="Column11761" dataDxfId="4593"/>
    <tableColumn id="11810" xr3:uid="{E40142C1-B16D-4AFA-84CF-CD5D6B7C446B}" name="Column11762" dataDxfId="4592"/>
    <tableColumn id="11811" xr3:uid="{63F03B9E-D4E3-40BD-8630-794D06DC8CDB}" name="Column11763" dataDxfId="4591"/>
    <tableColumn id="11812" xr3:uid="{0185EAE6-38CC-4EC7-88FE-CA7064C25993}" name="Column11764" dataDxfId="4590"/>
    <tableColumn id="11813" xr3:uid="{7816338D-9CD2-4D3D-86FE-B2961A00C689}" name="Column11765" dataDxfId="4589"/>
    <tableColumn id="11814" xr3:uid="{155F1C09-8688-4659-AA78-56053A0E2779}" name="Column11766" dataDxfId="4588"/>
    <tableColumn id="11815" xr3:uid="{5EB94853-1DA4-4A2D-BB01-6D3242188F15}" name="Column11767" dataDxfId="4587"/>
    <tableColumn id="11816" xr3:uid="{94EC9EB3-3537-49B5-98F6-D1B4948D9F51}" name="Column11768" dataDxfId="4586"/>
    <tableColumn id="11817" xr3:uid="{D0B29E29-8064-47B3-8F6C-45301AA376BD}" name="Column11769" dataDxfId="4585"/>
    <tableColumn id="11818" xr3:uid="{8384CFFB-0FF6-439F-8675-FAF313D8A573}" name="Column11770" dataDxfId="4584"/>
    <tableColumn id="11819" xr3:uid="{B4D4F6FD-EDD1-40BF-9C83-8402A3F746D9}" name="Column11771" dataDxfId="4583"/>
    <tableColumn id="11820" xr3:uid="{87F16AD7-C7D1-4F0C-AA8B-99DE76E3A548}" name="Column11772" dataDxfId="4582"/>
    <tableColumn id="11821" xr3:uid="{7D4FDBEF-5F68-4CC7-9211-D5EB624362EB}" name="Column11773" dataDxfId="4581"/>
    <tableColumn id="11822" xr3:uid="{0A8F237C-AA38-4EA9-ACFD-C6D64437E5C0}" name="Column11774" dataDxfId="4580"/>
    <tableColumn id="11823" xr3:uid="{5A09E8D1-16BC-4B5F-87DF-44ACD8F59EAF}" name="Column11775" dataDxfId="4579"/>
    <tableColumn id="11824" xr3:uid="{7D1DD7D6-4B3C-463D-B668-AB2572AB9835}" name="Column11776" dataDxfId="4578"/>
    <tableColumn id="11825" xr3:uid="{C6B47CE0-18E4-49F7-BC81-CB98542D398A}" name="Column11777" dataDxfId="4577"/>
    <tableColumn id="11826" xr3:uid="{1256397A-5349-4ED0-937F-282618D2CC8A}" name="Column11778" dataDxfId="4576"/>
    <tableColumn id="11827" xr3:uid="{657F5452-3F90-4C31-8D2D-CF813F1BFBBF}" name="Column11779" dataDxfId="4575"/>
    <tableColumn id="11828" xr3:uid="{BC30C121-4C2C-4F54-9271-2C39D0FB3E6B}" name="Column11780" dataDxfId="4574"/>
    <tableColumn id="11829" xr3:uid="{2C6EAD8F-7B52-49BA-8707-DB3F93F15F27}" name="Column11781" dataDxfId="4573"/>
    <tableColumn id="11830" xr3:uid="{2A1E2702-EF5B-4FBF-986B-5E84552D5D24}" name="Column11782" dataDxfId="4572"/>
    <tableColumn id="11831" xr3:uid="{DAEFD91E-2272-440B-A8A8-49D22DF7B73F}" name="Column11783" dataDxfId="4571"/>
    <tableColumn id="11832" xr3:uid="{D03EA268-9B92-49CD-B914-A8DC7E61279F}" name="Column11784" dataDxfId="4570"/>
    <tableColumn id="11833" xr3:uid="{8E0DA224-55F2-45F3-888E-4EDE95D8AF21}" name="Column11785" dataDxfId="4569"/>
    <tableColumn id="11834" xr3:uid="{A8565BF3-E16C-4172-B57A-628E95FF5EC7}" name="Column11786" dataDxfId="4568"/>
    <tableColumn id="11835" xr3:uid="{B6CAEB43-3C2D-480C-9071-2377AEA30601}" name="Column11787" dataDxfId="4567"/>
    <tableColumn id="11836" xr3:uid="{111F1618-0345-4C0F-B2AF-5CC54F16D0AF}" name="Column11788" dataDxfId="4566"/>
    <tableColumn id="11837" xr3:uid="{9C5555D3-82AB-415E-8E43-7CEFD74AA34C}" name="Column11789" dataDxfId="4565"/>
    <tableColumn id="11838" xr3:uid="{AD2928A5-9C7D-48CD-898D-2674CD509092}" name="Column11790" dataDxfId="4564"/>
    <tableColumn id="11839" xr3:uid="{24BE9E92-8B30-4CA7-9179-BCE0D0FD8BB3}" name="Column11791" dataDxfId="4563"/>
    <tableColumn id="11840" xr3:uid="{FC10DB78-558A-4595-B7F7-51AA736FFDA8}" name="Column11792" dataDxfId="4562"/>
    <tableColumn id="11841" xr3:uid="{254BA3CC-9D97-48AE-BF96-4633BFB92C7D}" name="Column11793" dataDxfId="4561"/>
    <tableColumn id="11842" xr3:uid="{766805CB-65C9-43B5-84CB-FDBD308F8FBC}" name="Column11794" dataDxfId="4560"/>
    <tableColumn id="11843" xr3:uid="{BEBB93AC-8CC6-4053-9E51-AA9231A696C0}" name="Column11795" dataDxfId="4559"/>
    <tableColumn id="11844" xr3:uid="{C3A33D97-9888-44C7-B2D3-ECC720B7CD36}" name="Column11796" dataDxfId="4558"/>
    <tableColumn id="11845" xr3:uid="{C10F2D3E-A27B-4465-B632-6E0B82D907A9}" name="Column11797" dataDxfId="4557"/>
    <tableColumn id="11846" xr3:uid="{22B7FBB6-EA3B-4480-9E49-1DBF144946C0}" name="Column11798" dataDxfId="4556"/>
    <tableColumn id="11847" xr3:uid="{049F1783-7EA3-46FC-8CD8-46BBC8058A97}" name="Column11799" dataDxfId="4555"/>
    <tableColumn id="11848" xr3:uid="{D16DA5AA-1B27-472C-BCAE-0D7DE45380B4}" name="Column11800" dataDxfId="4554"/>
    <tableColumn id="11849" xr3:uid="{0C5A113D-DCDE-4796-AD36-39AACC95501F}" name="Column11801" dataDxfId="4553"/>
    <tableColumn id="11850" xr3:uid="{1FA22454-7E15-407B-82D5-2702EA65A699}" name="Column11802" dataDxfId="4552"/>
    <tableColumn id="11851" xr3:uid="{EE135A77-FCB2-462F-B65F-29B18F687700}" name="Column11803" dataDxfId="4551"/>
    <tableColumn id="11852" xr3:uid="{FD0E3F77-0DF9-44DE-8488-7E07CF501D73}" name="Column11804" dataDxfId="4550"/>
    <tableColumn id="11853" xr3:uid="{B8D6A25C-64B9-4684-910F-482D159748D3}" name="Column11805" dataDxfId="4549"/>
    <tableColumn id="11854" xr3:uid="{6868D4AB-4C46-448C-98B4-381323DF95CF}" name="Column11806" dataDxfId="4548"/>
    <tableColumn id="11855" xr3:uid="{9CE0B7CB-B284-479B-9030-5699F69223F9}" name="Column11807" dataDxfId="4547"/>
    <tableColumn id="11856" xr3:uid="{4B1260FF-43D6-4E1C-95C4-C9793FB22C1F}" name="Column11808" dataDxfId="4546"/>
    <tableColumn id="11857" xr3:uid="{69FE75DB-0DCD-413A-97DD-D1D5BC66DC63}" name="Column11809" dataDxfId="4545"/>
    <tableColumn id="11858" xr3:uid="{C64E7F00-D54B-4E2D-A59B-2049CD55A608}" name="Column11810" dataDxfId="4544"/>
    <tableColumn id="11859" xr3:uid="{717AD06F-CF40-443A-BFBB-3691C83325BA}" name="Column11811" dataDxfId="4543"/>
    <tableColumn id="11860" xr3:uid="{48B3CE58-EE93-4A8A-A5D5-A77D5D74BD4E}" name="Column11812" dataDxfId="4542"/>
    <tableColumn id="11861" xr3:uid="{60AD3CF5-F842-4DC8-82E0-01A6A531A67F}" name="Column11813" dataDxfId="4541"/>
    <tableColumn id="11862" xr3:uid="{7E037698-DA28-4A7D-AB64-15E756F954DB}" name="Column11814" dataDxfId="4540"/>
    <tableColumn id="11863" xr3:uid="{C9A6BB56-0B7B-4A8D-B0DA-6D673F98A546}" name="Column11815" dataDxfId="4539"/>
    <tableColumn id="11864" xr3:uid="{5BCE0C3C-AE44-47D5-97E3-A3105EE9CF33}" name="Column11816" dataDxfId="4538"/>
    <tableColumn id="11865" xr3:uid="{004D0020-A756-4BDA-81B3-B573E97E1D7F}" name="Column11817" dataDxfId="4537"/>
    <tableColumn id="11866" xr3:uid="{E5A9A7B6-24EF-473F-868E-EEAB08974728}" name="Column11818" dataDxfId="4536"/>
    <tableColumn id="11867" xr3:uid="{B7F2DEAB-8850-41DB-80F3-FB80CDFDEB14}" name="Column11819" dataDxfId="4535"/>
    <tableColumn id="11868" xr3:uid="{54AA69A0-CFFE-404A-94BD-431C3EAC2D6E}" name="Column11820" dataDxfId="4534"/>
    <tableColumn id="11869" xr3:uid="{0237D3F0-C535-4694-B9E9-1EDE1EC177FC}" name="Column11821" dataDxfId="4533"/>
    <tableColumn id="11870" xr3:uid="{19732AC1-19E0-4BCF-88D1-E3E6510A4F4D}" name="Column11822" dataDxfId="4532"/>
    <tableColumn id="11871" xr3:uid="{98C12DE5-EFE9-410E-ABFD-970F05F72A24}" name="Column11823" dataDxfId="4531"/>
    <tableColumn id="11872" xr3:uid="{648B5F8C-072A-4D25-909F-FEA0EC84B138}" name="Column11824" dataDxfId="4530"/>
    <tableColumn id="11873" xr3:uid="{FF602163-2351-4C33-99DB-97DAAB19B362}" name="Column11825" dataDxfId="4529"/>
    <tableColumn id="11874" xr3:uid="{110E5A68-5591-4DCF-BCB3-3C20EBCB0F4B}" name="Column11826" dataDxfId="4528"/>
    <tableColumn id="11875" xr3:uid="{EC532435-BC99-4219-8B4C-BC70B5CA1286}" name="Column11827" dataDxfId="4527"/>
    <tableColumn id="11876" xr3:uid="{CABBD315-BAD5-4CBB-9AB0-4DBE0174D1EE}" name="Column11828" dataDxfId="4526"/>
    <tableColumn id="11877" xr3:uid="{AE3D1D70-6480-4E8E-99D1-9B76704D7751}" name="Column11829" dataDxfId="4525"/>
    <tableColumn id="11878" xr3:uid="{32580D7C-67A1-4F6A-A761-9912BE490B2B}" name="Column11830" dataDxfId="4524"/>
    <tableColumn id="11879" xr3:uid="{00E9C953-9B8F-4AA2-91EF-F46DD3C57FDB}" name="Column11831" dataDxfId="4523"/>
    <tableColumn id="11880" xr3:uid="{4ED377D4-F67F-4771-94F3-770CD3C94648}" name="Column11832" dataDxfId="4522"/>
    <tableColumn id="11881" xr3:uid="{3846CDC0-E10F-4B57-9C5E-9B500E3339A1}" name="Column11833" dataDxfId="4521"/>
    <tableColumn id="11882" xr3:uid="{4BD8C50E-2EA1-40EA-8A92-BE4F5C112625}" name="Column11834" dataDxfId="4520"/>
    <tableColumn id="11883" xr3:uid="{A07D0DEC-E935-4D8A-982B-52850EC97B23}" name="Column11835" dataDxfId="4519"/>
    <tableColumn id="11884" xr3:uid="{848FEB5D-B912-4538-83FF-CCFE37D27CE1}" name="Column11836" dataDxfId="4518"/>
    <tableColumn id="11885" xr3:uid="{B336CA19-4C32-4395-842E-71068788BE80}" name="Column11837" dataDxfId="4517"/>
    <tableColumn id="11886" xr3:uid="{FC813C84-1B79-4107-9332-7638DD888414}" name="Column11838" dataDxfId="4516"/>
    <tableColumn id="11887" xr3:uid="{D84E1229-C08A-43E4-BE52-1351807F4B97}" name="Column11839" dataDxfId="4515"/>
    <tableColumn id="11888" xr3:uid="{91EAFD54-B321-4DC9-BB4F-C012D5C3F119}" name="Column11840" dataDxfId="4514"/>
    <tableColumn id="11889" xr3:uid="{A5CE15A0-C727-4457-A318-73A4211C4D5E}" name="Column11841" dataDxfId="4513"/>
    <tableColumn id="11890" xr3:uid="{8ECFAC80-F4D4-489F-BD1E-E078486A3BF8}" name="Column11842" dataDxfId="4512"/>
    <tableColumn id="11891" xr3:uid="{8C0B4064-DF06-4452-9BF9-39F7D853C47E}" name="Column11843" dataDxfId="4511"/>
    <tableColumn id="11892" xr3:uid="{384DAA84-6CA6-4446-A837-959A953B82CE}" name="Column11844" dataDxfId="4510"/>
    <tableColumn id="11893" xr3:uid="{B19E70ED-D82B-4FF6-A7D0-312E05996E97}" name="Column11845" dataDxfId="4509"/>
    <tableColumn id="11894" xr3:uid="{F0DA2BA8-BD11-465B-AE5E-9E65966062A7}" name="Column11846" dataDxfId="4508"/>
    <tableColumn id="11895" xr3:uid="{2DE6AE4F-2976-451D-AB3A-BD808CF00A12}" name="Column11847" dataDxfId="4507"/>
    <tableColumn id="11896" xr3:uid="{0FA37839-22E2-4D5F-9A47-8E83F883E4B8}" name="Column11848" dataDxfId="4506"/>
    <tableColumn id="11897" xr3:uid="{39A855E1-7332-4634-98E4-E4D5AFB7459E}" name="Column11849" dataDxfId="4505"/>
    <tableColumn id="11898" xr3:uid="{39DD8860-D786-48D7-B600-DFDFD707B0C0}" name="Column11850" dataDxfId="4504"/>
    <tableColumn id="11899" xr3:uid="{21FD4D2F-BB55-45E7-B696-29F378154D18}" name="Column11851" dataDxfId="4503"/>
    <tableColumn id="11900" xr3:uid="{DAD077B4-1131-4D34-8305-6B361E3D6D30}" name="Column11852" dataDxfId="4502"/>
    <tableColumn id="11901" xr3:uid="{A6FA2518-CDB7-4EE1-8029-0F872DBA0D7D}" name="Column11853" dataDxfId="4501"/>
    <tableColumn id="11902" xr3:uid="{E4CEEA88-D060-48D4-9918-4382E08CF0EC}" name="Column11854" dataDxfId="4500"/>
    <tableColumn id="11903" xr3:uid="{387C5248-0D0D-4484-8852-6F2B8FD73B0E}" name="Column11855" dataDxfId="4499"/>
    <tableColumn id="11904" xr3:uid="{6B07557B-EA76-404F-AF8C-584EA2D2984B}" name="Column11856" dataDxfId="4498"/>
    <tableColumn id="11905" xr3:uid="{34BEB710-3708-43EC-8799-1BFAE1F6A9BD}" name="Column11857" dataDxfId="4497"/>
    <tableColumn id="11906" xr3:uid="{DDAF3E40-AF6B-4259-A088-DCBE69669C8A}" name="Column11858" dataDxfId="4496"/>
    <tableColumn id="11907" xr3:uid="{BE3EF18A-4A3B-4DA9-9DFD-CAA7F4DEE97B}" name="Column11859" dataDxfId="4495"/>
    <tableColumn id="11908" xr3:uid="{4B749E45-8831-42F1-A4D9-2B932278FBB1}" name="Column11860" dataDxfId="4494"/>
    <tableColumn id="11909" xr3:uid="{B81F55EB-9DF2-42E7-B510-CEC14173FBD7}" name="Column11861" dataDxfId="4493"/>
    <tableColumn id="11910" xr3:uid="{7F1AD3E5-5BF4-4321-83BC-F5E147C2904A}" name="Column11862" dataDxfId="4492"/>
    <tableColumn id="11911" xr3:uid="{D59729F0-F5B1-4511-A119-6A1B7277683C}" name="Column11863" dataDxfId="4491"/>
    <tableColumn id="11912" xr3:uid="{EB83A4A0-06C9-4EED-88B5-FAAF20210676}" name="Column11864" dataDxfId="4490"/>
    <tableColumn id="11913" xr3:uid="{BD4896EE-8377-4ADC-83C5-84CAF4E3FDAB}" name="Column11865" dataDxfId="4489"/>
    <tableColumn id="11914" xr3:uid="{809148A6-E378-48A8-91D7-24AA5CCCD4F9}" name="Column11866" dataDxfId="4488"/>
    <tableColumn id="11915" xr3:uid="{8401E9DF-285C-4B2D-ADEF-DAC8F4B6E419}" name="Column11867" dataDxfId="4487"/>
    <tableColumn id="11916" xr3:uid="{7392E591-D471-4A2F-BAE2-BB744837CEEF}" name="Column11868" dataDxfId="4486"/>
    <tableColumn id="11917" xr3:uid="{8061042B-0993-4AB0-810B-865A24F97962}" name="Column11869" dataDxfId="4485"/>
    <tableColumn id="11918" xr3:uid="{86AEF1CA-93FE-48E4-B5FE-F4A76243C08C}" name="Column11870" dataDxfId="4484"/>
    <tableColumn id="11919" xr3:uid="{B36213C3-8FEE-43D8-9A27-A164D55CAC74}" name="Column11871" dataDxfId="4483"/>
    <tableColumn id="11920" xr3:uid="{DD48D42D-AF04-4522-A470-85DDB0B1AC50}" name="Column11872" dataDxfId="4482"/>
    <tableColumn id="11921" xr3:uid="{86BDCD75-6A47-4D0D-841B-E864A726144F}" name="Column11873" dataDxfId="4481"/>
    <tableColumn id="11922" xr3:uid="{30429FB9-6F19-4B3D-81D4-01EB85AE4BE5}" name="Column11874" dataDxfId="4480"/>
    <tableColumn id="11923" xr3:uid="{314A1767-1FD2-4676-A7BD-47907103E794}" name="Column11875" dataDxfId="4479"/>
    <tableColumn id="11924" xr3:uid="{952447A4-816B-41DC-86B4-A63156ADDBC7}" name="Column11876" dataDxfId="4478"/>
    <tableColumn id="11925" xr3:uid="{E3F687CC-0099-400C-9981-A674DA5465B6}" name="Column11877" dataDxfId="4477"/>
    <tableColumn id="11926" xr3:uid="{9391C625-9C03-484B-9CC7-0A66024F2F4D}" name="Column11878" dataDxfId="4476"/>
    <tableColumn id="11927" xr3:uid="{EE40979D-931A-47E8-A43E-DF730BA629FB}" name="Column11879" dataDxfId="4475"/>
    <tableColumn id="11928" xr3:uid="{64678012-9C1D-4917-BFF6-58945BD40158}" name="Column11880" dataDxfId="4474"/>
    <tableColumn id="11929" xr3:uid="{142884B7-B0BF-4935-AED8-3753B9FD6910}" name="Column11881" dataDxfId="4473"/>
    <tableColumn id="11930" xr3:uid="{39FF2113-91B7-44D7-BDC3-6557FFC4A7CF}" name="Column11882" dataDxfId="4472"/>
    <tableColumn id="11931" xr3:uid="{F4CEB2E7-1603-4B70-8BAF-FCD0232D6C55}" name="Column11883" dataDxfId="4471"/>
    <tableColumn id="11932" xr3:uid="{6894EC12-A0D9-457B-A8E3-6EA9A9055010}" name="Column11884" dataDxfId="4470"/>
    <tableColumn id="11933" xr3:uid="{C439CF76-6DF0-4700-830E-057DBEA51F6C}" name="Column11885" dataDxfId="4469"/>
    <tableColumn id="11934" xr3:uid="{482A4E24-7BA6-4263-A0DE-2B5122FB64FB}" name="Column11886" dataDxfId="4468"/>
    <tableColumn id="11935" xr3:uid="{2343EBDC-8D60-4299-80CE-CED57D9E4A59}" name="Column11887" dataDxfId="4467"/>
    <tableColumn id="11936" xr3:uid="{05626E70-6991-4652-B63B-D9CD58F1279F}" name="Column11888" dataDxfId="4466"/>
    <tableColumn id="11937" xr3:uid="{B3D9C5C5-46A4-40EE-AC90-EF28128907EE}" name="Column11889" dataDxfId="4465"/>
    <tableColumn id="11938" xr3:uid="{7E112022-FA81-4DDE-B9AB-4602479D594C}" name="Column11890" dataDxfId="4464"/>
    <tableColumn id="11939" xr3:uid="{0D5066F9-C3AC-44CD-98AA-63E132B52BEE}" name="Column11891" dataDxfId="4463"/>
    <tableColumn id="11940" xr3:uid="{7E66C41F-2541-4729-95EE-84B255174C53}" name="Column11892" dataDxfId="4462"/>
    <tableColumn id="11941" xr3:uid="{FB7F6ED9-CE7B-4670-8093-CC32AD1EF763}" name="Column11893" dataDxfId="4461"/>
    <tableColumn id="11942" xr3:uid="{72C69D5A-6CCE-4A8C-9309-34A72440FD6F}" name="Column11894" dataDxfId="4460"/>
    <tableColumn id="11943" xr3:uid="{50F07CD1-7C3D-4A60-8C83-2F48A6953AD1}" name="Column11895" dataDxfId="4459"/>
    <tableColumn id="11944" xr3:uid="{2776B197-6A50-4A42-9EAD-850CAB8F0278}" name="Column11896" dataDxfId="4458"/>
    <tableColumn id="11945" xr3:uid="{C6860A2E-240E-498E-B3AA-3B86D01D9784}" name="Column11897" dataDxfId="4457"/>
    <tableColumn id="11946" xr3:uid="{080C9EC2-B7C7-4EB6-A1CF-51D3B8B47371}" name="Column11898" dataDxfId="4456"/>
    <tableColumn id="11947" xr3:uid="{A723D318-EDCD-488E-AB5A-27EB1B2C51D3}" name="Column11899" dataDxfId="4455"/>
    <tableColumn id="11948" xr3:uid="{EE6590C1-32A5-4CCD-AE18-DD594AC72E7F}" name="Column11900" dataDxfId="4454"/>
    <tableColumn id="11949" xr3:uid="{57EBFBC8-1B28-4076-BD8F-6EB21FBEF76B}" name="Column11901" dataDxfId="4453"/>
    <tableColumn id="11950" xr3:uid="{2B449834-79EA-4A9B-B35B-9B23A7EA9576}" name="Column11902" dataDxfId="4452"/>
    <tableColumn id="11951" xr3:uid="{8B859C20-C38F-4C3F-A9AA-57C34C7CB496}" name="Column11903" dataDxfId="4451"/>
    <tableColumn id="11952" xr3:uid="{DDE75202-115E-4818-89A1-54916FE15961}" name="Column11904" dataDxfId="4450"/>
    <tableColumn id="11953" xr3:uid="{E97C24FF-E966-4B05-A1CD-18A68EC1E7A5}" name="Column11905" dataDxfId="4449"/>
    <tableColumn id="11954" xr3:uid="{373C7B8C-11F8-45AE-9F59-25E8C71C43E0}" name="Column11906" dataDxfId="4448"/>
    <tableColumn id="11955" xr3:uid="{3C1B318F-6809-494E-97B1-CA42DFD8F64A}" name="Column11907" dataDxfId="4447"/>
    <tableColumn id="11956" xr3:uid="{A68C36DF-4802-4C0A-83FA-CF911CCDD098}" name="Column11908" dataDxfId="4446"/>
    <tableColumn id="11957" xr3:uid="{E6A06BE4-838A-460B-A9A8-9250C9F4E832}" name="Column11909" dataDxfId="4445"/>
    <tableColumn id="11958" xr3:uid="{12497246-8454-465F-A95C-BC916E07453D}" name="Column11910" dataDxfId="4444"/>
    <tableColumn id="11959" xr3:uid="{E162E946-93EF-4488-998E-FA12529B24CA}" name="Column11911" dataDxfId="4443"/>
    <tableColumn id="11960" xr3:uid="{B9D39620-9CBB-4C26-869B-BC29E2BF2A27}" name="Column11912" dataDxfId="4442"/>
    <tableColumn id="11961" xr3:uid="{891103DE-978C-459D-961E-DF0B196DC0FA}" name="Column11913" dataDxfId="4441"/>
    <tableColumn id="11962" xr3:uid="{166D0495-0209-427A-9C42-C05F884FC603}" name="Column11914" dataDxfId="4440"/>
    <tableColumn id="11963" xr3:uid="{A8ADC7B5-3A0B-4A12-B6B9-C13922C56984}" name="Column11915" dataDxfId="4439"/>
    <tableColumn id="11964" xr3:uid="{58E19301-9A9E-45D3-B688-036E8D7AEB3A}" name="Column11916" dataDxfId="4438"/>
    <tableColumn id="11965" xr3:uid="{6052000C-FD6E-449A-B9D7-BB904A2B13CA}" name="Column11917" dataDxfId="4437"/>
    <tableColumn id="11966" xr3:uid="{E4C81206-9200-48A5-B7B2-A5899FD84E96}" name="Column11918" dataDxfId="4436"/>
    <tableColumn id="11967" xr3:uid="{F4268393-08F4-4DE7-B5F2-AE853AE920F4}" name="Column11919" dataDxfId="4435"/>
    <tableColumn id="11968" xr3:uid="{2D2155A8-FC8A-4B3C-A406-FAD4219D3557}" name="Column11920" dataDxfId="4434"/>
    <tableColumn id="11969" xr3:uid="{0F99BC77-3C71-4545-8CCD-6EE830833101}" name="Column11921" dataDxfId="4433"/>
    <tableColumn id="11970" xr3:uid="{DE71535B-1CB4-4A5D-8841-F8B4D8C0C566}" name="Column11922" dataDxfId="4432"/>
    <tableColumn id="11971" xr3:uid="{B8F2EEBD-5DF5-4912-866B-94EE2339549F}" name="Column11923" dataDxfId="4431"/>
    <tableColumn id="11972" xr3:uid="{415D9730-F126-4551-BD87-07129BC8FC68}" name="Column11924" dataDxfId="4430"/>
    <tableColumn id="11973" xr3:uid="{D41FDBE2-B3A0-4441-A5F2-D87DAD9B00E1}" name="Column11925" dataDxfId="4429"/>
    <tableColumn id="11974" xr3:uid="{4FADC319-0569-4BE0-A9B5-11EA81089249}" name="Column11926" dataDxfId="4428"/>
    <tableColumn id="11975" xr3:uid="{3ECE38B6-03D3-46FA-ABB0-925742BE7F24}" name="Column11927" dataDxfId="4427"/>
    <tableColumn id="11976" xr3:uid="{E8D7E6F3-A578-4464-8A28-E7F6026E0BAB}" name="Column11928" dataDxfId="4426"/>
    <tableColumn id="11977" xr3:uid="{9F5257CB-6790-4374-BA9F-0F0A7CDCC271}" name="Column11929" dataDxfId="4425"/>
    <tableColumn id="11978" xr3:uid="{7DE21460-68F1-440D-891B-07C52EBB0B56}" name="Column11930" dataDxfId="4424"/>
    <tableColumn id="11979" xr3:uid="{2C00FBD2-D298-4FDC-A1B7-68B6504A82B2}" name="Column11931" dataDxfId="4423"/>
    <tableColumn id="11980" xr3:uid="{BB8550B7-C261-4BC8-98DD-D231C59D6255}" name="Column11932" dataDxfId="4422"/>
    <tableColumn id="11981" xr3:uid="{CFAECE23-53A0-47A6-A4BD-964C53C95FB9}" name="Column11933" dataDxfId="4421"/>
    <tableColumn id="11982" xr3:uid="{6FF7C84D-B26B-49C1-B5B0-F51F4F90094D}" name="Column11934" dataDxfId="4420"/>
    <tableColumn id="11983" xr3:uid="{AE110BD3-3ED1-4353-9F64-40F42F1B8652}" name="Column11935" dataDxfId="4419"/>
    <tableColumn id="11984" xr3:uid="{F78C0B5C-4C8A-4627-A78D-8558C831C46A}" name="Column11936" dataDxfId="4418"/>
    <tableColumn id="11985" xr3:uid="{C3EE6D55-7D8D-409F-8234-2B27051F45A2}" name="Column11937" dataDxfId="4417"/>
    <tableColumn id="11986" xr3:uid="{D391774E-F075-4986-835E-6F9708AD2FAA}" name="Column11938" dataDxfId="4416"/>
    <tableColumn id="11987" xr3:uid="{588D8FA3-CDC9-4BE2-9586-C8F087491D46}" name="Column11939" dataDxfId="4415"/>
    <tableColumn id="11988" xr3:uid="{A28F9B36-E0AB-4B3B-94AD-E6B48B92A625}" name="Column11940" dataDxfId="4414"/>
    <tableColumn id="11989" xr3:uid="{A07C204A-CE45-4FAC-9EB5-0020856ED8B5}" name="Column11941" dataDxfId="4413"/>
    <tableColumn id="11990" xr3:uid="{2553C0AE-E21C-4315-B93B-0FF1FE41E77A}" name="Column11942" dataDxfId="4412"/>
    <tableColumn id="11991" xr3:uid="{D236010C-155C-4B4A-A6C5-4501DFF72570}" name="Column11943" dataDxfId="4411"/>
    <tableColumn id="11992" xr3:uid="{9EFAA9DB-7F87-4981-B8AF-49029F357BA2}" name="Column11944" dataDxfId="4410"/>
    <tableColumn id="11993" xr3:uid="{3F13784B-F3CE-4B42-9A4C-A340B4F09503}" name="Column11945" dataDxfId="4409"/>
    <tableColumn id="11994" xr3:uid="{74A1B32A-999B-4ACF-AE85-75D78F7585C0}" name="Column11946" dataDxfId="4408"/>
    <tableColumn id="11995" xr3:uid="{6406EA8E-4243-4EED-B987-DB335E43D2E9}" name="Column11947" dataDxfId="4407"/>
    <tableColumn id="11996" xr3:uid="{2528DF42-B535-4F24-98AC-3A6562784DCC}" name="Column11948" dataDxfId="4406"/>
    <tableColumn id="11997" xr3:uid="{70D097EF-A533-483D-AC48-1B705D89D8BB}" name="Column11949" dataDxfId="4405"/>
    <tableColumn id="11998" xr3:uid="{2BB43EDD-656F-429C-A72A-6E69521C861B}" name="Column11950" dataDxfId="4404"/>
    <tableColumn id="11999" xr3:uid="{67A199C0-9374-4CEC-8E36-E8404C8EF3F4}" name="Column11951" dataDxfId="4403"/>
    <tableColumn id="12000" xr3:uid="{D3B8BCD2-8A42-423A-8E64-E8A17319CC36}" name="Column11952" dataDxfId="4402"/>
    <tableColumn id="12001" xr3:uid="{9C34B8EA-C775-4730-AC53-78B7F64A6DB1}" name="Column11953" dataDxfId="4401"/>
    <tableColumn id="12002" xr3:uid="{348F75BB-214F-4F8D-95E7-30562B2E763A}" name="Column11954" dataDxfId="4400"/>
    <tableColumn id="12003" xr3:uid="{C7BA0E4B-2D04-4937-B499-BB64130B773B}" name="Column11955" dataDxfId="4399"/>
    <tableColumn id="12004" xr3:uid="{B3CDDC4E-6E30-45A4-BD4D-693C2067A949}" name="Column11956" dataDxfId="4398"/>
    <tableColumn id="12005" xr3:uid="{87FBC561-52F1-449F-A8D8-8FCE987EB851}" name="Column11957" dataDxfId="4397"/>
    <tableColumn id="12006" xr3:uid="{7CEEF043-D7C6-49D5-86AB-E6ADC1689B3B}" name="Column11958" dataDxfId="4396"/>
    <tableColumn id="12007" xr3:uid="{4482C207-6B1F-4EBC-9A9E-FF934FECC921}" name="Column11959" dataDxfId="4395"/>
    <tableColumn id="12008" xr3:uid="{27622A88-39C8-43E9-8874-11DA3BDD1BC5}" name="Column11960" dataDxfId="4394"/>
    <tableColumn id="12009" xr3:uid="{7B4626D9-0DF4-47B8-A717-5AFA2A1591AE}" name="Column11961" dataDxfId="4393"/>
    <tableColumn id="12010" xr3:uid="{88D33B79-9ED4-47E5-AB0B-FB8B3418F2D1}" name="Column11962" dataDxfId="4392"/>
    <tableColumn id="12011" xr3:uid="{3F85CA94-857A-499E-B6CB-7BCC89A6B706}" name="Column11963" dataDxfId="4391"/>
    <tableColumn id="12012" xr3:uid="{8A82DC3C-CA81-45E9-B9C6-3F03B36D3F41}" name="Column11964" dataDxfId="4390"/>
    <tableColumn id="12013" xr3:uid="{837C3A4C-3688-416A-B9AC-2AE884B9C0EC}" name="Column11965" dataDxfId="4389"/>
    <tableColumn id="12014" xr3:uid="{D64A7D29-8D9E-47B6-AA94-27C72C686EFC}" name="Column11966" dataDxfId="4388"/>
    <tableColumn id="12015" xr3:uid="{7C52FF2A-9134-405A-9237-196F23FC46D4}" name="Column11967" dataDxfId="4387"/>
    <tableColumn id="12016" xr3:uid="{8E1000EE-0BBC-4704-8402-0D9B022996E7}" name="Column11968" dataDxfId="4386"/>
    <tableColumn id="12017" xr3:uid="{54BC6219-F4FE-45CF-BDCE-8B62A57964C8}" name="Column11969" dataDxfId="4385"/>
    <tableColumn id="12018" xr3:uid="{064756FC-F950-4A11-8D02-CEA4A65C9D1B}" name="Column11970" dataDxfId="4384"/>
    <tableColumn id="12019" xr3:uid="{E606F027-4E61-4C0B-8DBD-EAB0210574D9}" name="Column11971" dataDxfId="4383"/>
    <tableColumn id="12020" xr3:uid="{20813745-8498-42A8-BAE4-3DB0CDA5ED78}" name="Column11972" dataDxfId="4382"/>
    <tableColumn id="12021" xr3:uid="{5F8FEE03-EC07-4477-A5AD-E1C942BC3A51}" name="Column11973" dataDxfId="4381"/>
    <tableColumn id="12022" xr3:uid="{BA2E40C3-14D6-448B-BA3A-4109C9A40690}" name="Column11974" dataDxfId="4380"/>
    <tableColumn id="12023" xr3:uid="{47F75DC2-4AB6-4199-82A2-9209141E0DDB}" name="Column11975" dataDxfId="4379"/>
    <tableColumn id="12024" xr3:uid="{954EA2D6-B930-4176-9DB1-0FC342EF66AD}" name="Column11976" dataDxfId="4378"/>
    <tableColumn id="12025" xr3:uid="{E0884815-37EA-449D-B16E-5FC8A17AC22A}" name="Column11977" dataDxfId="4377"/>
    <tableColumn id="12026" xr3:uid="{42E9CA76-9360-4ABA-8B11-3C1CD8DF00D7}" name="Column11978" dataDxfId="4376"/>
    <tableColumn id="12027" xr3:uid="{D8535590-20A9-46BB-B84D-5211822024F1}" name="Column11979" dataDxfId="4375"/>
    <tableColumn id="12028" xr3:uid="{E440C4A5-38E8-48AA-B88E-B876F00A7CB1}" name="Column11980" dataDxfId="4374"/>
    <tableColumn id="12029" xr3:uid="{186D99B7-5FC3-4A32-8527-81C2A4887ADE}" name="Column11981" dataDxfId="4373"/>
    <tableColumn id="12030" xr3:uid="{177D1FCC-3DDD-4DF8-B6E5-CCCEBCAC0AD0}" name="Column11982" dataDxfId="4372"/>
    <tableColumn id="12031" xr3:uid="{CBEE4061-221C-4D27-8D93-7ACB4647F48D}" name="Column11983" dataDxfId="4371"/>
    <tableColumn id="12032" xr3:uid="{57747587-58C4-4D22-B03F-54D09E1A411C}" name="Column11984" dataDxfId="4370"/>
    <tableColumn id="12033" xr3:uid="{A694E089-407F-4C14-A5FA-9DBC3A91C751}" name="Column11985" dataDxfId="4369"/>
    <tableColumn id="12034" xr3:uid="{E6F3431E-7CA0-4BA6-82E7-AD7AB032B4C5}" name="Column11986" dataDxfId="4368"/>
    <tableColumn id="12035" xr3:uid="{0D63EA65-9EAA-41EE-BA34-3D100861888C}" name="Column11987" dataDxfId="4367"/>
    <tableColumn id="12036" xr3:uid="{960279D7-61CD-431D-93F6-3D2DED8F1163}" name="Column11988" dataDxfId="4366"/>
    <tableColumn id="12037" xr3:uid="{B53CFF0F-CC22-4D07-A9FA-F9853CBE2A9C}" name="Column11989" dataDxfId="4365"/>
    <tableColumn id="12038" xr3:uid="{C5CDACAE-7BE7-4BA5-BB5E-42BDAECF6FC8}" name="Column11990" dataDxfId="4364"/>
    <tableColumn id="12039" xr3:uid="{C0DD3B4A-C721-414F-A763-6D9104933821}" name="Column11991" dataDxfId="4363"/>
    <tableColumn id="12040" xr3:uid="{2CACFCEC-4887-420F-8DD7-A321215E8C6F}" name="Column11992" dataDxfId="4362"/>
    <tableColumn id="12041" xr3:uid="{49E5BE55-88A6-454A-81F4-40F09D8AA1A6}" name="Column11993" dataDxfId="4361"/>
    <tableColumn id="12042" xr3:uid="{0677EA7F-5AFA-4216-8011-B4B48F227C27}" name="Column11994" dataDxfId="4360"/>
    <tableColumn id="12043" xr3:uid="{69C5CC7F-6C70-482A-830F-F752981CBD26}" name="Column11995" dataDxfId="4359"/>
    <tableColumn id="12044" xr3:uid="{03A75FD1-9462-42F5-B35A-54D9FF8D6695}" name="Column11996" dataDxfId="4358"/>
    <tableColumn id="12045" xr3:uid="{43247AD8-A112-43D8-A670-0DD5C4F95295}" name="Column11997" dataDxfId="4357"/>
    <tableColumn id="12046" xr3:uid="{E9D091DF-5D59-4BDE-ABF3-A579B47CA75A}" name="Column11998" dataDxfId="4356"/>
    <tableColumn id="12047" xr3:uid="{A77872F7-0872-4E74-BA99-181A337286F3}" name="Column11999" dataDxfId="4355"/>
    <tableColumn id="12048" xr3:uid="{9A6129A2-7B67-4ED6-8EF0-CDA3DF13E476}" name="Column12000" dataDxfId="4354"/>
    <tableColumn id="12049" xr3:uid="{0811427E-CFD6-45C3-8A9F-31028DBF9629}" name="Column12001" dataDxfId="4353"/>
    <tableColumn id="12050" xr3:uid="{948D7607-11BE-4A00-82AE-67A94E271FF9}" name="Column12002" dataDxfId="4352"/>
    <tableColumn id="12051" xr3:uid="{5A9EA795-683F-4F37-89A1-4E6CFCD8F922}" name="Column12003" dataDxfId="4351"/>
    <tableColumn id="12052" xr3:uid="{934A5488-5CD2-4834-BB28-05E91C2244D3}" name="Column12004" dataDxfId="4350"/>
    <tableColumn id="12053" xr3:uid="{81301F5E-3C94-496C-B361-F44F4DE7DAC2}" name="Column12005" dataDxfId="4349"/>
    <tableColumn id="12054" xr3:uid="{D41D26C8-80CD-4958-BF03-80CE12B1941A}" name="Column12006" dataDxfId="4348"/>
    <tableColumn id="12055" xr3:uid="{9DB759E6-5408-4853-AB5F-67241A34DDB3}" name="Column12007" dataDxfId="4347"/>
    <tableColumn id="12056" xr3:uid="{585D4AF6-0949-42C4-9AC5-59697BA36184}" name="Column12008" dataDxfId="4346"/>
    <tableColumn id="12057" xr3:uid="{6DBE8F91-5870-4E97-8295-22469E3E59D1}" name="Column12009" dataDxfId="4345"/>
    <tableColumn id="12058" xr3:uid="{86B831CD-D488-4FCF-A4AD-FFC65BB6F85D}" name="Column12010" dataDxfId="4344"/>
    <tableColumn id="12059" xr3:uid="{440678F9-2CB4-4647-99C2-9AF2071B7F5B}" name="Column12011" dataDxfId="4343"/>
    <tableColumn id="12060" xr3:uid="{D2CC101D-86AD-4025-B145-05E1F2CE59C1}" name="Column12012" dataDxfId="4342"/>
    <tableColumn id="12061" xr3:uid="{1137A87D-AF12-42F6-86DB-9CD059D17EB6}" name="Column12013" dataDxfId="4341"/>
    <tableColumn id="12062" xr3:uid="{0E42F303-10BB-49C7-892B-EB05FB64F8B3}" name="Column12014" dataDxfId="4340"/>
    <tableColumn id="12063" xr3:uid="{B5C5E3A6-E16E-49A5-A9BB-86B206EF8E17}" name="Column12015" dataDxfId="4339"/>
    <tableColumn id="12064" xr3:uid="{5648A787-C6C0-4FBE-ACAC-930463D4266E}" name="Column12016" dataDxfId="4338"/>
    <tableColumn id="12065" xr3:uid="{9C7C58CD-5DD8-4597-87F1-E11CDA63C22A}" name="Column12017" dataDxfId="4337"/>
    <tableColumn id="12066" xr3:uid="{8A8DFD16-3CDF-438B-B476-EFC8F154F269}" name="Column12018" dataDxfId="4336"/>
    <tableColumn id="12067" xr3:uid="{58839E40-54A4-412D-8889-9E7EFE31B1C2}" name="Column12019" dataDxfId="4335"/>
    <tableColumn id="12068" xr3:uid="{E1232D29-4254-4D82-993C-025076A8F578}" name="Column12020" dataDxfId="4334"/>
    <tableColumn id="12069" xr3:uid="{8314A576-287A-4463-B530-D869AA6187EF}" name="Column12021" dataDxfId="4333"/>
    <tableColumn id="12070" xr3:uid="{B1D51E59-2C7F-4B8F-B494-F1A1DDC717AA}" name="Column12022" dataDxfId="4332"/>
    <tableColumn id="12071" xr3:uid="{BCD25F74-CEEF-41F0-8F87-DDF5F6D9D68A}" name="Column12023" dataDxfId="4331"/>
    <tableColumn id="12072" xr3:uid="{3F0D1C0A-1A6A-400C-8D83-D1CAD7FB593A}" name="Column12024" dataDxfId="4330"/>
    <tableColumn id="12073" xr3:uid="{0384ED2E-A5EA-4477-9A01-316238F8B00B}" name="Column12025" dataDxfId="4329"/>
    <tableColumn id="12074" xr3:uid="{2661D0EA-87BB-4422-8EA0-B213AC2880A2}" name="Column12026" dataDxfId="4328"/>
    <tableColumn id="12075" xr3:uid="{AF4AD1DD-3600-4B82-83E6-0201D8901722}" name="Column12027" dataDxfId="4327"/>
    <tableColumn id="12076" xr3:uid="{19DAF812-0656-4A8D-B59C-4403FD9D8B7F}" name="Column12028" dataDxfId="4326"/>
    <tableColumn id="12077" xr3:uid="{69463B50-1709-4B8E-880D-EA67F36474E3}" name="Column12029" dataDxfId="4325"/>
    <tableColumn id="12078" xr3:uid="{1D3C9927-F241-4D8E-9572-BC9530213A98}" name="Column12030" dataDxfId="4324"/>
    <tableColumn id="12079" xr3:uid="{7E565851-32D7-42D5-A3DF-9590F7EADF3E}" name="Column12031" dataDxfId="4323"/>
    <tableColumn id="12080" xr3:uid="{286B7892-3BB7-4C3C-8483-D1DD933E708D}" name="Column12032" dataDxfId="4322"/>
    <tableColumn id="12081" xr3:uid="{FCCFCF48-10DE-4121-BA44-6B0572A131FC}" name="Column12033" dataDxfId="4321"/>
    <tableColumn id="12082" xr3:uid="{23BA4CDC-B987-4DAB-A088-8E390629275B}" name="Column12034" dataDxfId="4320"/>
    <tableColumn id="12083" xr3:uid="{39B8F1D7-C1C8-4F8A-9AFC-0D0F2B6DB536}" name="Column12035" dataDxfId="4319"/>
    <tableColumn id="12084" xr3:uid="{B5C9340B-D56B-4BEC-8ED8-FF2CABFF556B}" name="Column12036" dataDxfId="4318"/>
    <tableColumn id="12085" xr3:uid="{78897006-C71D-4B81-958F-167FF6F3A9CF}" name="Column12037" dataDxfId="4317"/>
    <tableColumn id="12086" xr3:uid="{516ECB09-E825-4167-BE49-B851DB2E7B7A}" name="Column12038" dataDxfId="4316"/>
    <tableColumn id="12087" xr3:uid="{843EDE5D-F1A7-4B70-9D62-27CC279429E7}" name="Column12039" dataDxfId="4315"/>
    <tableColumn id="12088" xr3:uid="{6D537B0E-CA6C-48DE-B04A-CE98FE5730B4}" name="Column12040" dataDxfId="4314"/>
    <tableColumn id="12089" xr3:uid="{688DE288-BA35-42A0-965B-A96694BDAA9A}" name="Column12041" dataDxfId="4313"/>
    <tableColumn id="12090" xr3:uid="{68208B0B-505C-4971-ADC7-10E177FEB4F6}" name="Column12042" dataDxfId="4312"/>
    <tableColumn id="12091" xr3:uid="{7EF4FDD8-AF73-4F19-A6CA-4C80859AE6AF}" name="Column12043" dataDxfId="4311"/>
    <tableColumn id="12092" xr3:uid="{A2EE0E55-B5FE-4532-9A17-893187AC4FAB}" name="Column12044" dataDxfId="4310"/>
    <tableColumn id="12093" xr3:uid="{429BBA38-BC10-49BD-BB46-732277D5ACE1}" name="Column12045" dataDxfId="4309"/>
    <tableColumn id="12094" xr3:uid="{D92CC8FC-3B89-48DB-89AD-9D4D893EF1FA}" name="Column12046" dataDxfId="4308"/>
    <tableColumn id="12095" xr3:uid="{AA3F39BC-A588-4EC6-9969-5BF3AA390BC6}" name="Column12047" dataDxfId="4307"/>
    <tableColumn id="12096" xr3:uid="{188C67B6-EF36-431C-B787-0CEB68CDB7DC}" name="Column12048" dataDxfId="4306"/>
    <tableColumn id="12097" xr3:uid="{F5DE225B-D830-4890-91AA-28ECB8388401}" name="Column12049" dataDxfId="4305"/>
    <tableColumn id="12098" xr3:uid="{6DAF41D4-906E-4BC3-8D84-E5629DF6574C}" name="Column12050" dataDxfId="4304"/>
    <tableColumn id="12099" xr3:uid="{6FAAEED1-9E44-4AA7-BA71-402EAA77223C}" name="Column12051" dataDxfId="4303"/>
    <tableColumn id="12100" xr3:uid="{9A9BEF2E-0269-4CF4-AD14-5D2CB9CD1E6A}" name="Column12052" dataDxfId="4302"/>
    <tableColumn id="12101" xr3:uid="{8FC1E020-074B-4062-B8B6-C19D2BA1D1E8}" name="Column12053" dataDxfId="4301"/>
    <tableColumn id="12102" xr3:uid="{586241FE-E127-43FF-A375-0B27525ED911}" name="Column12054" dataDxfId="4300"/>
    <tableColumn id="12103" xr3:uid="{297AEA0E-62D4-4A41-8FAD-5FD2C43F5AFB}" name="Column12055" dataDxfId="4299"/>
    <tableColumn id="12104" xr3:uid="{E337FA6F-7ACF-4BF1-BBD5-FABF28C6C25D}" name="Column12056" dataDxfId="4298"/>
    <tableColumn id="12105" xr3:uid="{9EE8C889-EECF-4A77-8C61-6793231D41D4}" name="Column12057" dataDxfId="4297"/>
    <tableColumn id="12106" xr3:uid="{8F91A840-7CDB-4468-849C-B418BCB9635B}" name="Column12058" dataDxfId="4296"/>
    <tableColumn id="12107" xr3:uid="{512A026A-5975-414D-B8FB-DE68457B129D}" name="Column12059" dataDxfId="4295"/>
    <tableColumn id="12108" xr3:uid="{F5BAD42C-2A76-4853-B4F1-BE24F78BDA30}" name="Column12060" dataDxfId="4294"/>
    <tableColumn id="12109" xr3:uid="{9EC8FBAA-B85A-44A7-B3BA-A75830EE0E23}" name="Column12061" dataDxfId="4293"/>
    <tableColumn id="12110" xr3:uid="{A1EB0895-C7D1-4603-A61C-44043D461DA6}" name="Column12062" dataDxfId="4292"/>
    <tableColumn id="12111" xr3:uid="{CC1F557E-6118-48CB-9ECB-F74F814486C7}" name="Column12063" dataDxfId="4291"/>
    <tableColumn id="12112" xr3:uid="{B48A0DE4-4770-43B7-83AC-302C42D8DF3E}" name="Column12064" dataDxfId="4290"/>
    <tableColumn id="12113" xr3:uid="{BA4F1E5E-306E-4492-BF6F-A9065F0D9AF2}" name="Column12065" dataDxfId="4289"/>
    <tableColumn id="12114" xr3:uid="{7E16E0EC-DF54-4607-9A5A-8E787AA8843A}" name="Column12066" dataDxfId="4288"/>
    <tableColumn id="12115" xr3:uid="{88B6578B-5EA1-4973-8125-F763BDFFF273}" name="Column12067" dataDxfId="4287"/>
    <tableColumn id="12116" xr3:uid="{17EE39F8-F57F-41C2-AA96-CB96BA93916B}" name="Column12068" dataDxfId="4286"/>
    <tableColumn id="12117" xr3:uid="{2AF053A1-F757-40CD-B9E7-14EDE6850D8C}" name="Column12069" dataDxfId="4285"/>
    <tableColumn id="12118" xr3:uid="{62468023-BB7D-482D-B0D2-0ED245A90764}" name="Column12070" dataDxfId="4284"/>
    <tableColumn id="12119" xr3:uid="{5F20B934-5B8B-4226-B841-11468656353B}" name="Column12071" dataDxfId="4283"/>
    <tableColumn id="12120" xr3:uid="{0361AD8A-B136-4CF1-8EEA-55E97D817F43}" name="Column12072" dataDxfId="4282"/>
    <tableColumn id="12121" xr3:uid="{C438F05B-BD8B-450A-9631-40549EFBEF33}" name="Column12073" dataDxfId="4281"/>
    <tableColumn id="12122" xr3:uid="{A891F99E-2209-40DD-B9D2-16FF1473840F}" name="Column12074" dataDxfId="4280"/>
    <tableColumn id="12123" xr3:uid="{7AA0A797-95CD-42C4-9281-E0433D328707}" name="Column12075" dataDxfId="4279"/>
    <tableColumn id="12124" xr3:uid="{9E8E6800-189D-43D6-AF32-74F4902981BC}" name="Column12076" dataDxfId="4278"/>
    <tableColumn id="12125" xr3:uid="{92C93B55-5264-42DB-88EC-AE3EEA189EC0}" name="Column12077" dataDxfId="4277"/>
    <tableColumn id="12126" xr3:uid="{FE0E0F65-B5AF-4125-BE16-8BF4D5770346}" name="Column12078" dataDxfId="4276"/>
    <tableColumn id="12127" xr3:uid="{DE496C85-F5D2-42E1-8C81-8F76B1F17C12}" name="Column12079" dataDxfId="4275"/>
    <tableColumn id="12128" xr3:uid="{DE4A189E-BC7E-4B3D-B912-55156799C553}" name="Column12080" dataDxfId="4274"/>
    <tableColumn id="12129" xr3:uid="{11751882-57C7-451E-8A33-594DE16415D4}" name="Column12081" dataDxfId="4273"/>
    <tableColumn id="12130" xr3:uid="{0CD14C10-F51C-4709-85EB-E547D448A2BF}" name="Column12082" dataDxfId="4272"/>
    <tableColumn id="12131" xr3:uid="{45C404D0-103A-4755-9898-634CD9A9A2EE}" name="Column12083" dataDxfId="4271"/>
    <tableColumn id="12132" xr3:uid="{267EC796-17BD-4325-AF5E-910858731A2F}" name="Column12084" dataDxfId="4270"/>
    <tableColumn id="12133" xr3:uid="{BF76FDC3-10E5-4682-9B14-A68D5DA5B634}" name="Column12085" dataDxfId="4269"/>
    <tableColumn id="12134" xr3:uid="{6D372697-F4D7-42AF-B709-5A2787FB0134}" name="Column12086" dataDxfId="4268"/>
    <tableColumn id="12135" xr3:uid="{D414D921-61F2-4113-B6FE-4514F559FD34}" name="Column12087" dataDxfId="4267"/>
    <tableColumn id="12136" xr3:uid="{94343F18-E562-4279-ACA7-A93E41BE0BDA}" name="Column12088" dataDxfId="4266"/>
    <tableColumn id="12137" xr3:uid="{B22CEA15-1E3C-4ABC-9681-9423DC12D010}" name="Column12089" dataDxfId="4265"/>
    <tableColumn id="12138" xr3:uid="{1BD5F68F-5B69-48D8-928C-15494F6F2090}" name="Column12090" dataDxfId="4264"/>
    <tableColumn id="12139" xr3:uid="{53C1F7C1-CCA4-4865-8FFC-996965ED13C9}" name="Column12091" dataDxfId="4263"/>
    <tableColumn id="12140" xr3:uid="{ED1F85A5-4F74-4D6F-89E7-32CE4576C9C5}" name="Column12092" dataDxfId="4262"/>
    <tableColumn id="12141" xr3:uid="{AD52B404-6C18-4D03-BE75-DF1E9B0E56EE}" name="Column12093" dataDxfId="4261"/>
    <tableColumn id="12142" xr3:uid="{87DBC531-5A97-43F9-8E29-DA7F0EBD76E7}" name="Column12094" dataDxfId="4260"/>
    <tableColumn id="12143" xr3:uid="{2F97C47F-1072-4FCF-86D1-76EAA17E33BB}" name="Column12095" dataDxfId="4259"/>
    <tableColumn id="12144" xr3:uid="{9FA481E6-DF1F-41E0-A617-9A9BD8855351}" name="Column12096" dataDxfId="4258"/>
    <tableColumn id="12145" xr3:uid="{350F7222-BB4A-47F8-8A60-193F0FD0DFDC}" name="Column12097" dataDxfId="4257"/>
    <tableColumn id="12146" xr3:uid="{43EB7613-9884-48A1-B436-149DBBD65D3B}" name="Column12098" dataDxfId="4256"/>
    <tableColumn id="12147" xr3:uid="{AE638AF1-25DF-45FC-B6DD-980DE1FAB853}" name="Column12099" dataDxfId="4255"/>
    <tableColumn id="12148" xr3:uid="{427B59A1-9505-42E2-BB77-4D6A2D38CB0F}" name="Column12100" dataDxfId="4254"/>
    <tableColumn id="12149" xr3:uid="{F009DB55-44D6-4D71-A1C4-0B0D414771B2}" name="Column12101" dataDxfId="4253"/>
    <tableColumn id="12150" xr3:uid="{52A04445-DACD-428F-ADAF-7651A18335DD}" name="Column12102" dataDxfId="4252"/>
    <tableColumn id="12151" xr3:uid="{9F60066A-4865-458D-B645-6074D18EE6F8}" name="Column12103" dataDxfId="4251"/>
    <tableColumn id="12152" xr3:uid="{6AC9A616-8412-4982-9025-FA8052EE1724}" name="Column12104" dataDxfId="4250"/>
    <tableColumn id="12153" xr3:uid="{06408C31-97DB-4DFD-8477-94D78904BFAD}" name="Column12105" dataDxfId="4249"/>
    <tableColumn id="12154" xr3:uid="{9FF1E009-DC26-4051-886D-596E2B8EE7B7}" name="Column12106" dataDxfId="4248"/>
    <tableColumn id="12155" xr3:uid="{C52217D7-E12C-4884-A9DD-A41E53117D28}" name="Column12107" dataDxfId="4247"/>
    <tableColumn id="12156" xr3:uid="{1A8C5FF0-970D-4C7C-BE6F-55D6A18D47B1}" name="Column12108" dataDxfId="4246"/>
    <tableColumn id="12157" xr3:uid="{ED165866-B940-4974-9703-C5D9B9189673}" name="Column12109" dataDxfId="4245"/>
    <tableColumn id="12158" xr3:uid="{7A136C75-2A0C-4806-8C37-D577FECEE752}" name="Column12110" dataDxfId="4244"/>
    <tableColumn id="12159" xr3:uid="{BC07DF4F-9E0D-41A5-B881-518E88F08C0F}" name="Column12111" dataDxfId="4243"/>
    <tableColumn id="12160" xr3:uid="{02B848AC-554F-43FA-B5CB-4CD834AEE3DA}" name="Column12112" dataDxfId="4242"/>
    <tableColumn id="12161" xr3:uid="{B5D1FE5B-6609-4D75-B36D-29A2EF371F11}" name="Column12113" dataDxfId="4241"/>
    <tableColumn id="12162" xr3:uid="{719A3FF1-94D4-4458-8134-6A7D4F474BCB}" name="Column12114" dataDxfId="4240"/>
    <tableColumn id="12163" xr3:uid="{522CE609-70CF-4E36-A7A0-F30A64B4A52E}" name="Column12115" dataDxfId="4239"/>
    <tableColumn id="12164" xr3:uid="{DB8FC7F3-B2BC-4A76-9E95-92E016A46B46}" name="Column12116" dataDxfId="4238"/>
    <tableColumn id="12165" xr3:uid="{E2E5E8D5-898F-4717-89CD-E265635A7802}" name="Column12117" dataDxfId="4237"/>
    <tableColumn id="12166" xr3:uid="{E2A9F567-B528-4C60-A3D0-98D73FDB9E73}" name="Column12118" dataDxfId="4236"/>
    <tableColumn id="12167" xr3:uid="{ABA784F2-9403-438C-A128-CF41003AABC2}" name="Column12119" dataDxfId="4235"/>
    <tableColumn id="12168" xr3:uid="{A0F70EBB-59EB-4AA4-925A-1A40E21B8988}" name="Column12120" dataDxfId="4234"/>
    <tableColumn id="12169" xr3:uid="{0F48C80C-DFF9-45CA-B8D2-A62FF27397AD}" name="Column12121" dataDxfId="4233"/>
    <tableColumn id="12170" xr3:uid="{0068CDF9-F346-4F6E-9DF4-E8BA835D4D19}" name="Column12122" dataDxfId="4232"/>
    <tableColumn id="12171" xr3:uid="{98CAB72E-A973-4CD7-99AD-3194B166DE5D}" name="Column12123" dataDxfId="4231"/>
    <tableColumn id="12172" xr3:uid="{6FD406A9-C1AF-4C60-8744-6393BF1EC90B}" name="Column12124" dataDxfId="4230"/>
    <tableColumn id="12173" xr3:uid="{CCA55A2D-DE8E-4389-89D8-CA1E79D5BDB4}" name="Column12125" dataDxfId="4229"/>
    <tableColumn id="12174" xr3:uid="{9CE57B86-62C6-4DE6-8820-F097C71FDD17}" name="Column12126" dataDxfId="4228"/>
    <tableColumn id="12175" xr3:uid="{F5C38E32-A442-48B1-AA5A-234D4FE9E393}" name="Column12127" dataDxfId="4227"/>
    <tableColumn id="12176" xr3:uid="{1B74408F-536B-4690-A917-0F18F9CB56B0}" name="Column12128" dataDxfId="4226"/>
    <tableColumn id="12177" xr3:uid="{C7032D79-5D32-4C26-8746-C2C126F87AD7}" name="Column12129" dataDxfId="4225"/>
    <tableColumn id="12178" xr3:uid="{26659B2D-B5A8-4C93-B437-DA396D9AAEE8}" name="Column12130" dataDxfId="4224"/>
    <tableColumn id="12179" xr3:uid="{A261248A-27BB-4344-8E5D-38BC36C98E19}" name="Column12131" dataDxfId="4223"/>
    <tableColumn id="12180" xr3:uid="{B9A87B4C-5F0C-4E31-9FB0-EF71E77D0027}" name="Column12132" dataDxfId="4222"/>
    <tableColumn id="12181" xr3:uid="{7C953B58-56B2-4247-9369-D112A1E95E1A}" name="Column12133" dataDxfId="4221"/>
    <tableColumn id="12182" xr3:uid="{A89C9E88-AD9F-480C-8A06-43075AC31721}" name="Column12134" dataDxfId="4220"/>
    <tableColumn id="12183" xr3:uid="{06A91BA7-725A-438E-8B3E-2B85EB9999A6}" name="Column12135" dataDxfId="4219"/>
    <tableColumn id="12184" xr3:uid="{E10C064B-EBC7-4CF0-97F6-44AEB6887E67}" name="Column12136" dataDxfId="4218"/>
    <tableColumn id="12185" xr3:uid="{15B0DB75-B9CF-499D-85BC-08AA39AB8675}" name="Column12137" dataDxfId="4217"/>
    <tableColumn id="12186" xr3:uid="{24083A7F-BF7E-4086-AA44-CA840D36273F}" name="Column12138" dataDxfId="4216"/>
    <tableColumn id="12187" xr3:uid="{77F619C0-79D9-417E-A49A-2D8C71AB7EFF}" name="Column12139" dataDxfId="4215"/>
    <tableColumn id="12188" xr3:uid="{86F5B597-0288-4317-B46F-3F9637A93BE3}" name="Column12140" dataDxfId="4214"/>
    <tableColumn id="12189" xr3:uid="{490DF618-9281-4C8C-8574-3878AEDD4907}" name="Column12141" dataDxfId="4213"/>
    <tableColumn id="12190" xr3:uid="{2096ED82-F63B-48E4-91A7-040631556A7A}" name="Column12142" dataDxfId="4212"/>
    <tableColumn id="12191" xr3:uid="{7313AB1A-9695-4134-89DD-1B50CDD1F1C1}" name="Column12143" dataDxfId="4211"/>
    <tableColumn id="12192" xr3:uid="{E99CDA8C-56BB-499C-B8CB-C88EDD63120F}" name="Column12144" dataDxfId="4210"/>
    <tableColumn id="12193" xr3:uid="{AA219001-3773-404D-B11F-E310199C2009}" name="Column12145" dataDxfId="4209"/>
    <tableColumn id="12194" xr3:uid="{340393FA-274A-4A6D-89A8-31799B35CA0B}" name="Column12146" dataDxfId="4208"/>
    <tableColumn id="12195" xr3:uid="{C53EFF1D-1922-41FE-9206-2AEF5C14B87A}" name="Column12147" dataDxfId="4207"/>
    <tableColumn id="12196" xr3:uid="{6FE888B3-7DD8-4818-B5ED-BA34E60DD92E}" name="Column12148" dataDxfId="4206"/>
    <tableColumn id="12197" xr3:uid="{21825109-0289-4438-9D55-073515AAF53D}" name="Column12149" dataDxfId="4205"/>
    <tableColumn id="12198" xr3:uid="{F83B2783-712D-49E7-9EF8-A3BA86CDD807}" name="Column12150" dataDxfId="4204"/>
    <tableColumn id="12199" xr3:uid="{3834A293-06D0-4CC7-A7D9-EDE4B65273D2}" name="Column12151" dataDxfId="4203"/>
    <tableColumn id="12200" xr3:uid="{A363080B-4352-4643-B034-4D714DB5132B}" name="Column12152" dataDxfId="4202"/>
    <tableColumn id="12201" xr3:uid="{7B9D67ED-6861-4423-82CB-E9F6FDD93661}" name="Column12153" dataDxfId="4201"/>
    <tableColumn id="12202" xr3:uid="{64F4674A-4E76-420E-992B-C1BE730C15BF}" name="Column12154" dataDxfId="4200"/>
    <tableColumn id="12203" xr3:uid="{30FE8132-E7B8-4B81-A8AD-57FA4320CA82}" name="Column12155" dataDxfId="4199"/>
    <tableColumn id="12204" xr3:uid="{034906E8-E1EF-4488-88E4-29F85D435C9E}" name="Column12156" dataDxfId="4198"/>
    <tableColumn id="12205" xr3:uid="{4E4DC4C0-CDBA-40AD-A41D-BCEBC78233CD}" name="Column12157" dataDxfId="4197"/>
    <tableColumn id="12206" xr3:uid="{7121ACFA-2964-4342-A6F3-EFB64800862C}" name="Column12158" dataDxfId="4196"/>
    <tableColumn id="12207" xr3:uid="{EEC42443-684C-4591-895C-6C5E8FCC9505}" name="Column12159" dataDxfId="4195"/>
    <tableColumn id="12208" xr3:uid="{B2F0D6FB-53DA-408C-96BC-7C74B54C88A3}" name="Column12160" dataDxfId="4194"/>
    <tableColumn id="12209" xr3:uid="{A1505D17-5ACE-418A-8624-9320FAACDFB2}" name="Column12161" dataDxfId="4193"/>
    <tableColumn id="12210" xr3:uid="{3F925DC1-A2EC-43E9-8E08-B715E14F0EA2}" name="Column12162" dataDxfId="4192"/>
    <tableColumn id="12211" xr3:uid="{E5B1C605-A6DB-493D-BFAB-9D831034FDEB}" name="Column12163" dataDxfId="4191"/>
    <tableColumn id="12212" xr3:uid="{8F231C02-68AC-4C7C-AF31-8CAE10AAB90B}" name="Column12164" dataDxfId="4190"/>
    <tableColumn id="12213" xr3:uid="{E6D31560-0D5A-49EB-A65B-0936007D074A}" name="Column12165" dataDxfId="4189"/>
    <tableColumn id="12214" xr3:uid="{E21009A9-A8EE-4093-8217-C23EE6413D23}" name="Column12166" dataDxfId="4188"/>
    <tableColumn id="12215" xr3:uid="{5A4F7844-87CB-47BE-B34E-5D969171A238}" name="Column12167" dataDxfId="4187"/>
    <tableColumn id="12216" xr3:uid="{A72C7077-E002-4867-8D31-3194A682CCA6}" name="Column12168" dataDxfId="4186"/>
    <tableColumn id="12217" xr3:uid="{61767E17-39D5-4D92-939A-F82CAF81BED4}" name="Column12169" dataDxfId="4185"/>
    <tableColumn id="12218" xr3:uid="{F05B196F-CF62-40F4-A0EF-07830ECAFA38}" name="Column12170" dataDxfId="4184"/>
    <tableColumn id="12219" xr3:uid="{66B2B97F-D198-4BFB-974F-6A1CCC97595C}" name="Column12171" dataDxfId="4183"/>
    <tableColumn id="12220" xr3:uid="{828ABC9A-7166-4A37-A3D3-7145135BF1DB}" name="Column12172" dataDxfId="4182"/>
    <tableColumn id="12221" xr3:uid="{37F0BC6B-AB85-4039-83F3-EC52C4508EF0}" name="Column12173" dataDxfId="4181"/>
    <tableColumn id="12222" xr3:uid="{860B1619-1373-400A-85B7-F45C3D58DC8A}" name="Column12174" dataDxfId="4180"/>
    <tableColumn id="12223" xr3:uid="{02F9AC6A-1D4B-4782-B0CF-5F7AC2C2950E}" name="Column12175" dataDxfId="4179"/>
    <tableColumn id="12224" xr3:uid="{0637EAD5-4EBF-4DD2-8945-5F3DE65DB8D2}" name="Column12176" dataDxfId="4178"/>
    <tableColumn id="12225" xr3:uid="{01805610-B578-4867-A621-A104F1B8DA79}" name="Column12177" dataDxfId="4177"/>
    <tableColumn id="12226" xr3:uid="{BE8B13F4-BA69-4EB7-AB1E-C55438F4E0E3}" name="Column12178" dataDxfId="4176"/>
    <tableColumn id="12227" xr3:uid="{09D8E283-B065-46CB-ABC0-09C2722CC055}" name="Column12179" dataDxfId="4175"/>
    <tableColumn id="12228" xr3:uid="{45A18011-9C8D-474C-9014-1590D8D1FE81}" name="Column12180" dataDxfId="4174"/>
    <tableColumn id="12229" xr3:uid="{2E168721-6C23-4877-975A-C890010167E8}" name="Column12181" dataDxfId="4173"/>
    <tableColumn id="12230" xr3:uid="{92BB1B73-02E1-406A-B1ED-13AE10190ED4}" name="Column12182" dataDxfId="4172"/>
    <tableColumn id="12231" xr3:uid="{F418A3D4-8819-4049-8D53-0C6BEB8BCEC3}" name="Column12183" dataDxfId="4171"/>
    <tableColumn id="12232" xr3:uid="{3F7F2359-E8E7-415C-B3B2-20DE1DD4AF83}" name="Column12184" dataDxfId="4170"/>
    <tableColumn id="12233" xr3:uid="{5AF060C8-E6CA-4003-BFB3-16BE0E4C9809}" name="Column12185" dataDxfId="4169"/>
    <tableColumn id="12234" xr3:uid="{BEE7ACB9-95A1-408E-A81E-76318C9FCAEF}" name="Column12186" dataDxfId="4168"/>
    <tableColumn id="12235" xr3:uid="{F19BABDC-A6C5-43FE-BF6D-A12EB89B81A2}" name="Column12187" dataDxfId="4167"/>
    <tableColumn id="12236" xr3:uid="{98B84180-1C25-480F-B52F-5C06571B7C61}" name="Column12188" dataDxfId="4166"/>
    <tableColumn id="12237" xr3:uid="{774DA25A-98FD-4EB5-B2A4-6D8108DD6401}" name="Column12189" dataDxfId="4165"/>
    <tableColumn id="12238" xr3:uid="{6CDC804E-56D5-4DE9-991A-4B0A66F621A9}" name="Column12190" dataDxfId="4164"/>
    <tableColumn id="12239" xr3:uid="{6DDB6F91-5652-4DAB-9214-097937F7F97C}" name="Column12191" dataDxfId="4163"/>
    <tableColumn id="12240" xr3:uid="{A8E3747D-9DBC-49B3-AD27-4DA5552F4E28}" name="Column12192" dataDxfId="4162"/>
    <tableColumn id="12241" xr3:uid="{D325BC1E-B210-40BE-A46E-8F3FED98558A}" name="Column12193" dataDxfId="4161"/>
    <tableColumn id="12242" xr3:uid="{E76D528D-4750-417A-A24D-E9BBA7967E9B}" name="Column12194" dataDxfId="4160"/>
    <tableColumn id="12243" xr3:uid="{9F945462-429F-48D5-BB70-ADE76BB99605}" name="Column12195" dataDxfId="4159"/>
    <tableColumn id="12244" xr3:uid="{4E2C621F-326B-48A9-9BB8-8B32972D2029}" name="Column12196" dataDxfId="4158"/>
    <tableColumn id="12245" xr3:uid="{E4B9A17E-4789-4FC8-8DA3-813B1B415501}" name="Column12197" dataDxfId="4157"/>
    <tableColumn id="12246" xr3:uid="{E6D1D02E-1350-4305-8F42-10870E90382A}" name="Column12198" dataDxfId="4156"/>
    <tableColumn id="12247" xr3:uid="{6C091A42-C564-4A54-B3D0-79812A41134C}" name="Column12199" dataDxfId="4155"/>
    <tableColumn id="12248" xr3:uid="{D76224C1-D456-4714-A047-EBD92D68392C}" name="Column12200" dataDxfId="4154"/>
    <tableColumn id="12249" xr3:uid="{703EA340-EC4E-4218-A6D0-81AC13CDFE7C}" name="Column12201" dataDxfId="4153"/>
    <tableColumn id="12250" xr3:uid="{AA5A3923-2F86-4DE0-B11A-904FD72759FD}" name="Column12202" dataDxfId="4152"/>
    <tableColumn id="12251" xr3:uid="{DE87E510-3DBC-4511-BC2D-109D2541B4C4}" name="Column12203" dataDxfId="4151"/>
    <tableColumn id="12252" xr3:uid="{3D41025C-6D6E-4F97-A165-ECF8FE1878F7}" name="Column12204" dataDxfId="4150"/>
    <tableColumn id="12253" xr3:uid="{DC7082B2-4B15-44AA-9958-E8DFC2672244}" name="Column12205" dataDxfId="4149"/>
    <tableColumn id="12254" xr3:uid="{351E8E0C-E83B-4FAC-B6D8-68CFD47469C5}" name="Column12206" dataDxfId="4148"/>
    <tableColumn id="12255" xr3:uid="{FE1FD85E-4DB6-48BA-AC78-CADF2399EE45}" name="Column12207" dataDxfId="4147"/>
    <tableColumn id="12256" xr3:uid="{71FB4E4C-BF13-42C8-BF1D-962386DBD19B}" name="Column12208" dataDxfId="4146"/>
    <tableColumn id="12257" xr3:uid="{90E9FC2C-E595-4757-AB41-553B4A280B79}" name="Column12209" dataDxfId="4145"/>
    <tableColumn id="12258" xr3:uid="{06C70F53-C3F4-4FF2-B0D7-A87C7DB1E7C2}" name="Column12210" dataDxfId="4144"/>
    <tableColumn id="12259" xr3:uid="{1B247EF8-704D-4238-B1CC-4DED789EAFE5}" name="Column12211" dataDxfId="4143"/>
    <tableColumn id="12260" xr3:uid="{5F45BCB0-59F7-4FF2-8E73-50DE8B9029F1}" name="Column12212" dataDxfId="4142"/>
    <tableColumn id="12261" xr3:uid="{DBEE988B-8626-42D9-B1C4-8BE3E59648DA}" name="Column12213" dataDxfId="4141"/>
    <tableColumn id="12262" xr3:uid="{78E9D948-0C79-48B6-884E-0695A570ABFB}" name="Column12214" dataDxfId="4140"/>
    <tableColumn id="12263" xr3:uid="{F421DCD2-95CE-471E-A5D1-BE3849E05F8C}" name="Column12215" dataDxfId="4139"/>
    <tableColumn id="12264" xr3:uid="{1A9AD231-5CD1-4B08-964E-0EFBAE48E92A}" name="Column12216" dataDxfId="4138"/>
    <tableColumn id="12265" xr3:uid="{E754E308-D998-47D5-B33B-FE7598983097}" name="Column12217" dataDxfId="4137"/>
    <tableColumn id="12266" xr3:uid="{58E1865D-61CC-42BF-85DD-FD163890A103}" name="Column12218" dataDxfId="4136"/>
    <tableColumn id="12267" xr3:uid="{2209D663-35D1-41C9-B1E4-A381BE42E0B3}" name="Column12219" dataDxfId="4135"/>
    <tableColumn id="12268" xr3:uid="{DB096CDF-2F28-44A1-91D8-388DDBCFF6D1}" name="Column12220" dataDxfId="4134"/>
    <tableColumn id="12269" xr3:uid="{0E5B8BCF-A4A8-4726-9597-A689241EDA02}" name="Column12221" dataDxfId="4133"/>
    <tableColumn id="12270" xr3:uid="{586DDEFE-DAD9-4DD4-B53B-50D389ED2596}" name="Column12222" dataDxfId="4132"/>
    <tableColumn id="12271" xr3:uid="{C698029D-5365-4330-85C9-D47B3370E0B2}" name="Column12223" dataDxfId="4131"/>
    <tableColumn id="12272" xr3:uid="{318B449F-3155-421D-A5C7-8D8BB8CE78BF}" name="Column12224" dataDxfId="4130"/>
    <tableColumn id="12273" xr3:uid="{C62B0945-DA76-4C19-8DD0-9E689B26597D}" name="Column12225" dataDxfId="4129"/>
    <tableColumn id="12274" xr3:uid="{9BC08211-FBBE-47CF-B18D-507A7A42ACD5}" name="Column12226" dataDxfId="4128"/>
    <tableColumn id="12275" xr3:uid="{C6825891-A61E-49FA-8DB8-2952E572C626}" name="Column12227" dataDxfId="4127"/>
    <tableColumn id="12276" xr3:uid="{C1989C50-BCF2-4846-841B-2B7F9D4DB6C4}" name="Column12228" dataDxfId="4126"/>
    <tableColumn id="12277" xr3:uid="{E2F870E3-FF87-440C-A7CC-56556B420DED}" name="Column12229" dataDxfId="4125"/>
    <tableColumn id="12278" xr3:uid="{166E166F-8BD0-4A9F-A694-87D4B99C6BFB}" name="Column12230" dataDxfId="4124"/>
    <tableColumn id="12279" xr3:uid="{CA815D07-87D8-47A1-A5B3-4911CF734B5C}" name="Column12231" dataDxfId="4123"/>
    <tableColumn id="12280" xr3:uid="{20F54A9C-335F-4374-A2F3-8794F49CC8FB}" name="Column12232" dataDxfId="4122"/>
    <tableColumn id="12281" xr3:uid="{82A9EB09-CAFE-4B8D-A51F-17A7F289B33F}" name="Column12233" dataDxfId="4121"/>
    <tableColumn id="12282" xr3:uid="{DE066A94-0B4D-481D-95C8-9D224536697B}" name="Column12234" dataDxfId="4120"/>
    <tableColumn id="12283" xr3:uid="{D29DA224-CCD9-4B1E-8EC5-ECF8B9961825}" name="Column12235" dataDxfId="4119"/>
    <tableColumn id="12284" xr3:uid="{1C7115D1-4FAB-45AB-941D-48C9F060EB12}" name="Column12236" dataDxfId="4118"/>
    <tableColumn id="12285" xr3:uid="{3498416E-BE41-4950-BBE9-6BA2BA49491B}" name="Column12237" dataDxfId="4117"/>
    <tableColumn id="12286" xr3:uid="{398A9063-B99A-4FD7-A619-886982B0B9D2}" name="Column12238" dataDxfId="4116"/>
    <tableColumn id="12287" xr3:uid="{72A21389-C0FE-400C-806C-BD71DD639CD6}" name="Column12239" dataDxfId="4115"/>
    <tableColumn id="12288" xr3:uid="{E279D607-9627-4C06-A57A-74C9EB1BCA11}" name="Column12240" dataDxfId="4114"/>
    <tableColumn id="12289" xr3:uid="{CF3749D8-8B3C-4657-ACD6-4F702FE11936}" name="Column12241" dataDxfId="4113"/>
    <tableColumn id="12290" xr3:uid="{3F061FFF-BAC9-4721-8737-6944B7CACAFB}" name="Column12242" dataDxfId="4112"/>
    <tableColumn id="12291" xr3:uid="{DADD2585-C8AE-476A-8A4D-78B65CDF05A9}" name="Column12243" dataDxfId="4111"/>
    <tableColumn id="12292" xr3:uid="{2770A36D-BC24-4EF4-A101-600608DB9B94}" name="Column12244" dataDxfId="4110"/>
    <tableColumn id="12293" xr3:uid="{25F4BF3A-A873-4646-8AAA-14BDE9357A43}" name="Column12245" dataDxfId="4109"/>
    <tableColumn id="12294" xr3:uid="{55837B82-6C56-4BA6-B3FA-88C631C957B6}" name="Column12246" dataDxfId="4108"/>
    <tableColumn id="12295" xr3:uid="{7CAE81A3-7BB6-474E-A974-BCC7B10E6EFB}" name="Column12247" dataDxfId="4107"/>
    <tableColumn id="12296" xr3:uid="{B0AD8FF5-59FF-4BB7-9F37-4D7589166B0C}" name="Column12248" dataDxfId="4106"/>
    <tableColumn id="12297" xr3:uid="{DAAA38F9-CB56-4777-8DE4-78051EFF3ADF}" name="Column12249" dataDxfId="4105"/>
    <tableColumn id="12298" xr3:uid="{041EA859-A168-4EB6-87F5-736FE6BCC1D7}" name="Column12250" dataDxfId="4104"/>
    <tableColumn id="12299" xr3:uid="{7A943D57-9685-4ED4-AF90-4AC12AC6CC09}" name="Column12251" dataDxfId="4103"/>
    <tableColumn id="12300" xr3:uid="{DB420DD6-3D1D-4D25-9475-B1A0FE00E135}" name="Column12252" dataDxfId="4102"/>
    <tableColumn id="12301" xr3:uid="{DE773F0F-0FC3-43BA-8CF9-CB767678A8E7}" name="Column12253" dataDxfId="4101"/>
    <tableColumn id="12302" xr3:uid="{FD6D2A28-B8DA-45E8-8E00-B3842C9B7C87}" name="Column12254" dataDxfId="4100"/>
    <tableColumn id="12303" xr3:uid="{1FE4AEC9-DB32-4B97-B524-7D632C4B1428}" name="Column12255" dataDxfId="4099"/>
    <tableColumn id="12304" xr3:uid="{5684CF8A-823D-4910-A861-E5DB5DA7661D}" name="Column12256" dataDxfId="4098"/>
    <tableColumn id="12305" xr3:uid="{DA05F91F-8CEA-4CFD-8719-882EE2E2B3E6}" name="Column12257" dataDxfId="4097"/>
    <tableColumn id="12306" xr3:uid="{5DA9D0F4-C293-4898-AB93-295A0B4EEA62}" name="Column12258" dataDxfId="4096"/>
    <tableColumn id="12307" xr3:uid="{9ABBEB45-9301-4C60-B3CE-2EE35E919430}" name="Column12259" dataDxfId="4095"/>
    <tableColumn id="12308" xr3:uid="{B49302F0-2DEB-4EB6-8DC2-D2AB31341A5B}" name="Column12260" dataDxfId="4094"/>
    <tableColumn id="12309" xr3:uid="{81A9D678-3D4B-4562-8EAC-1E5BEDD5D8D9}" name="Column12261" dataDxfId="4093"/>
    <tableColumn id="12310" xr3:uid="{24427D26-453B-4ACD-B23C-7DA173F63590}" name="Column12262" dataDxfId="4092"/>
    <tableColumn id="12311" xr3:uid="{8CCBFFFB-310C-41A8-9BF8-FB0C98629B48}" name="Column12263" dataDxfId="4091"/>
    <tableColumn id="12312" xr3:uid="{50430847-D4EB-4962-9F06-2F1674126DC6}" name="Column12264" dataDxfId="4090"/>
    <tableColumn id="12313" xr3:uid="{44F0BA4E-B6C3-4ED7-9B7B-C9A428A162FC}" name="Column12265" dataDxfId="4089"/>
    <tableColumn id="12314" xr3:uid="{B3A5CE88-34B1-4174-BC44-42603B637016}" name="Column12266" dataDxfId="4088"/>
    <tableColumn id="12315" xr3:uid="{1A236754-B0C7-41DA-B484-D47B7CA19582}" name="Column12267" dataDxfId="4087"/>
    <tableColumn id="12316" xr3:uid="{661B9A66-45A9-42C2-8EBC-4E009DEAEC2F}" name="Column12268" dataDxfId="4086"/>
    <tableColumn id="12317" xr3:uid="{6D8C1817-7C32-4286-BA0A-D054F7337B94}" name="Column12269" dataDxfId="4085"/>
    <tableColumn id="12318" xr3:uid="{A9CBCB83-61FB-4CD5-8658-D86AB1E59A3B}" name="Column12270" dataDxfId="4084"/>
    <tableColumn id="12319" xr3:uid="{81E33B00-8D52-4D04-8F7A-A40AB9F3F3B0}" name="Column12271" dataDxfId="4083"/>
    <tableColumn id="12320" xr3:uid="{17B0BDEC-FE5C-4067-A638-9DBFA4E6DD6E}" name="Column12272" dataDxfId="4082"/>
    <tableColumn id="12321" xr3:uid="{27486D73-9FBC-4D27-B8DF-0A604CFE86ED}" name="Column12273" dataDxfId="4081"/>
    <tableColumn id="12322" xr3:uid="{DB0C7DD6-5280-4597-AEF7-6215E084A3D4}" name="Column12274" dataDxfId="4080"/>
    <tableColumn id="12323" xr3:uid="{1B079E71-48BD-4BB8-8C15-FE055AEE1807}" name="Column12275" dataDxfId="4079"/>
    <tableColumn id="12324" xr3:uid="{BA773438-42E4-4A23-A08E-071F7EE83DF8}" name="Column12276" dataDxfId="4078"/>
    <tableColumn id="12325" xr3:uid="{7B12D575-2F63-4E13-B363-9302E884D955}" name="Column12277" dataDxfId="4077"/>
    <tableColumn id="12326" xr3:uid="{AAC87EE4-A1C7-419C-8B74-49DEB1E90F9F}" name="Column12278" dataDxfId="4076"/>
    <tableColumn id="12327" xr3:uid="{1DB33C5E-3821-42B4-B31C-2A54FBBEFCBD}" name="Column12279" dataDxfId="4075"/>
    <tableColumn id="12328" xr3:uid="{70F0CE33-2DE4-4D3A-B9E6-D87D4D3C92A8}" name="Column12280" dataDxfId="4074"/>
    <tableColumn id="12329" xr3:uid="{93B42D46-C95C-4C78-B242-86CF2A7152AF}" name="Column12281" dataDxfId="4073"/>
    <tableColumn id="12330" xr3:uid="{B8ACA32A-9170-4B75-ABA7-B925629CE352}" name="Column12282" dataDxfId="4072"/>
    <tableColumn id="12331" xr3:uid="{AA425544-DA6F-4AC4-87A6-78FB1B1ACAFF}" name="Column12283" dataDxfId="4071"/>
    <tableColumn id="12332" xr3:uid="{5E562A0D-257A-49FE-8D0B-052FD0AB5852}" name="Column12284" dataDxfId="4070"/>
    <tableColumn id="12333" xr3:uid="{B017D50B-538A-422F-B5DD-67651B8499C5}" name="Column12285" dataDxfId="4069"/>
    <tableColumn id="12334" xr3:uid="{0159DFD4-2A6E-4070-A53C-E87ED5FC0E2B}" name="Column12286" dataDxfId="4068"/>
    <tableColumn id="12335" xr3:uid="{52BF74BC-1305-49FA-BD71-861D89643890}" name="Column12287" dataDxfId="4067"/>
    <tableColumn id="12336" xr3:uid="{8497379F-910A-42DC-B32E-87AB13A22D9E}" name="Column12288" dataDxfId="4066"/>
    <tableColumn id="12337" xr3:uid="{A7419B5F-414F-4205-80D2-242F0F599153}" name="Column12289" dataDxfId="4065"/>
    <tableColumn id="12338" xr3:uid="{95F2557A-0F1B-4F83-B8FF-F313D96CA461}" name="Column12290" dataDxfId="4064"/>
    <tableColumn id="12339" xr3:uid="{1BE01726-1D75-4BCF-96F4-3E2DF02AF3D8}" name="Column12291" dataDxfId="4063"/>
    <tableColumn id="12340" xr3:uid="{1C8D2A13-C72B-4600-9978-676F31FCF8D5}" name="Column12292" dataDxfId="4062"/>
    <tableColumn id="12341" xr3:uid="{D212ED83-BDFB-4D69-8C9E-12FB5A01810B}" name="Column12293" dataDxfId="4061"/>
    <tableColumn id="12342" xr3:uid="{951B2D75-7537-42AA-9EDE-767C8FA1710B}" name="Column12294" dataDxfId="4060"/>
    <tableColumn id="12343" xr3:uid="{0D0F1016-1679-4026-A376-109614ECF5B4}" name="Column12295" dataDxfId="4059"/>
    <tableColumn id="12344" xr3:uid="{9DA96523-2799-4C47-A166-8CAADA7ED6B9}" name="Column12296" dataDxfId="4058"/>
    <tableColumn id="12345" xr3:uid="{A604D319-B626-46BF-9AAB-94D12A315ECE}" name="Column12297" dataDxfId="4057"/>
    <tableColumn id="12346" xr3:uid="{0602302E-C0AD-4E6A-864B-36DAA53C6DB0}" name="Column12298" dataDxfId="4056"/>
    <tableColumn id="12347" xr3:uid="{C0C6CF9E-43FF-4140-AC66-6E7944E10013}" name="Column12299" dataDxfId="4055"/>
    <tableColumn id="12348" xr3:uid="{FA49C6D3-1CB3-4101-ADA5-C7490E29C348}" name="Column12300" dataDxfId="4054"/>
    <tableColumn id="12349" xr3:uid="{3AEF61A5-CD06-4A95-A582-4D2512FD9974}" name="Column12301" dataDxfId="4053"/>
    <tableColumn id="12350" xr3:uid="{9E50AACA-58CD-448F-8217-B33672CEAA3E}" name="Column12302" dataDxfId="4052"/>
    <tableColumn id="12351" xr3:uid="{D275A173-1C29-40C7-83BE-939996217637}" name="Column12303" dataDxfId="4051"/>
    <tableColumn id="12352" xr3:uid="{4C647A1B-8E3A-4D8C-9FBD-9D29BD23E804}" name="Column12304" dataDxfId="4050"/>
    <tableColumn id="12353" xr3:uid="{27844DD8-12AD-4806-B9EF-E79D70B230EF}" name="Column12305" dataDxfId="4049"/>
    <tableColumn id="12354" xr3:uid="{52DFB161-A9BF-49E4-86EF-2D1789EDEB83}" name="Column12306" dataDxfId="4048"/>
    <tableColumn id="12355" xr3:uid="{7E65A9EF-6BC0-428E-B1CD-77D471743327}" name="Column12307" dataDxfId="4047"/>
    <tableColumn id="12356" xr3:uid="{E4E436A3-594E-4A9F-A23E-9C0F82EA33CA}" name="Column12308" dataDxfId="4046"/>
    <tableColumn id="12357" xr3:uid="{79497C4D-C899-4429-9944-F61AD2CA19D8}" name="Column12309" dataDxfId="4045"/>
    <tableColumn id="12358" xr3:uid="{F1F4C4DC-913D-40F3-849E-E7F4E250ED8D}" name="Column12310" dataDxfId="4044"/>
    <tableColumn id="12359" xr3:uid="{C3B202A3-C99D-45BB-8B02-F340916C7812}" name="Column12311" dataDxfId="4043"/>
    <tableColumn id="12360" xr3:uid="{8002D0D0-6C0A-48B6-88CC-2D7C01BF57B0}" name="Column12312" dataDxfId="4042"/>
    <tableColumn id="12361" xr3:uid="{92C38D3B-8D75-4ECA-96F2-22FA2CD44D56}" name="Column12313" dataDxfId="4041"/>
    <tableColumn id="12362" xr3:uid="{3806784F-BDF8-4566-A6D4-29464B8FACB0}" name="Column12314" dataDxfId="4040"/>
    <tableColumn id="12363" xr3:uid="{FCB834ED-0E5F-4026-A979-B8821A54AA7A}" name="Column12315" dataDxfId="4039"/>
    <tableColumn id="12364" xr3:uid="{A27FA92F-0DB9-49AF-B41B-4CA2205E0F8C}" name="Column12316" dataDxfId="4038"/>
    <tableColumn id="12365" xr3:uid="{AD647B04-D6A0-4901-ACAE-FBC5D88AF8B2}" name="Column12317" dataDxfId="4037"/>
    <tableColumn id="12366" xr3:uid="{FB20D844-BF66-4B5E-B36A-E8C3F778F62D}" name="Column12318" dataDxfId="4036"/>
    <tableColumn id="12367" xr3:uid="{102F0DFD-CFE6-49F9-AA69-6766E62A4BF9}" name="Column12319" dataDxfId="4035"/>
    <tableColumn id="12368" xr3:uid="{26163477-5E75-420F-BEAB-1B4C61EFBF5F}" name="Column12320" dataDxfId="4034"/>
    <tableColumn id="12369" xr3:uid="{0D624363-5CA8-47C0-A480-B8B003E7F58D}" name="Column12321" dataDxfId="4033"/>
    <tableColumn id="12370" xr3:uid="{341B8D63-8096-4FEF-8B83-0CA49BE23618}" name="Column12322" dataDxfId="4032"/>
    <tableColumn id="12371" xr3:uid="{F9D78CEF-F589-4847-95D1-BB1DB91DD4CD}" name="Column12323" dataDxfId="4031"/>
    <tableColumn id="12372" xr3:uid="{4C050422-0620-44C1-A1E7-AF89E486DD49}" name="Column12324" dataDxfId="4030"/>
    <tableColumn id="12373" xr3:uid="{39EDE3A1-000D-46DD-904D-51F24BC6CEE6}" name="Column12325" dataDxfId="4029"/>
    <tableColumn id="12374" xr3:uid="{CDD966F0-24CF-4742-BB80-1208FEBAF074}" name="Column12326" dataDxfId="4028"/>
    <tableColumn id="12375" xr3:uid="{C783ED53-83DE-4134-A5B6-9EA5078DDD24}" name="Column12327" dataDxfId="4027"/>
    <tableColumn id="12376" xr3:uid="{D00BC1EC-944E-4D18-AD0A-DC1B7008E500}" name="Column12328" dataDxfId="4026"/>
    <tableColumn id="12377" xr3:uid="{A4155A7E-F566-44A2-B753-70D368826BDE}" name="Column12329" dataDxfId="4025"/>
    <tableColumn id="12378" xr3:uid="{CF41E81E-5032-4D6E-9423-D20961B40B8D}" name="Column12330" dataDxfId="4024"/>
    <tableColumn id="12379" xr3:uid="{DC635861-A04B-4FA5-884E-CD57B2F2AAED}" name="Column12331" dataDxfId="4023"/>
    <tableColumn id="12380" xr3:uid="{63B1CB2D-0EA8-4564-AF40-740BB14622A1}" name="Column12332" dataDxfId="4022"/>
    <tableColumn id="12381" xr3:uid="{B882950A-04A4-44AE-A03C-D1A84B583A09}" name="Column12333" dataDxfId="4021"/>
    <tableColumn id="12382" xr3:uid="{148ECA17-8E5F-47C1-B94C-D170C4419F03}" name="Column12334" dataDxfId="4020"/>
    <tableColumn id="12383" xr3:uid="{0C123DEC-D042-4A38-B89B-8044FB09A123}" name="Column12335" dataDxfId="4019"/>
    <tableColumn id="12384" xr3:uid="{23478DBF-3D3B-4A4F-8442-1CB61844EDFC}" name="Column12336" dataDxfId="4018"/>
    <tableColumn id="12385" xr3:uid="{E381BDED-8B0D-42B5-9EF3-3D9899B99D63}" name="Column12337" dataDxfId="4017"/>
    <tableColumn id="12386" xr3:uid="{D3FC12A3-559E-4676-9670-80E8F49ED405}" name="Column12338" dataDxfId="4016"/>
    <tableColumn id="12387" xr3:uid="{B1A31B79-A320-486A-844A-0D737178701A}" name="Column12339" dataDxfId="4015"/>
    <tableColumn id="12388" xr3:uid="{1F4F2E1E-C6B7-43AE-B7FC-BCA5F00C0D66}" name="Column12340" dataDxfId="4014"/>
    <tableColumn id="12389" xr3:uid="{815736D5-040C-4E9B-860E-25DD6B877653}" name="Column12341" dataDxfId="4013"/>
    <tableColumn id="12390" xr3:uid="{EFA5BB28-03E5-489E-8B3A-8BCC1D85F1CC}" name="Column12342" dataDxfId="4012"/>
    <tableColumn id="12391" xr3:uid="{3D5238C3-B27E-40C3-B7F7-D2AE757F07F4}" name="Column12343" dataDxfId="4011"/>
    <tableColumn id="12392" xr3:uid="{E6F852FA-A9F3-4B92-A582-962CD23842D7}" name="Column12344" dataDxfId="4010"/>
    <tableColumn id="12393" xr3:uid="{C5D15631-59F7-4EB6-B638-5362EDF628FD}" name="Column12345" dataDxfId="4009"/>
    <tableColumn id="12394" xr3:uid="{9CC95E57-B2E4-4E38-880D-705F4E47EDD1}" name="Column12346" dataDxfId="4008"/>
    <tableColumn id="12395" xr3:uid="{C6F229B8-8E1E-4B53-B91F-A7DAA2BA81F9}" name="Column12347" dataDxfId="4007"/>
    <tableColumn id="12396" xr3:uid="{D2A7AC5C-2B5D-4EEB-85A3-A4A7E6912E34}" name="Column12348" dataDxfId="4006"/>
    <tableColumn id="12397" xr3:uid="{58E6EC8B-485A-4AF3-9873-501ABEC15A7E}" name="Column12349" dataDxfId="4005"/>
    <tableColumn id="12398" xr3:uid="{53CCC4D5-5B93-481E-A3EC-48804D8C3E79}" name="Column12350" dataDxfId="4004"/>
    <tableColumn id="12399" xr3:uid="{845752E8-9641-4475-951E-47ADF52D2D4E}" name="Column12351" dataDxfId="4003"/>
    <tableColumn id="12400" xr3:uid="{A17880E8-B4A5-46FB-B7A1-AD6E49E8502B}" name="Column12352" dataDxfId="4002"/>
    <tableColumn id="12401" xr3:uid="{432575B2-84E5-4A82-AF54-648BF0382A6B}" name="Column12353" dataDxfId="4001"/>
    <tableColumn id="12402" xr3:uid="{A66720CF-EC1C-4CB0-B652-CAB8E0CE2BC3}" name="Column12354" dataDxfId="4000"/>
    <tableColumn id="12403" xr3:uid="{193ECBE9-68FC-45CF-BB32-983E70D5E4FE}" name="Column12355" dataDxfId="3999"/>
    <tableColumn id="12404" xr3:uid="{524A4CEF-4247-4BDB-8B6F-0506924F838C}" name="Column12356" dataDxfId="3998"/>
    <tableColumn id="12405" xr3:uid="{549CD75E-F6AC-44ED-B030-3CC6DFDAE08C}" name="Column12357" dataDxfId="3997"/>
    <tableColumn id="12406" xr3:uid="{64599830-AB96-4A52-BCB8-479E36CECE55}" name="Column12358" dataDxfId="3996"/>
    <tableColumn id="12407" xr3:uid="{8BB7B2B1-7C99-424F-8CC1-A4225F9E7C96}" name="Column12359" dataDxfId="3995"/>
    <tableColumn id="12408" xr3:uid="{794E0642-CD89-4287-A9AC-021E1B8B7A6F}" name="Column12360" dataDxfId="3994"/>
    <tableColumn id="12409" xr3:uid="{EBCD4B75-28AA-4B9C-A9F3-8CDE2296D62B}" name="Column12361" dataDxfId="3993"/>
    <tableColumn id="12410" xr3:uid="{B0CBB4FC-968B-445C-92E9-0B78FF0489D1}" name="Column12362" dataDxfId="3992"/>
    <tableColumn id="12411" xr3:uid="{F3EC86E3-C546-4737-B1FF-CE710C137835}" name="Column12363" dataDxfId="3991"/>
    <tableColumn id="12412" xr3:uid="{67AA472E-B75D-47F9-AF8E-CCD9CE1806B2}" name="Column12364" dataDxfId="3990"/>
    <tableColumn id="12413" xr3:uid="{9C96F81F-88BA-4E7E-B243-F95D148AD3EC}" name="Column12365" dataDxfId="3989"/>
    <tableColumn id="12414" xr3:uid="{C761F87B-63A1-4103-92B2-7C24644A5E07}" name="Column12366" dataDxfId="3988"/>
    <tableColumn id="12415" xr3:uid="{74EA2216-23BF-4203-8704-A9E557B3E6D9}" name="Column12367" dataDxfId="3987"/>
    <tableColumn id="12416" xr3:uid="{D6F49370-B2DD-4231-8412-DF09DD4631D1}" name="Column12368" dataDxfId="3986"/>
    <tableColumn id="12417" xr3:uid="{C94AD125-DCED-405C-B54D-9B3F9F7B3B86}" name="Column12369" dataDxfId="3985"/>
    <tableColumn id="12418" xr3:uid="{6C69413C-F2E6-4290-8E6E-A2260E1CCF1D}" name="Column12370" dataDxfId="3984"/>
    <tableColumn id="12419" xr3:uid="{C33EDAD0-2F40-493C-ABAB-85A8A2FA2EB4}" name="Column12371" dataDxfId="3983"/>
    <tableColumn id="12420" xr3:uid="{D28AB7F4-94DE-4036-A53C-22B5E101E24C}" name="Column12372" dataDxfId="3982"/>
    <tableColumn id="12421" xr3:uid="{927685A8-37D4-4148-8B3E-E9A2DE22CA0A}" name="Column12373" dataDxfId="3981"/>
    <tableColumn id="12422" xr3:uid="{87D97B06-15AE-40AF-A3A5-A9E32EFC8010}" name="Column12374" dataDxfId="3980"/>
    <tableColumn id="12423" xr3:uid="{E0DF3043-E510-41A1-BD71-680490BB99C4}" name="Column12375" dataDxfId="3979"/>
    <tableColumn id="12424" xr3:uid="{3787683A-1882-40FE-B299-E32A626A0BB9}" name="Column12376" dataDxfId="3978"/>
    <tableColumn id="12425" xr3:uid="{18C5711A-9EB2-4F7F-9CF3-A1B181F05893}" name="Column12377" dataDxfId="3977"/>
    <tableColumn id="12426" xr3:uid="{A586C835-DBE8-4B0A-A2D7-BF3CE890313B}" name="Column12378" dataDxfId="3976"/>
    <tableColumn id="12427" xr3:uid="{BB66C07F-C328-43FF-8083-C0587811D57F}" name="Column12379" dataDxfId="3975"/>
    <tableColumn id="12428" xr3:uid="{A0CDBE08-4FD0-4D1C-871C-7DAC7107D0CC}" name="Column12380" dataDxfId="3974"/>
    <tableColumn id="12429" xr3:uid="{2D81CFE9-6225-4C90-A9BC-8F115A3613F5}" name="Column12381" dataDxfId="3973"/>
    <tableColumn id="12430" xr3:uid="{4D33A170-A19E-4775-9265-CEFC36843F7F}" name="Column12382" dataDxfId="3972"/>
    <tableColumn id="12431" xr3:uid="{FC082AED-4382-48E6-BE54-785342091EA8}" name="Column12383" dataDxfId="3971"/>
    <tableColumn id="12432" xr3:uid="{0857A664-D0EC-4738-82BD-2C73C58097DD}" name="Column12384" dataDxfId="3970"/>
    <tableColumn id="12433" xr3:uid="{24842605-0155-429E-8BFF-FFE8A71F720C}" name="Column12385" dataDxfId="3969"/>
    <tableColumn id="12434" xr3:uid="{17EF641C-C5D2-496C-AF94-E2AEB24CD6EE}" name="Column12386" dataDxfId="3968"/>
    <tableColumn id="12435" xr3:uid="{EE97C5C8-0961-441C-8584-A1558F5674A0}" name="Column12387" dataDxfId="3967"/>
    <tableColumn id="12436" xr3:uid="{EE1BB732-DDAE-4326-ACE0-5A30FC36A25F}" name="Column12388" dataDxfId="3966"/>
    <tableColumn id="12437" xr3:uid="{57F45B22-23D3-4F38-945E-96B20A27BD27}" name="Column12389" dataDxfId="3965"/>
    <tableColumn id="12438" xr3:uid="{AE24DDAF-FE05-4ADD-BA58-6B294D17649D}" name="Column12390" dataDxfId="3964"/>
    <tableColumn id="12439" xr3:uid="{4BC0A35D-85EC-418B-854A-577353F2CA82}" name="Column12391" dataDxfId="3963"/>
    <tableColumn id="12440" xr3:uid="{20ACA353-4DDF-4C75-856B-0F6956B1914C}" name="Column12392" dataDxfId="3962"/>
    <tableColumn id="12441" xr3:uid="{57DA7BB0-0987-4647-8D59-B283A69C30BE}" name="Column12393" dataDxfId="3961"/>
    <tableColumn id="12442" xr3:uid="{2907DE63-803E-4CC8-BBB9-561AD2EF67CC}" name="Column12394" dataDxfId="3960"/>
    <tableColumn id="12443" xr3:uid="{C7D66D34-1BE1-4F4C-8C74-80AD7E53DEB8}" name="Column12395" dataDxfId="3959"/>
    <tableColumn id="12444" xr3:uid="{6DFC1419-D369-4430-867C-4E5351F722F8}" name="Column12396" dataDxfId="3958"/>
    <tableColumn id="12445" xr3:uid="{DF4A5D04-6C07-4611-959F-11974ADE36C3}" name="Column12397" dataDxfId="3957"/>
    <tableColumn id="12446" xr3:uid="{3B652BE6-E30D-420F-BCBA-2E135EDA8AD8}" name="Column12398" dataDxfId="3956"/>
    <tableColumn id="12447" xr3:uid="{49952827-1CB9-44B1-B2D4-6FAF8CA2EF70}" name="Column12399" dataDxfId="3955"/>
    <tableColumn id="12448" xr3:uid="{AC4B4FF9-94BC-46A8-A1CC-E7BD3AF7697A}" name="Column12400" dataDxfId="3954"/>
    <tableColumn id="12449" xr3:uid="{864DEE48-88E5-48F9-A5AE-2C96FA4CA311}" name="Column12401" dataDxfId="3953"/>
    <tableColumn id="12450" xr3:uid="{82DA2B71-E62D-43A9-B67C-520FA48D5255}" name="Column12402" dataDxfId="3952"/>
    <tableColumn id="12451" xr3:uid="{AA3C164B-C807-443D-88DA-3910A656CD47}" name="Column12403" dataDxfId="3951"/>
    <tableColumn id="12452" xr3:uid="{4EE9C9A6-E11F-4237-849A-E0B3C1653371}" name="Column12404" dataDxfId="3950"/>
    <tableColumn id="12453" xr3:uid="{2D111D7E-5E7E-4725-B390-3D94F684E0EB}" name="Column12405" dataDxfId="3949"/>
    <tableColumn id="12454" xr3:uid="{772BA74C-ED65-4546-A29E-F197E4897092}" name="Column12406" dataDxfId="3948"/>
    <tableColumn id="12455" xr3:uid="{E8EA6837-B3EE-49C7-AEE9-B990F77BAF21}" name="Column12407" dataDxfId="3947"/>
    <tableColumn id="12456" xr3:uid="{B3A043EC-E100-44CA-8CCF-3C876F291DC6}" name="Column12408" dataDxfId="3946"/>
    <tableColumn id="12457" xr3:uid="{5D626C11-AC49-4783-A8BD-6DA35469CD71}" name="Column12409" dataDxfId="3945"/>
    <tableColumn id="12458" xr3:uid="{04437B4C-7A0D-494E-AFC5-0713417DA2D3}" name="Column12410" dataDxfId="3944"/>
    <tableColumn id="12459" xr3:uid="{881A9B5F-8E2F-4449-A311-9274FC3850E2}" name="Column12411" dataDxfId="3943"/>
    <tableColumn id="12460" xr3:uid="{F4670963-0281-4732-93F2-E1BEDCD91E2A}" name="Column12412" dataDxfId="3942"/>
    <tableColumn id="12461" xr3:uid="{2E608D74-2220-4FA9-8061-391DF38AB9AE}" name="Column12413" dataDxfId="3941"/>
    <tableColumn id="12462" xr3:uid="{F3F35BCF-E644-4928-91FD-ADE83C173D5F}" name="Column12414" dataDxfId="3940"/>
    <tableColumn id="12463" xr3:uid="{AB171216-CED6-49D4-8726-430FAE7E3F61}" name="Column12415" dataDxfId="3939"/>
    <tableColumn id="12464" xr3:uid="{2D0E3E00-98ED-4727-97A3-A0007CDF04F7}" name="Column12416" dataDxfId="3938"/>
    <tableColumn id="12465" xr3:uid="{C0D97E9D-DB7D-4F72-A643-3C97221F2013}" name="Column12417" dataDxfId="3937"/>
    <tableColumn id="12466" xr3:uid="{4C979D94-C399-4041-A62A-6F51E5851294}" name="Column12418" dataDxfId="3936"/>
    <tableColumn id="12467" xr3:uid="{19BF31A0-5088-482F-9E3C-321489E6F301}" name="Column12419" dataDxfId="3935"/>
    <tableColumn id="12468" xr3:uid="{9A8C6246-A0E3-4615-A2FF-866F5C7F6558}" name="Column12420" dataDxfId="3934"/>
    <tableColumn id="12469" xr3:uid="{27A5D9FB-3547-4C8C-8FC8-298E47163EF5}" name="Column12421" dataDxfId="3933"/>
    <tableColumn id="12470" xr3:uid="{57EF03F3-10A1-4D13-92D3-2754B46D6538}" name="Column12422" dataDxfId="3932"/>
    <tableColumn id="12471" xr3:uid="{4C8064A3-6F12-4B01-B46A-BC372D263295}" name="Column12423" dataDxfId="3931"/>
    <tableColumn id="12472" xr3:uid="{8A8E15F6-611B-4E43-A06A-459E53F98F9E}" name="Column12424" dataDxfId="3930"/>
    <tableColumn id="12473" xr3:uid="{FA6FD5C3-B499-4201-BA3D-8AFDFCF8C735}" name="Column12425" dataDxfId="3929"/>
    <tableColumn id="12474" xr3:uid="{58BBA5BA-5724-4C33-8366-A38CE6B9DA10}" name="Column12426" dataDxfId="3928"/>
    <tableColumn id="12475" xr3:uid="{B0F21CE3-6A3D-407E-8BB0-4A94AA573354}" name="Column12427" dataDxfId="3927"/>
    <tableColumn id="12476" xr3:uid="{9DF3F8D3-D78D-43D5-86A5-60513E375D97}" name="Column12428" dataDxfId="3926"/>
    <tableColumn id="12477" xr3:uid="{1F06B9E3-4059-4E13-AC37-E4CEAB2AB184}" name="Column12429" dataDxfId="3925"/>
    <tableColumn id="12478" xr3:uid="{0AA10077-32D2-43EB-9FCA-C43A139B0140}" name="Column12430" dataDxfId="3924"/>
    <tableColumn id="12479" xr3:uid="{110CCF43-70B1-41D7-BAE5-0A1F1CB865FE}" name="Column12431" dataDxfId="3923"/>
    <tableColumn id="12480" xr3:uid="{5CA521F9-72D7-4C9A-BFAB-DE7D828BF706}" name="Column12432" dataDxfId="3922"/>
    <tableColumn id="12481" xr3:uid="{48626A05-D01D-4174-9504-7AE4A38609F5}" name="Column12433" dataDxfId="3921"/>
    <tableColumn id="12482" xr3:uid="{6CE9F7B4-DD8A-4078-92D0-AC6BF7895116}" name="Column12434" dataDxfId="3920"/>
    <tableColumn id="12483" xr3:uid="{A20943E4-191D-4DBF-B19D-4EE7F1266477}" name="Column12435" dataDxfId="3919"/>
    <tableColumn id="12484" xr3:uid="{D5E52238-8D57-4797-A82C-F1DAB1ED30F8}" name="Column12436" dataDxfId="3918"/>
    <tableColumn id="12485" xr3:uid="{7F4B5961-2CFC-4A4A-B75D-D5A8E41A4507}" name="Column12437" dataDxfId="3917"/>
    <tableColumn id="12486" xr3:uid="{D20CCA3F-F38C-45BD-AFEB-2BD81081FEFC}" name="Column12438" dataDxfId="3916"/>
    <tableColumn id="12487" xr3:uid="{61220845-E794-466B-9AE7-996E8440F14C}" name="Column12439" dataDxfId="3915"/>
    <tableColumn id="12488" xr3:uid="{2E2D32D1-C3BD-40D6-A123-9F6DB693B8AE}" name="Column12440" dataDxfId="3914"/>
    <tableColumn id="12489" xr3:uid="{1D2E5020-8987-41EE-AF55-9A0B229BCB94}" name="Column12441" dataDxfId="3913"/>
    <tableColumn id="12490" xr3:uid="{D89C6048-D255-4A02-A0D3-E24E63269B45}" name="Column12442" dataDxfId="3912"/>
    <tableColumn id="12491" xr3:uid="{8364FF7F-4C52-436D-A213-27BC628E65FD}" name="Column12443" dataDxfId="3911"/>
    <tableColumn id="12492" xr3:uid="{357E1C39-79A3-4DCA-98C0-969DB9CC7280}" name="Column12444" dataDxfId="3910"/>
    <tableColumn id="12493" xr3:uid="{9AA7E95E-974A-4732-845F-A095BA13EE81}" name="Column12445" dataDxfId="3909"/>
    <tableColumn id="12494" xr3:uid="{12AAF4FD-3D61-4004-979A-92D275205D60}" name="Column12446" dataDxfId="3908"/>
    <tableColumn id="12495" xr3:uid="{4F925FF9-FB85-4F61-81E9-AEBAAA9A906A}" name="Column12447" dataDxfId="3907"/>
    <tableColumn id="12496" xr3:uid="{60858369-70D9-4557-A7B0-3584F097127A}" name="Column12448" dataDxfId="3906"/>
    <tableColumn id="12497" xr3:uid="{553C1F48-C00E-4474-9548-8B9440BFE3A9}" name="Column12449" dataDxfId="3905"/>
    <tableColumn id="12498" xr3:uid="{1E98048D-BCC4-4664-89CC-530D14DBAEB5}" name="Column12450" dataDxfId="3904"/>
    <tableColumn id="12499" xr3:uid="{D7BD2C51-E553-4D95-9FA2-8D6088F6A373}" name="Column12451" dataDxfId="3903"/>
    <tableColumn id="12500" xr3:uid="{2EA28386-4D1A-4623-8996-3AE5B5DD9AA7}" name="Column12452" dataDxfId="3902"/>
    <tableColumn id="12501" xr3:uid="{5B9D3CE5-3B88-4E82-A277-BECA599CB43A}" name="Column12453" dataDxfId="3901"/>
    <tableColumn id="12502" xr3:uid="{9AE33B2B-251B-4E33-A886-B3B68E585749}" name="Column12454" dataDxfId="3900"/>
    <tableColumn id="12503" xr3:uid="{E97E9C78-E78C-4521-B94F-D165E433016E}" name="Column12455" dataDxfId="3899"/>
    <tableColumn id="12504" xr3:uid="{A1A1D665-3658-4BBE-ABB5-950266F27816}" name="Column12456" dataDxfId="3898"/>
    <tableColumn id="12505" xr3:uid="{2AB08162-B510-4358-9232-C2C1319A1F7D}" name="Column12457" dataDxfId="3897"/>
    <tableColumn id="12506" xr3:uid="{69D8E09A-D8E2-4EBA-80CB-3842B90FE4A8}" name="Column12458" dataDxfId="3896"/>
    <tableColumn id="12507" xr3:uid="{A02E85FD-71C0-474F-99C3-2D1B5A872FCD}" name="Column12459" dataDxfId="3895"/>
    <tableColumn id="12508" xr3:uid="{F384C5D8-0EA3-4D61-9A90-5DAFFFB5623D}" name="Column12460" dataDxfId="3894"/>
    <tableColumn id="12509" xr3:uid="{70280955-5FCF-4F50-9932-3BB080C776B6}" name="Column12461" dataDxfId="3893"/>
    <tableColumn id="12510" xr3:uid="{9936BA35-ADAC-4083-A1D4-9ACCE09834EB}" name="Column12462" dataDxfId="3892"/>
    <tableColumn id="12511" xr3:uid="{1CD61374-2EC8-49E6-ADB5-150F02B32551}" name="Column12463" dataDxfId="3891"/>
    <tableColumn id="12512" xr3:uid="{C79837B0-5C3C-4D14-8C4F-D0DEEDC721BA}" name="Column12464" dataDxfId="3890"/>
    <tableColumn id="12513" xr3:uid="{72BDF017-4F88-479D-AC3D-7DCACC50C04D}" name="Column12465" dataDxfId="3889"/>
    <tableColumn id="12514" xr3:uid="{7B3518A7-0234-418A-98B7-E24E145E3278}" name="Column12466" dataDxfId="3888"/>
    <tableColumn id="12515" xr3:uid="{131FC63D-2A1D-444F-BA4F-DDA0C14FD237}" name="Column12467" dataDxfId="3887"/>
    <tableColumn id="12516" xr3:uid="{770D7B8A-7C02-4ADA-84A0-38718DC615F0}" name="Column12468" dataDxfId="3886"/>
    <tableColumn id="12517" xr3:uid="{237D85CA-9680-4844-A9E9-4DB30AD72A7C}" name="Column12469" dataDxfId="3885"/>
    <tableColumn id="12518" xr3:uid="{F119885C-2C71-490C-B8EB-E748D45870F9}" name="Column12470" dataDxfId="3884"/>
    <tableColumn id="12519" xr3:uid="{9D618B32-2C64-4032-81B2-DFBE4D34F35F}" name="Column12471" dataDxfId="3883"/>
    <tableColumn id="12520" xr3:uid="{796E69BB-623D-487B-93AA-FCCBDC407DF5}" name="Column12472" dataDxfId="3882"/>
    <tableColumn id="12521" xr3:uid="{D6CCFD8C-AD56-49F9-878A-2B4D0B10FEEB}" name="Column12473" dataDxfId="3881"/>
    <tableColumn id="12522" xr3:uid="{3C0EEDB7-1CF2-4C2D-A08D-E7D7351F26AE}" name="Column12474" dataDxfId="3880"/>
    <tableColumn id="12523" xr3:uid="{C9D4B0BD-D472-4577-ADE2-9BDF236D3533}" name="Column12475" dataDxfId="3879"/>
    <tableColumn id="12524" xr3:uid="{3851F774-C259-4F4E-B048-08E3BD73184F}" name="Column12476" dataDxfId="3878"/>
    <tableColumn id="12525" xr3:uid="{D0AB3EAC-0DA9-49BB-9B93-05F1BAB59774}" name="Column12477" dataDxfId="3877"/>
    <tableColumn id="12526" xr3:uid="{27F8257D-7812-4A9F-BA3C-979FFF274E56}" name="Column12478" dataDxfId="3876"/>
    <tableColumn id="12527" xr3:uid="{AB35D421-A158-44CB-A198-ABAC4723F690}" name="Column12479" dataDxfId="3875"/>
    <tableColumn id="12528" xr3:uid="{35C5E63A-4B18-456A-AE92-F1D4418D2E02}" name="Column12480" dataDxfId="3874"/>
    <tableColumn id="12529" xr3:uid="{E75BA74F-0F7F-4B1A-89B7-1D02119D487E}" name="Column12481" dataDxfId="3873"/>
    <tableColumn id="12530" xr3:uid="{14A8B724-D778-495D-B77A-A26BFD6B67F6}" name="Column12482" dataDxfId="3872"/>
    <tableColumn id="12531" xr3:uid="{43F53F3D-A273-4B75-A05D-7FACFD3660D9}" name="Column12483" dataDxfId="3871"/>
    <tableColumn id="12532" xr3:uid="{B9CDE3BA-3DAE-4A7B-80D2-4B7B73B19CA5}" name="Column12484" dataDxfId="3870"/>
    <tableColumn id="12533" xr3:uid="{2C14D6CE-9E95-4DEB-B12C-BD82830AF3BE}" name="Column12485" dataDxfId="3869"/>
    <tableColumn id="12534" xr3:uid="{E2767017-813C-4203-9C3D-54AE10910212}" name="Column12486" dataDxfId="3868"/>
    <tableColumn id="12535" xr3:uid="{43C23DCD-124C-4051-BB75-813CD17F40BD}" name="Column12487" dataDxfId="3867"/>
    <tableColumn id="12536" xr3:uid="{7E0039B1-6AC8-4F46-8DD9-B483596CC012}" name="Column12488" dataDxfId="3866"/>
    <tableColumn id="12537" xr3:uid="{3D981593-8909-4FAB-81C8-FEA5EE63D653}" name="Column12489" dataDxfId="3865"/>
    <tableColumn id="12538" xr3:uid="{1245FAB5-2253-40A3-A87C-7C95B89CB374}" name="Column12490" dataDxfId="3864"/>
    <tableColumn id="12539" xr3:uid="{E574D4F7-F746-4FCA-8197-095A902AA842}" name="Column12491" dataDxfId="3863"/>
    <tableColumn id="12540" xr3:uid="{640CB32D-4964-4494-9CD0-B1F1D58007F8}" name="Column12492" dataDxfId="3862"/>
    <tableColumn id="12541" xr3:uid="{206FF43F-3989-4F53-B8AC-EE962827D958}" name="Column12493" dataDxfId="3861"/>
    <tableColumn id="12542" xr3:uid="{FEAE3E54-CC0F-4E22-B661-E56D5C4EED27}" name="Column12494" dataDxfId="3860"/>
    <tableColumn id="12543" xr3:uid="{5143CE99-17A0-4C11-92A5-4C7CDE25AE01}" name="Column12495" dataDxfId="3859"/>
    <tableColumn id="12544" xr3:uid="{37BADCD8-AAAB-4DB1-8B1C-7712F2B3EDE1}" name="Column12496" dataDxfId="3858"/>
    <tableColumn id="12545" xr3:uid="{29E10522-E276-43C8-854A-5A1B836C84B9}" name="Column12497" dataDxfId="3857"/>
    <tableColumn id="12546" xr3:uid="{A48170E5-DAE0-4F24-84F3-AD6CC5860308}" name="Column12498" dataDxfId="3856"/>
    <tableColumn id="12547" xr3:uid="{537BA322-D080-44EB-8E60-6BF7326A42A5}" name="Column12499" dataDxfId="3855"/>
    <tableColumn id="12548" xr3:uid="{42C36483-D5F5-4C21-AEF4-64131DA40E84}" name="Column12500" dataDxfId="3854"/>
    <tableColumn id="12549" xr3:uid="{404D6A0F-D046-4E37-946A-C6F83160480B}" name="Column12501" dataDxfId="3853"/>
    <tableColumn id="12550" xr3:uid="{D2F78FFE-DCA7-43B8-8E83-CB974EEF16A9}" name="Column12502" dataDxfId="3852"/>
    <tableColumn id="12551" xr3:uid="{8001224C-E942-4D4E-A5CA-590344A7817B}" name="Column12503" dataDxfId="3851"/>
    <tableColumn id="12552" xr3:uid="{024694C9-6EAC-4102-BA7F-3BD1497A68EB}" name="Column12504" dataDxfId="3850"/>
    <tableColumn id="12553" xr3:uid="{F7939DD4-4DA1-495E-B703-A4E8EBAC550C}" name="Column12505" dataDxfId="3849"/>
    <tableColumn id="12554" xr3:uid="{DEA9C5DC-9757-4D6C-B0D5-60E95701ECFA}" name="Column12506" dataDxfId="3848"/>
    <tableColumn id="12555" xr3:uid="{49AFF6EE-3CBD-473C-9402-68501DBE7C38}" name="Column12507" dataDxfId="3847"/>
    <tableColumn id="12556" xr3:uid="{D5EA2F9A-95BB-4696-812C-C545DCF3BE22}" name="Column12508" dataDxfId="3846"/>
    <tableColumn id="12557" xr3:uid="{3B0A701A-41AC-456E-BC42-1DD8E129CC22}" name="Column12509" dataDxfId="3845"/>
    <tableColumn id="12558" xr3:uid="{F1010B35-990C-4DBA-B46F-E01FB31BE8B3}" name="Column12510" dataDxfId="3844"/>
    <tableColumn id="12559" xr3:uid="{25249172-C281-4959-A401-E4157F17DA07}" name="Column12511" dataDxfId="3843"/>
    <tableColumn id="12560" xr3:uid="{A4E48FAE-DBBF-4E85-AAD3-34BE13692EB1}" name="Column12512" dataDxfId="3842"/>
    <tableColumn id="12561" xr3:uid="{EE5E3804-5ED3-4F9D-9C0E-416F4FEC0FF8}" name="Column12513" dataDxfId="3841"/>
    <tableColumn id="12562" xr3:uid="{79A60948-82D4-47EE-84C6-97F0E278CED1}" name="Column12514" dataDxfId="3840"/>
    <tableColumn id="12563" xr3:uid="{EDC64E87-2778-4337-9F40-68767C2A45B5}" name="Column12515" dataDxfId="3839"/>
    <tableColumn id="12564" xr3:uid="{210522EE-3882-4F41-B39B-16E9F46C99E4}" name="Column12516" dataDxfId="3838"/>
    <tableColumn id="12565" xr3:uid="{17180BA8-F019-4F2F-84A0-84E728384500}" name="Column12517" dataDxfId="3837"/>
    <tableColumn id="12566" xr3:uid="{8E93B820-57DF-4F3C-8766-8C96223A2372}" name="Column12518" dataDxfId="3836"/>
    <tableColumn id="12567" xr3:uid="{FD4DE84F-4D0A-42F6-A94C-0298ED150B8D}" name="Column12519" dataDxfId="3835"/>
    <tableColumn id="12568" xr3:uid="{E9D7F3E3-CE8C-487F-A2C5-F9869B5BD515}" name="Column12520" dataDxfId="3834"/>
    <tableColumn id="12569" xr3:uid="{C7AF7630-579C-4B25-A87F-8B21B5A8F48D}" name="Column12521" dataDxfId="3833"/>
    <tableColumn id="12570" xr3:uid="{174E43F0-89B3-4572-8555-34B80891EC52}" name="Column12522" dataDxfId="3832"/>
    <tableColumn id="12571" xr3:uid="{A8D130F0-9A12-4674-92AC-7FED259F787F}" name="Column12523" dataDxfId="3831"/>
    <tableColumn id="12572" xr3:uid="{39F898F7-D0AE-4B44-A2B7-C70D146F1FDD}" name="Column12524" dataDxfId="3830"/>
    <tableColumn id="12573" xr3:uid="{2FF8B4A3-5F7E-412F-A09C-70F47AFA06AA}" name="Column12525" dataDxfId="3829"/>
    <tableColumn id="12574" xr3:uid="{0053FFA5-DE67-4EEF-B4D9-80EDCC683183}" name="Column12526" dataDxfId="3828"/>
    <tableColumn id="12575" xr3:uid="{FA03A9BD-DF2B-4154-A7BB-924F67E56B4F}" name="Column12527" dataDxfId="3827"/>
    <tableColumn id="12576" xr3:uid="{AACA469E-0380-4F79-96CF-CFEDEFFD5C27}" name="Column12528" dataDxfId="3826"/>
    <tableColumn id="12577" xr3:uid="{ADC9E7B7-F421-4855-8521-C213BEDC99AA}" name="Column12529" dataDxfId="3825"/>
    <tableColumn id="12578" xr3:uid="{0E376C71-9D6A-46D6-8C91-53D7CF9B2AE3}" name="Column12530" dataDxfId="3824"/>
    <tableColumn id="12579" xr3:uid="{ECFE593D-B26C-4F7E-BC56-4D42301E6F2A}" name="Column12531" dataDxfId="3823"/>
    <tableColumn id="12580" xr3:uid="{7CA63150-F397-4DE6-8EA7-2FED1D6C25EE}" name="Column12532" dataDxfId="3822"/>
    <tableColumn id="12581" xr3:uid="{2F32D98B-957B-4741-9095-00F95B11583A}" name="Column12533" dataDxfId="3821"/>
    <tableColumn id="12582" xr3:uid="{581DB820-404F-4C8C-88A9-48632CA8AF19}" name="Column12534" dataDxfId="3820"/>
    <tableColumn id="12583" xr3:uid="{791B7B2C-CEC0-4D86-9125-F8CCE4713792}" name="Column12535" dataDxfId="3819"/>
    <tableColumn id="12584" xr3:uid="{DEC9510D-1C41-4E34-BABB-499FA10ACCA6}" name="Column12536" dataDxfId="3818"/>
    <tableColumn id="12585" xr3:uid="{757E0DAA-E71D-428F-8619-26CEEB9452BB}" name="Column12537" dataDxfId="3817"/>
    <tableColumn id="12586" xr3:uid="{C4EB6FE9-2CB9-4800-8748-74432F3D0B07}" name="Column12538" dataDxfId="3816"/>
    <tableColumn id="12587" xr3:uid="{98DB67B0-A16D-4486-8A60-578162D48618}" name="Column12539" dataDxfId="3815"/>
    <tableColumn id="12588" xr3:uid="{A2DC3E4D-A293-49FF-AB28-25D994051BBE}" name="Column12540" dataDxfId="3814"/>
    <tableColumn id="12589" xr3:uid="{275B5E0E-E4F3-4183-8CD2-8D1048AED623}" name="Column12541" dataDxfId="3813"/>
    <tableColumn id="12590" xr3:uid="{4CD78F0B-FBD8-41BE-8680-A089940C9DB1}" name="Column12542" dataDxfId="3812"/>
    <tableColumn id="12591" xr3:uid="{833D477B-49B0-4F4B-92D2-771A3E908DE7}" name="Column12543" dataDxfId="3811"/>
    <tableColumn id="12592" xr3:uid="{FC02726E-DF4D-42E8-B3A6-935AA9C1950E}" name="Column12544" dataDxfId="3810"/>
    <tableColumn id="12593" xr3:uid="{657AE494-89EE-4CF6-903B-E233F1A79276}" name="Column12545" dataDxfId="3809"/>
    <tableColumn id="12594" xr3:uid="{65456E19-704B-4CD1-A508-1ACB533B3BE0}" name="Column12546" dataDxfId="3808"/>
    <tableColumn id="12595" xr3:uid="{57BB53E2-0D58-483E-BD7A-B289EDF11566}" name="Column12547" dataDxfId="3807"/>
    <tableColumn id="12596" xr3:uid="{4DA4B3B6-98A8-49D8-9F0F-8CB24B992CE0}" name="Column12548" dataDxfId="3806"/>
    <tableColumn id="12597" xr3:uid="{4182C95A-1D29-4173-992E-06B1CE4FE17F}" name="Column12549" dataDxfId="3805"/>
    <tableColumn id="12598" xr3:uid="{226CFD6D-6E4B-40C1-B26A-0FB926B7B138}" name="Column12550" dataDxfId="3804"/>
    <tableColumn id="12599" xr3:uid="{2A10BEA5-AEBB-432F-9DAB-19F0ACC27D4A}" name="Column12551" dataDxfId="3803"/>
    <tableColumn id="12600" xr3:uid="{D6B0AAEB-0BD1-48FE-9C52-8B7B0D056B21}" name="Column12552" dataDxfId="3802"/>
    <tableColumn id="12601" xr3:uid="{B8E80928-19F5-482B-A2A8-5F4C53837FFB}" name="Column12553" dataDxfId="3801"/>
    <tableColumn id="12602" xr3:uid="{F94C793F-DBE8-4D41-97F7-B775FA06866F}" name="Column12554" dataDxfId="3800"/>
    <tableColumn id="12603" xr3:uid="{EC68E697-4374-43B9-8387-F0FF80A30280}" name="Column12555" dataDxfId="3799"/>
    <tableColumn id="12604" xr3:uid="{A1BAA74F-B2F9-408F-A764-DBAD2C0D9C27}" name="Column12556" dataDxfId="3798"/>
    <tableColumn id="12605" xr3:uid="{15A66926-01D1-48C1-800F-A1217CC68D85}" name="Column12557" dataDxfId="3797"/>
    <tableColumn id="12606" xr3:uid="{CC69DA3C-520C-4835-BE1A-CAAB65D57056}" name="Column12558" dataDxfId="3796"/>
    <tableColumn id="12607" xr3:uid="{43C8AAA2-CF5C-4231-8FA4-AAE2810793A7}" name="Column12559" dataDxfId="3795"/>
    <tableColumn id="12608" xr3:uid="{5D778502-2F26-456D-811B-811029185E44}" name="Column12560" dataDxfId="3794"/>
    <tableColumn id="12609" xr3:uid="{59229209-F75A-4476-88E6-149749C6B7D1}" name="Column12561" dataDxfId="3793"/>
    <tableColumn id="12610" xr3:uid="{E804CBF6-F533-4D50-8C11-93ED1254F274}" name="Column12562" dataDxfId="3792"/>
    <tableColumn id="12611" xr3:uid="{F6318983-9410-49F7-8C97-22ADF5DA860F}" name="Column12563" dataDxfId="3791"/>
    <tableColumn id="12612" xr3:uid="{4C52742E-BD06-44E9-BA9B-E18A42942E1D}" name="Column12564" dataDxfId="3790"/>
    <tableColumn id="12613" xr3:uid="{68342B70-2EF1-43A8-A9F7-70DE67E21D27}" name="Column12565" dataDxfId="3789"/>
    <tableColumn id="12614" xr3:uid="{3B9D1DC1-5ACA-4E81-98A6-E7D38A00E664}" name="Column12566" dataDxfId="3788"/>
    <tableColumn id="12615" xr3:uid="{23FC33C0-3450-44DB-B790-B3A3D7DE49EA}" name="Column12567" dataDxfId="3787"/>
    <tableColumn id="12616" xr3:uid="{AB225FC0-DEF0-44A2-8063-58710249A269}" name="Column12568" dataDxfId="3786"/>
    <tableColumn id="12617" xr3:uid="{4803019E-5751-4712-885C-160985DDFE9F}" name="Column12569" dataDxfId="3785"/>
    <tableColumn id="12618" xr3:uid="{7FDEC6C0-EF69-4375-932B-54F46E0BC35D}" name="Column12570" dataDxfId="3784"/>
    <tableColumn id="12619" xr3:uid="{72A83763-297E-4B93-BC9B-BC0E53E27AB6}" name="Column12571" dataDxfId="3783"/>
    <tableColumn id="12620" xr3:uid="{17AD8584-F483-46AD-AA1E-00B62350B79A}" name="Column12572" dataDxfId="3782"/>
    <tableColumn id="12621" xr3:uid="{DF105158-57CB-495B-BC2F-0CC37D4D3067}" name="Column12573" dataDxfId="3781"/>
    <tableColumn id="12622" xr3:uid="{6FD57E39-8185-4352-9345-130BFC4AE735}" name="Column12574" dataDxfId="3780"/>
    <tableColumn id="12623" xr3:uid="{07018D35-E9AD-4CC1-BD8A-9E04657E3502}" name="Column12575" dataDxfId="3779"/>
    <tableColumn id="12624" xr3:uid="{D4BF14D0-BE6A-47AB-BB2B-2B5650B32074}" name="Column12576" dataDxfId="3778"/>
    <tableColumn id="12625" xr3:uid="{C9ECC150-D272-4434-BEEA-3F6081126893}" name="Column12577" dataDxfId="3777"/>
    <tableColumn id="12626" xr3:uid="{F08A5690-2496-46B1-8F7D-B0451116C499}" name="Column12578" dataDxfId="3776"/>
    <tableColumn id="12627" xr3:uid="{7DA16899-C477-4A2D-9F6D-66270BC1FCD1}" name="Column12579" dataDxfId="3775"/>
    <tableColumn id="12628" xr3:uid="{BF935410-F9FC-4AEE-AFF2-355FC471F408}" name="Column12580" dataDxfId="3774"/>
    <tableColumn id="12629" xr3:uid="{099BF13E-CC4F-4B1E-9D90-327895E46B9E}" name="Column12581" dataDxfId="3773"/>
    <tableColumn id="12630" xr3:uid="{C5E073BC-E9AB-45F4-9E4F-D14237BECCB3}" name="Column12582" dataDxfId="3772"/>
    <tableColumn id="12631" xr3:uid="{A271042B-5449-4AE1-B3C3-3398FBA2B0EA}" name="Column12583" dataDxfId="3771"/>
    <tableColumn id="12632" xr3:uid="{517D010C-E657-463C-8511-1A99DA6FBF53}" name="Column12584" dataDxfId="3770"/>
    <tableColumn id="12633" xr3:uid="{D17E9E38-397D-4FE0-965A-1A8F6D893103}" name="Column12585" dataDxfId="3769"/>
    <tableColumn id="12634" xr3:uid="{2370E6DC-4A3C-459C-893F-EF0EC3EF557D}" name="Column12586" dataDxfId="3768"/>
    <tableColumn id="12635" xr3:uid="{0E919D08-F5D5-4FF3-A73B-61DF28BBF25D}" name="Column12587" dataDxfId="3767"/>
    <tableColumn id="12636" xr3:uid="{CD45D24C-05C0-4181-89D4-9BED88D69E10}" name="Column12588" dataDxfId="3766"/>
    <tableColumn id="12637" xr3:uid="{BEFE08F4-11B6-4D0A-8D1E-724993E56C58}" name="Column12589" dataDxfId="3765"/>
    <tableColumn id="12638" xr3:uid="{0DC989EA-5CD5-4E06-AB33-2B6CB19F5564}" name="Column12590" dataDxfId="3764"/>
    <tableColumn id="12639" xr3:uid="{10081CB3-CB29-4701-B39B-E26D4DFD91C1}" name="Column12591" dataDxfId="3763"/>
    <tableColumn id="12640" xr3:uid="{D6DF5F8C-715C-456B-93AE-1C075EC743AE}" name="Column12592" dataDxfId="3762"/>
    <tableColumn id="12641" xr3:uid="{B3E7E4C9-9561-46BB-B4A9-0AEAE761673C}" name="Column12593" dataDxfId="3761"/>
    <tableColumn id="12642" xr3:uid="{A9895E1D-0892-4BAA-B132-A952BAC1181B}" name="Column12594" dataDxfId="3760"/>
    <tableColumn id="12643" xr3:uid="{3621A2AB-753A-4134-8D62-9B6F08F6863E}" name="Column12595" dataDxfId="3759"/>
    <tableColumn id="12644" xr3:uid="{60FB2223-B5A1-4B9E-B25A-6048F3F5265F}" name="Column12596" dataDxfId="3758"/>
    <tableColumn id="12645" xr3:uid="{D8D2FB55-622B-4DB9-8D25-189E7E5E1B0D}" name="Column12597" dataDxfId="3757"/>
    <tableColumn id="12646" xr3:uid="{C36A576F-D4B0-4F99-A5DB-1FBE228A128A}" name="Column12598" dataDxfId="3756"/>
    <tableColumn id="12647" xr3:uid="{8CAB8012-09B1-4588-984F-532D59C6A4E9}" name="Column12599" dataDxfId="3755"/>
    <tableColumn id="12648" xr3:uid="{3324536D-4B53-467C-9CE4-BA61664232D9}" name="Column12600" dataDxfId="3754"/>
    <tableColumn id="12649" xr3:uid="{AF799189-A692-4DBC-AEC4-6A87AF848C11}" name="Column12601" dataDxfId="3753"/>
    <tableColumn id="12650" xr3:uid="{5D0FBF24-123C-4376-89A5-1FCC712F7116}" name="Column12602" dataDxfId="3752"/>
    <tableColumn id="12651" xr3:uid="{A1E69F30-3323-4E87-AA95-77556A0DC3D4}" name="Column12603" dataDxfId="3751"/>
    <tableColumn id="12652" xr3:uid="{F655DEB3-9328-4255-8710-E31A3D6B317D}" name="Column12604" dataDxfId="3750"/>
    <tableColumn id="12653" xr3:uid="{3DAF113F-6A1C-48B2-8C62-77D559645BC1}" name="Column12605" dataDxfId="3749"/>
    <tableColumn id="12654" xr3:uid="{EBD52733-A76A-4C2B-814E-0B9C4769D9E1}" name="Column12606" dataDxfId="3748"/>
    <tableColumn id="12655" xr3:uid="{7A6F468D-B2DF-49C2-A766-C41806E77935}" name="Column12607" dataDxfId="3747"/>
    <tableColumn id="12656" xr3:uid="{029423C5-9C2F-4F35-AE77-5AFE21A42B28}" name="Column12608" dataDxfId="3746"/>
    <tableColumn id="12657" xr3:uid="{CFE611BF-5087-456F-9197-D9E0BAD366D6}" name="Column12609" dataDxfId="3745"/>
    <tableColumn id="12658" xr3:uid="{B1656786-14BB-4FCC-9035-E8E69C986843}" name="Column12610" dataDxfId="3744"/>
    <tableColumn id="12659" xr3:uid="{E53435D8-6D7B-4987-9D2D-137CB52929CE}" name="Column12611" dataDxfId="3743"/>
    <tableColumn id="12660" xr3:uid="{2EF848A5-36E9-4A4D-B738-E6AE1151198F}" name="Column12612" dataDxfId="3742"/>
    <tableColumn id="12661" xr3:uid="{8FFD44B6-B5DF-45F2-8E9C-F5751FED10BC}" name="Column12613" dataDxfId="3741"/>
    <tableColumn id="12662" xr3:uid="{1CF09F5C-8136-4A04-BC59-0A74815865B3}" name="Column12614" dataDxfId="3740"/>
    <tableColumn id="12663" xr3:uid="{2C1C9E5D-C057-4AFE-A112-46AF10DBCF05}" name="Column12615" dataDxfId="3739"/>
    <tableColumn id="12664" xr3:uid="{33E2F50B-D9E6-4A50-899A-431F8EED4103}" name="Column12616" dataDxfId="3738"/>
    <tableColumn id="12665" xr3:uid="{EE7ED041-1938-4AF4-94B4-035FE2EF97B0}" name="Column12617" dataDxfId="3737"/>
    <tableColumn id="12666" xr3:uid="{96C6C1AA-EB38-4672-BEC0-894CA8C05E5F}" name="Column12618" dataDxfId="3736"/>
    <tableColumn id="12667" xr3:uid="{861BD733-93E5-4015-94DF-240BE4FDE813}" name="Column12619" dataDxfId="3735"/>
    <tableColumn id="12668" xr3:uid="{701C7600-5B8C-4A54-9273-4CB5E43B7A87}" name="Column12620" dataDxfId="3734"/>
    <tableColumn id="12669" xr3:uid="{CB2C03A7-CB4C-42DF-B062-860502EC2EE4}" name="Column12621" dataDxfId="3733"/>
    <tableColumn id="12670" xr3:uid="{AAACECB6-C960-446A-B0E0-259880BF1A04}" name="Column12622" dataDxfId="3732"/>
    <tableColumn id="12671" xr3:uid="{6F50A171-FC38-49D7-85DB-F2CE185EF316}" name="Column12623" dataDxfId="3731"/>
    <tableColumn id="12672" xr3:uid="{951181FB-A8FC-4FCD-AD0C-0AF092CD0292}" name="Column12624" dataDxfId="3730"/>
    <tableColumn id="12673" xr3:uid="{0339ABAC-8472-4CEA-8701-ADF0519A53DF}" name="Column12625" dataDxfId="3729"/>
    <tableColumn id="12674" xr3:uid="{476DAAD0-CB30-4DE9-9D81-92C0F7F8E8F7}" name="Column12626" dataDxfId="3728"/>
    <tableColumn id="12675" xr3:uid="{81ED898C-A170-4190-B173-9144C9BF26E1}" name="Column12627" dataDxfId="3727"/>
    <tableColumn id="12676" xr3:uid="{2434D183-7378-408B-945A-04FA24E003FB}" name="Column12628" dataDxfId="3726"/>
    <tableColumn id="12677" xr3:uid="{60F1C9B2-8F0E-4052-A67B-B369FF4815D7}" name="Column12629" dataDxfId="3725"/>
    <tableColumn id="12678" xr3:uid="{F5E42AF6-7DCE-44E1-A9A9-DFCE80710E43}" name="Column12630" dataDxfId="3724"/>
    <tableColumn id="12679" xr3:uid="{2372535C-01A6-48AA-A8DC-11822ABCA121}" name="Column12631" dataDxfId="3723"/>
    <tableColumn id="12680" xr3:uid="{DFA4F161-94E1-4CA8-B81B-FAA39F0B4B80}" name="Column12632" dataDxfId="3722"/>
    <tableColumn id="12681" xr3:uid="{B2DB8425-9C85-4F42-B7B4-02903DB69C20}" name="Column12633" dataDxfId="3721"/>
    <tableColumn id="12682" xr3:uid="{B1E49F6A-B496-48CA-826F-23657EC1011B}" name="Column12634" dataDxfId="3720"/>
    <tableColumn id="12683" xr3:uid="{A7EB96E9-82F9-477B-BF6B-CE42E14D956F}" name="Column12635" dataDxfId="3719"/>
    <tableColumn id="12684" xr3:uid="{F583718C-3CCE-4D92-B9D8-005EFD2E19E8}" name="Column12636" dataDxfId="3718"/>
    <tableColumn id="12685" xr3:uid="{FC78658B-2E57-48DF-8569-8ADEA3A577B1}" name="Column12637" dataDxfId="3717"/>
    <tableColumn id="12686" xr3:uid="{2B857B00-3E08-45E1-968A-382E9C2DE9A3}" name="Column12638" dataDxfId="3716"/>
    <tableColumn id="12687" xr3:uid="{15857350-6F54-44BD-956D-30493F8F4411}" name="Column12639" dataDxfId="3715"/>
    <tableColumn id="12688" xr3:uid="{FC86B1AD-2EF5-42F9-9F0B-02E85D72338E}" name="Column12640" dataDxfId="3714"/>
    <tableColumn id="12689" xr3:uid="{4B93E3C7-ADCD-4865-99EF-515D4AAB67A9}" name="Column12641" dataDxfId="3713"/>
    <tableColumn id="12690" xr3:uid="{627470FC-A0D1-4912-8625-EA4D8782E465}" name="Column12642" dataDxfId="3712"/>
    <tableColumn id="12691" xr3:uid="{C78E80FB-6627-4709-9A02-6EB49626628A}" name="Column12643" dataDxfId="3711"/>
    <tableColumn id="12692" xr3:uid="{F7ECDD3A-DA5B-42B8-A32C-C9222AD2F41B}" name="Column12644" dataDxfId="3710"/>
    <tableColumn id="12693" xr3:uid="{8304749D-BF27-4559-B04E-9E41AFE60FCB}" name="Column12645" dataDxfId="3709"/>
    <tableColumn id="12694" xr3:uid="{C8E3FE0D-9B86-4291-A33B-35B217C4AD4F}" name="Column12646" dataDxfId="3708"/>
    <tableColumn id="12695" xr3:uid="{B532FBB0-06CF-46D8-83F3-A8163727D935}" name="Column12647" dataDxfId="3707"/>
    <tableColumn id="12696" xr3:uid="{FD6EB62D-7E85-4062-93EE-AE64441C3545}" name="Column12648" dataDxfId="3706"/>
    <tableColumn id="12697" xr3:uid="{38FA9C58-85BF-4AF7-B2C6-868A8AEC9B0F}" name="Column12649" dataDxfId="3705"/>
    <tableColumn id="12698" xr3:uid="{9D72183E-DAB2-4436-89A7-92F37BB42E8E}" name="Column12650" dataDxfId="3704"/>
    <tableColumn id="12699" xr3:uid="{F89A443A-D2FE-449D-A0CE-A7A5B95F0571}" name="Column12651" dataDxfId="3703"/>
    <tableColumn id="12700" xr3:uid="{4EDE6AE6-1BB7-4B4D-9831-4C6BF52329F3}" name="Column12652" dataDxfId="3702"/>
    <tableColumn id="12701" xr3:uid="{4B4F2D89-FCC7-4BD0-8E66-03D5347691D1}" name="Column12653" dataDxfId="3701"/>
    <tableColumn id="12702" xr3:uid="{D835BA3A-8DB2-41B9-B2E7-441579ACA5F2}" name="Column12654" dataDxfId="3700"/>
    <tableColumn id="12703" xr3:uid="{CBE5FF94-5E11-4F3B-9C2A-09B41151501F}" name="Column12655" dataDxfId="3699"/>
    <tableColumn id="12704" xr3:uid="{B2ED42AA-9A13-4FFE-9D3E-CECB69C47851}" name="Column12656" dataDxfId="3698"/>
    <tableColumn id="12705" xr3:uid="{9473C9C6-24BD-479A-999F-231140B672F1}" name="Column12657" dataDxfId="3697"/>
    <tableColumn id="12706" xr3:uid="{3909FB18-90E6-4006-9EE0-03888A9D017D}" name="Column12658" dataDxfId="3696"/>
    <tableColumn id="12707" xr3:uid="{BAE999FB-168B-4AD4-A80A-B42E162ADDC0}" name="Column12659" dataDxfId="3695"/>
    <tableColumn id="12708" xr3:uid="{53413597-F1EC-4973-8A43-3ABE5F530975}" name="Column12660" dataDxfId="3694"/>
    <tableColumn id="12709" xr3:uid="{526E56F7-D02D-4368-A459-2B47C38DACB5}" name="Column12661" dataDxfId="3693"/>
    <tableColumn id="12710" xr3:uid="{07889FC4-C6F3-4054-90B5-2F33607654ED}" name="Column12662" dataDxfId="3692"/>
    <tableColumn id="12711" xr3:uid="{D38CEF33-82C4-4928-B8F7-200BE1180CEC}" name="Column12663" dataDxfId="3691"/>
    <tableColumn id="12712" xr3:uid="{B391A173-5F72-42BF-926F-2509AE27B30C}" name="Column12664" dataDxfId="3690"/>
    <tableColumn id="12713" xr3:uid="{1182FCFB-03DA-4501-8A86-A5A0E136312C}" name="Column12665" dataDxfId="3689"/>
    <tableColumn id="12714" xr3:uid="{607C5788-F7AC-4C25-837F-AE47E54AEA98}" name="Column12666" dataDxfId="3688"/>
    <tableColumn id="12715" xr3:uid="{D2773A80-0D67-486E-9FCE-58398531543B}" name="Column12667" dataDxfId="3687"/>
    <tableColumn id="12716" xr3:uid="{51E45F52-6B4F-4FC4-A3EE-CE49DC7DA98B}" name="Column12668" dataDxfId="3686"/>
    <tableColumn id="12717" xr3:uid="{567A9142-7C92-413A-873B-91E76D2E7048}" name="Column12669" dataDxfId="3685"/>
    <tableColumn id="12718" xr3:uid="{EFBA5EED-91B0-453B-82EF-C9D8DC1C4349}" name="Column12670" dataDxfId="3684"/>
    <tableColumn id="12719" xr3:uid="{BA92B1F0-6940-4A65-9701-70DD82EB066B}" name="Column12671" dataDxfId="3683"/>
    <tableColumn id="12720" xr3:uid="{30478C8B-266B-427D-9E87-FBD34C55089E}" name="Column12672" dataDxfId="3682"/>
    <tableColumn id="12721" xr3:uid="{AE731C8F-FAE1-4B74-A02A-AF835DBCC927}" name="Column12673" dataDxfId="3681"/>
    <tableColumn id="12722" xr3:uid="{5184E180-3A16-40B6-AEDC-A78D89BA297D}" name="Column12674" dataDxfId="3680"/>
    <tableColumn id="12723" xr3:uid="{5AA2BE84-9E89-40B8-BCDF-2C7E171252C4}" name="Column12675" dataDxfId="3679"/>
    <tableColumn id="12724" xr3:uid="{B5FCD27D-E60B-4CA7-802C-E1262A7709E2}" name="Column12676" dataDxfId="3678"/>
    <tableColumn id="12725" xr3:uid="{6B198CF7-F9EB-45DE-84DB-713084780959}" name="Column12677" dataDxfId="3677"/>
    <tableColumn id="12726" xr3:uid="{6795EFDE-D275-4260-911F-788A57AF708A}" name="Column12678" dataDxfId="3676"/>
    <tableColumn id="12727" xr3:uid="{B543D778-E506-420C-844A-1B0D08CEB6D2}" name="Column12679" dataDxfId="3675"/>
    <tableColumn id="12728" xr3:uid="{E1F1E4FC-DD3B-4CA7-A24D-3B8B482CEE6D}" name="Column12680" dataDxfId="3674"/>
    <tableColumn id="12729" xr3:uid="{81369CDB-948A-4148-A433-EFD72BC47B60}" name="Column12681" dataDxfId="3673"/>
    <tableColumn id="12730" xr3:uid="{310064A0-64E1-49E4-B670-2D5FB724E639}" name="Column12682" dataDxfId="3672"/>
    <tableColumn id="12731" xr3:uid="{7198B960-2F55-4A4C-B980-CBEFD68FAF1E}" name="Column12683" dataDxfId="3671"/>
    <tableColumn id="12732" xr3:uid="{B408E5F3-1265-445A-A998-39D1054B027E}" name="Column12684" dataDxfId="3670"/>
    <tableColumn id="12733" xr3:uid="{9A77B96B-F57A-4DE6-85A0-7F13181861EB}" name="Column12685" dataDxfId="3669"/>
    <tableColumn id="12734" xr3:uid="{ABF98F67-526C-4710-9808-19B5BDC80643}" name="Column12686" dataDxfId="3668"/>
    <tableColumn id="12735" xr3:uid="{76BF93B6-AA6C-40CD-9B45-47F24DCDDC45}" name="Column12687" dataDxfId="3667"/>
    <tableColumn id="12736" xr3:uid="{7C1C5044-9924-4C1F-8765-C8E340DA97F8}" name="Column12688" dataDxfId="3666"/>
    <tableColumn id="12737" xr3:uid="{137C7735-0B72-43D6-8D9B-8B17EF1C74EE}" name="Column12689" dataDxfId="3665"/>
    <tableColumn id="12738" xr3:uid="{B359F9BC-E788-4B23-9BAA-E74753F1F8B7}" name="Column12690" dataDxfId="3664"/>
    <tableColumn id="12739" xr3:uid="{2F6B51FC-2010-4CD4-899F-A5AB83EE05C6}" name="Column12691" dataDxfId="3663"/>
    <tableColumn id="12740" xr3:uid="{5D536B9F-3BBC-49CA-B07A-7CC727CFC996}" name="Column12692" dataDxfId="3662"/>
    <tableColumn id="12741" xr3:uid="{B0A492A9-B35E-459B-8F67-01C6C95FBD97}" name="Column12693" dataDxfId="3661"/>
    <tableColumn id="12742" xr3:uid="{DDBE1062-2BCC-4EC8-B7E7-3C0E6441197C}" name="Column12694" dataDxfId="3660"/>
    <tableColumn id="12743" xr3:uid="{0AF82A93-4A57-4AC9-8283-6048ED312A4C}" name="Column12695" dataDxfId="3659"/>
    <tableColumn id="12744" xr3:uid="{F1EE2C39-0B77-487A-8CF6-2D2A478F51DD}" name="Column12696" dataDxfId="3658"/>
    <tableColumn id="12745" xr3:uid="{1621EEA6-569A-407B-B04A-06859FB3A061}" name="Column12697" dataDxfId="3657"/>
    <tableColumn id="12746" xr3:uid="{4423454C-A8D1-4AE6-B33B-92A508664CCA}" name="Column12698" dataDxfId="3656"/>
    <tableColumn id="12747" xr3:uid="{52CC3CE8-61CE-437F-9D5A-15FF037B4A09}" name="Column12699" dataDxfId="3655"/>
    <tableColumn id="12748" xr3:uid="{A3030394-37DC-498B-9BD9-9B18E5C90007}" name="Column12700" dataDxfId="3654"/>
    <tableColumn id="12749" xr3:uid="{BC1C355C-4C63-4B19-A675-25C41C15883B}" name="Column12701" dataDxfId="3653"/>
    <tableColumn id="12750" xr3:uid="{AC558A25-C5EF-4F8C-8894-72CB808C9989}" name="Column12702" dataDxfId="3652"/>
    <tableColumn id="12751" xr3:uid="{F42ADA5E-A72A-4F67-A710-52485940F7D2}" name="Column12703" dataDxfId="3651"/>
    <tableColumn id="12752" xr3:uid="{DB930832-011F-49C3-9DAF-8BA020E82D83}" name="Column12704" dataDxfId="3650"/>
    <tableColumn id="12753" xr3:uid="{E569EA86-01F9-4471-9354-50798D9BF6DE}" name="Column12705" dataDxfId="3649"/>
    <tableColumn id="12754" xr3:uid="{BF692995-6B78-4A43-B138-5E889156C690}" name="Column12706" dataDxfId="3648"/>
    <tableColumn id="12755" xr3:uid="{09BC726F-0AA3-495F-9991-0C2FA6461F7E}" name="Column12707" dataDxfId="3647"/>
    <tableColumn id="12756" xr3:uid="{AABDF213-C772-4349-9BD7-86967AD3387C}" name="Column12708" dataDxfId="3646"/>
    <tableColumn id="12757" xr3:uid="{4BD4C74A-E709-4676-BC05-F58807105251}" name="Column12709" dataDxfId="3645"/>
    <tableColumn id="12758" xr3:uid="{8E824B57-695B-4FF6-883F-F5651373885B}" name="Column12710" dataDxfId="3644"/>
    <tableColumn id="12759" xr3:uid="{16C2F34F-474D-4697-91BA-ADAA471BA644}" name="Column12711" dataDxfId="3643"/>
    <tableColumn id="12760" xr3:uid="{EA7A8055-E62C-45F1-B05A-93E94ABF4EE6}" name="Column12712" dataDxfId="3642"/>
    <tableColumn id="12761" xr3:uid="{E2821525-239B-41C6-B176-85908DFF38A3}" name="Column12713" dataDxfId="3641"/>
    <tableColumn id="12762" xr3:uid="{215A66DE-89C9-43DF-BC89-9A16A65E2353}" name="Column12714" dataDxfId="3640"/>
    <tableColumn id="12763" xr3:uid="{6CE18C52-2D66-4776-A105-D2613A568226}" name="Column12715" dataDxfId="3639"/>
    <tableColumn id="12764" xr3:uid="{6E52917B-7522-483C-8E2C-8C9C1616774F}" name="Column12716" dataDxfId="3638"/>
    <tableColumn id="12765" xr3:uid="{39797A7F-F584-4561-B091-C2283C448B39}" name="Column12717" dataDxfId="3637"/>
    <tableColumn id="12766" xr3:uid="{802D1F28-7C5F-4C4F-9F22-5A3E05DE957A}" name="Column12718" dataDxfId="3636"/>
    <tableColumn id="12767" xr3:uid="{D31809BF-A2CA-4754-B40D-921211BCCA04}" name="Column12719" dataDxfId="3635"/>
    <tableColumn id="12768" xr3:uid="{17FB196E-3E89-4B9C-8676-90E2EF6246C8}" name="Column12720" dataDxfId="3634"/>
    <tableColumn id="12769" xr3:uid="{6B7EA5A1-DB3B-4E06-9BC8-E46FFA9531D2}" name="Column12721" dataDxfId="3633"/>
    <tableColumn id="12770" xr3:uid="{99421C6E-9860-4EE7-9C3D-9B0D9AA38D99}" name="Column12722" dataDxfId="3632"/>
    <tableColumn id="12771" xr3:uid="{04B10FEE-DEF3-46CD-B6DA-A1E9FED6FD57}" name="Column12723" dataDxfId="3631"/>
    <tableColumn id="12772" xr3:uid="{7F20C0C9-43CB-4795-838F-AA6557E6C236}" name="Column12724" dataDxfId="3630"/>
    <tableColumn id="12773" xr3:uid="{6C842FA8-AA50-46C6-9265-1307D92FBFE6}" name="Column12725" dataDxfId="3629"/>
    <tableColumn id="12774" xr3:uid="{3C6EDCF5-505E-48A1-819E-89DA5A7A4AA1}" name="Column12726" dataDxfId="3628"/>
    <tableColumn id="12775" xr3:uid="{0687E255-476D-46AC-96FD-E270155997D8}" name="Column12727" dataDxfId="3627"/>
    <tableColumn id="12776" xr3:uid="{283C0C90-3CC1-4013-9B43-B3869C27075D}" name="Column12728" dataDxfId="3626"/>
    <tableColumn id="12777" xr3:uid="{94A53314-15E5-48F2-BF62-46DD93B7820C}" name="Column12729" dataDxfId="3625"/>
    <tableColumn id="12778" xr3:uid="{7B68290E-DEC1-44A4-BAAA-8BB71A933289}" name="Column12730" dataDxfId="3624"/>
    <tableColumn id="12779" xr3:uid="{AA53E6A8-00F3-420F-9ACD-3761DB28CCF6}" name="Column12731" dataDxfId="3623"/>
    <tableColumn id="12780" xr3:uid="{DBA6140D-F1F3-408E-9FC5-98E035571A4E}" name="Column12732" dataDxfId="3622"/>
    <tableColumn id="12781" xr3:uid="{EB3B3447-8C71-4FE8-BC05-7FCBDCFFBC83}" name="Column12733" dataDxfId="3621"/>
    <tableColumn id="12782" xr3:uid="{6C07AA82-2045-4EE4-AEEB-439E83BB377E}" name="Column12734" dataDxfId="3620"/>
    <tableColumn id="12783" xr3:uid="{9AEEEB1A-8DB4-4117-85BF-7DCF297E5639}" name="Column12735" dataDxfId="3619"/>
    <tableColumn id="12784" xr3:uid="{71B22DEB-09AE-4B9A-875B-AA9E5FD2206C}" name="Column12736" dataDxfId="3618"/>
    <tableColumn id="12785" xr3:uid="{BB61C74E-EC44-4F91-9719-BD7C5D136BB7}" name="Column12737" dataDxfId="3617"/>
    <tableColumn id="12786" xr3:uid="{5F89EB70-557A-4D7C-A07C-168DC1FEA0A3}" name="Column12738" dataDxfId="3616"/>
    <tableColumn id="12787" xr3:uid="{F42B6578-16D1-4A9F-8FAF-FC4975BFBE9F}" name="Column12739" dataDxfId="3615"/>
    <tableColumn id="12788" xr3:uid="{5A4F998E-FC43-4F6F-B327-30F1C87CFD06}" name="Column12740" dataDxfId="3614"/>
    <tableColumn id="12789" xr3:uid="{1E5B20BC-53D0-47E8-80E6-BA3901AE5F26}" name="Column12741" dataDxfId="3613"/>
    <tableColumn id="12790" xr3:uid="{2BE91160-9BAB-47AC-BF92-0110DA3D8AD0}" name="Column12742" dataDxfId="3612"/>
    <tableColumn id="12791" xr3:uid="{7220D775-BC2D-4B68-9FED-4F510C9E8C76}" name="Column12743" dataDxfId="3611"/>
    <tableColumn id="12792" xr3:uid="{BEDFC69B-B735-4766-84AC-AA674EED03F0}" name="Column12744" dataDxfId="3610"/>
    <tableColumn id="12793" xr3:uid="{3D001A29-C8D7-4621-A846-E195DCF9F168}" name="Column12745" dataDxfId="3609"/>
    <tableColumn id="12794" xr3:uid="{C6973DC9-3D72-46F8-B4C9-AE3ECEA663B6}" name="Column12746" dataDxfId="3608"/>
    <tableColumn id="12795" xr3:uid="{E9BCAE60-9AC7-41B5-B6A6-772E31A06D2E}" name="Column12747" dataDxfId="3607"/>
    <tableColumn id="12796" xr3:uid="{BE1635FD-B192-4765-8EFD-62964413902F}" name="Column12748" dataDxfId="3606"/>
    <tableColumn id="12797" xr3:uid="{58DD0EBF-2B8F-4BC0-AF60-9E90E1FC07C2}" name="Column12749" dataDxfId="3605"/>
    <tableColumn id="12798" xr3:uid="{57822A12-8A91-46E6-8D15-46B6DC709DAF}" name="Column12750" dataDxfId="3604"/>
    <tableColumn id="12799" xr3:uid="{C964309B-BB3E-4484-878C-B323328D8719}" name="Column12751" dataDxfId="3603"/>
    <tableColumn id="12800" xr3:uid="{ACCF2802-9ADB-4DE3-989C-D087FB99DE3C}" name="Column12752" dataDxfId="3602"/>
    <tableColumn id="12801" xr3:uid="{0B58BBD2-F23E-4681-ACDA-53B7FFD2D1AF}" name="Column12753" dataDxfId="3601"/>
    <tableColumn id="12802" xr3:uid="{3D4516A7-3D22-4924-9261-9EC85023019A}" name="Column12754" dataDxfId="3600"/>
    <tableColumn id="12803" xr3:uid="{38D7C51F-2E24-4A69-9E34-CE050A51E83A}" name="Column12755" dataDxfId="3599"/>
    <tableColumn id="12804" xr3:uid="{F707784F-3D90-4812-90D7-7FE3A2B2872E}" name="Column12756" dataDxfId="3598"/>
    <tableColumn id="12805" xr3:uid="{B1E08C92-7D62-48A1-BD49-46E3B69CAAA2}" name="Column12757" dataDxfId="3597"/>
    <tableColumn id="12806" xr3:uid="{CB93828F-C5F9-481A-A2A8-6D1779B3A8F3}" name="Column12758" dataDxfId="3596"/>
    <tableColumn id="12807" xr3:uid="{8037C96F-B77C-4D83-9168-73B2BFABDDE0}" name="Column12759" dataDxfId="3595"/>
    <tableColumn id="12808" xr3:uid="{43B03C49-37DE-43FD-A637-B6B4840A4A57}" name="Column12760" dataDxfId="3594"/>
    <tableColumn id="12809" xr3:uid="{5E1D6519-BD89-4307-9146-FC16C24ECF99}" name="Column12761" dataDxfId="3593"/>
    <tableColumn id="12810" xr3:uid="{4C55882F-9DBE-49F1-BE24-0DA2A06E39C8}" name="Column12762" dataDxfId="3592"/>
    <tableColumn id="12811" xr3:uid="{EF4219FF-71E9-4B84-AAB8-5CD46C43DED0}" name="Column12763" dataDxfId="3591"/>
    <tableColumn id="12812" xr3:uid="{E97C7546-C907-474B-89D8-7A3564EE01DE}" name="Column12764" dataDxfId="3590"/>
    <tableColumn id="12813" xr3:uid="{ECFF5F66-4DB6-438E-BF2F-BD05F6A8123D}" name="Column12765" dataDxfId="3589"/>
    <tableColumn id="12814" xr3:uid="{057CF3CC-92B0-494D-B414-9C826272E618}" name="Column12766" dataDxfId="3588"/>
    <tableColumn id="12815" xr3:uid="{48D8FF65-0E02-49AE-915F-639F2955BF27}" name="Column12767" dataDxfId="3587"/>
    <tableColumn id="12816" xr3:uid="{AAF5156D-CE88-49B3-91B7-FEADFAEC5E34}" name="Column12768" dataDxfId="3586"/>
    <tableColumn id="12817" xr3:uid="{F8C7C38F-8B38-4031-8598-B9D4F2B86A95}" name="Column12769" dataDxfId="3585"/>
    <tableColumn id="12818" xr3:uid="{79C40CB6-0DB6-43B2-92D7-CA49DD5C8BB1}" name="Column12770" dataDxfId="3584"/>
    <tableColumn id="12819" xr3:uid="{CCF3D8C8-60B7-457E-B7FF-49843B2C01FF}" name="Column12771" dataDxfId="3583"/>
    <tableColumn id="12820" xr3:uid="{8888CB12-A008-4B85-A7E1-F02E946B2320}" name="Column12772" dataDxfId="3582"/>
    <tableColumn id="12821" xr3:uid="{0F14BFA7-6E16-4D0E-BC0B-112617A1B592}" name="Column12773" dataDxfId="3581"/>
    <tableColumn id="12822" xr3:uid="{9A64F6B3-FEE6-430F-8C8B-D187E6C75924}" name="Column12774" dataDxfId="3580"/>
    <tableColumn id="12823" xr3:uid="{3373C9FB-11A5-4625-8E7E-7437678C6D8B}" name="Column12775" dataDxfId="3579"/>
    <tableColumn id="12824" xr3:uid="{08C0EF5A-D1ED-4FA4-9E3D-EA762C4B68B5}" name="Column12776" dataDxfId="3578"/>
    <tableColumn id="12825" xr3:uid="{997FD243-3085-4774-89EE-C1E01E618FD0}" name="Column12777" dataDxfId="3577"/>
    <tableColumn id="12826" xr3:uid="{6D6C95E9-F822-4914-91BD-1ED46F464C68}" name="Column12778" dataDxfId="3576"/>
    <tableColumn id="12827" xr3:uid="{1798F146-0B9C-4DC3-9052-4392093FA6AA}" name="Column12779" dataDxfId="3575"/>
    <tableColumn id="12828" xr3:uid="{A6B409B9-A89A-4C92-9DB3-E9792B3CE4A0}" name="Column12780" dataDxfId="3574"/>
    <tableColumn id="12829" xr3:uid="{258B4D47-E751-4E08-A1E3-FB18A6CB3376}" name="Column12781" dataDxfId="3573"/>
    <tableColumn id="12830" xr3:uid="{89C3F1EC-B39F-4186-A779-3F459D7E7C94}" name="Column12782" dataDxfId="3572"/>
    <tableColumn id="12831" xr3:uid="{D6063F7E-9A43-453E-A4F4-593BCA20E605}" name="Column12783" dataDxfId="3571"/>
    <tableColumn id="12832" xr3:uid="{8454CEB9-3E77-4080-B607-65C0D498BB0F}" name="Column12784" dataDxfId="3570"/>
    <tableColumn id="12833" xr3:uid="{AE17F8D4-917D-412C-B4DD-0C26F361E9A4}" name="Column12785" dataDxfId="3569"/>
    <tableColumn id="12834" xr3:uid="{3DE72A48-FCBD-445E-BF4D-B6CC6CA4DFBB}" name="Column12786" dataDxfId="3568"/>
    <tableColumn id="12835" xr3:uid="{6AD1B203-C08B-4373-9BD1-65B26ED69D50}" name="Column12787" dataDxfId="3567"/>
    <tableColumn id="12836" xr3:uid="{778E6E8B-AEC8-466D-8990-9D61BACB2F9B}" name="Column12788" dataDxfId="3566"/>
    <tableColumn id="12837" xr3:uid="{0631AFFA-AAD5-4CF3-BB4D-11AEA25D24F2}" name="Column12789" dataDxfId="3565"/>
    <tableColumn id="12838" xr3:uid="{9221CF5F-7F93-40CE-BF4D-15CD649D725B}" name="Column12790" dataDxfId="3564"/>
    <tableColumn id="12839" xr3:uid="{1DDF84B7-9A7F-4FC9-95F2-AF9004FD6CDE}" name="Column12791" dataDxfId="3563"/>
    <tableColumn id="12840" xr3:uid="{0EAE4FAA-58C6-4A74-938E-2162FDA898EB}" name="Column12792" dataDxfId="3562"/>
    <tableColumn id="12841" xr3:uid="{B231BB4E-C143-476B-99D1-8A57128FE9C7}" name="Column12793" dataDxfId="3561"/>
    <tableColumn id="12842" xr3:uid="{2C0D9CF4-1FB6-4653-B768-A5AC3B016E9E}" name="Column12794" dataDxfId="3560"/>
    <tableColumn id="12843" xr3:uid="{99715307-AB1B-444B-83B0-824851CFC67C}" name="Column12795" dataDxfId="3559"/>
    <tableColumn id="12844" xr3:uid="{D3F11156-181A-4834-93B6-BA046BDB1613}" name="Column12796" dataDxfId="3558"/>
    <tableColumn id="12845" xr3:uid="{4E66E37D-780C-4A80-8862-49C45FF910B2}" name="Column12797" dataDxfId="3557"/>
    <tableColumn id="12846" xr3:uid="{38DD8F44-8F4A-4227-9424-C559F2B552D0}" name="Column12798" dataDxfId="3556"/>
    <tableColumn id="12847" xr3:uid="{CD4012DA-B4EF-408C-ADF8-D8B16C756605}" name="Column12799" dataDxfId="3555"/>
    <tableColumn id="12848" xr3:uid="{C116173C-D912-4000-AE6B-4B6CC96C5739}" name="Column12800" dataDxfId="3554"/>
    <tableColumn id="12849" xr3:uid="{E82E26B5-954A-4EC9-AE80-C9F2B0028ED1}" name="Column12801" dataDxfId="3553"/>
    <tableColumn id="12850" xr3:uid="{5DBAECC4-421F-4D44-88A0-588E282BFD14}" name="Column12802" dataDxfId="3552"/>
    <tableColumn id="12851" xr3:uid="{11B03142-978F-4A48-8C08-8CA186D28B18}" name="Column12803" dataDxfId="3551"/>
    <tableColumn id="12852" xr3:uid="{7CFFC5ED-0D38-491C-B32E-82CF78E4DF19}" name="Column12804" dataDxfId="3550"/>
    <tableColumn id="12853" xr3:uid="{CA4EFAAC-F791-458F-A26E-319539612362}" name="Column12805" dataDxfId="3549"/>
    <tableColumn id="12854" xr3:uid="{4E4DB403-56D1-4FD3-B595-71CDA9FFB697}" name="Column12806" dataDxfId="3548"/>
    <tableColumn id="12855" xr3:uid="{6239A4B1-F864-44D5-B28D-B80E17EE234E}" name="Column12807" dataDxfId="3547"/>
    <tableColumn id="12856" xr3:uid="{0BCB7151-B747-41F3-B14F-473C2390A0EC}" name="Column12808" dataDxfId="3546"/>
    <tableColumn id="12857" xr3:uid="{E5F4A0D5-D5B8-4508-BC50-238CD8748100}" name="Column12809" dataDxfId="3545"/>
    <tableColumn id="12858" xr3:uid="{4F6C4EB2-8FD5-4BCB-8BFA-4FE2EEBEDA3C}" name="Column12810" dataDxfId="3544"/>
    <tableColumn id="12859" xr3:uid="{FCEB465D-3E16-4458-B9D1-131F8928E85D}" name="Column12811" dataDxfId="3543"/>
    <tableColumn id="12860" xr3:uid="{45E47D1B-2174-4B27-8B5F-22934FF620D7}" name="Column12812" dataDxfId="3542"/>
    <tableColumn id="12861" xr3:uid="{DFFEB2BB-7C94-4D75-BF95-196B4E443A77}" name="Column12813" dataDxfId="3541"/>
    <tableColumn id="12862" xr3:uid="{DADB85E3-5D62-4153-A9EA-269D300827E5}" name="Column12814" dataDxfId="3540"/>
    <tableColumn id="12863" xr3:uid="{E2C7BA30-4164-4F57-9101-3EC9A28BECFE}" name="Column12815" dataDxfId="3539"/>
    <tableColumn id="12864" xr3:uid="{A1D237B4-D84B-47EB-AB97-C576BE68B8EA}" name="Column12816" dataDxfId="3538"/>
    <tableColumn id="12865" xr3:uid="{4F91A454-831E-4759-BD43-89B7C98E36DC}" name="Column12817" dataDxfId="3537"/>
    <tableColumn id="12866" xr3:uid="{C83662A9-56DC-4187-9E94-F1539B93859D}" name="Column12818" dataDxfId="3536"/>
    <tableColumn id="12867" xr3:uid="{4FF64394-30FA-4395-AD6C-D828FC88BCF0}" name="Column12819" dataDxfId="3535"/>
    <tableColumn id="12868" xr3:uid="{8FF71CE5-7CE5-49B4-8D56-163B04D5202F}" name="Column12820" dataDxfId="3534"/>
    <tableColumn id="12869" xr3:uid="{6AC6DA08-0706-4D72-9B08-039A6C8FF6A8}" name="Column12821" dataDxfId="3533"/>
    <tableColumn id="12870" xr3:uid="{8C479A2B-9AB2-4672-9F51-D3FB13D44E6C}" name="Column12822" dataDxfId="3532"/>
    <tableColumn id="12871" xr3:uid="{DCD84B4F-DE8D-4F8D-A349-177468837D32}" name="Column12823" dataDxfId="3531"/>
    <tableColumn id="12872" xr3:uid="{597FA898-C1EB-4466-A763-861DFEDFDD58}" name="Column12824" dataDxfId="3530"/>
    <tableColumn id="12873" xr3:uid="{531A9A0E-57DA-4FA4-9916-E9660579A3FF}" name="Column12825" dataDxfId="3529"/>
    <tableColumn id="12874" xr3:uid="{E955A7F7-174B-4D1E-9D37-1441D40DC1F4}" name="Column12826" dataDxfId="3528"/>
    <tableColumn id="12875" xr3:uid="{7946A99E-7D5F-4CE7-A070-B547632BE4EA}" name="Column12827" dataDxfId="3527"/>
    <tableColumn id="12876" xr3:uid="{2FDFB3C5-1314-4601-8D63-030AAF928595}" name="Column12828" dataDxfId="3526"/>
    <tableColumn id="12877" xr3:uid="{8A36EEAA-275E-4F9C-BBD5-A1207C1EDF19}" name="Column12829" dataDxfId="3525"/>
    <tableColumn id="12878" xr3:uid="{650E85C9-B17D-4660-BE92-B79F4EE99510}" name="Column12830" dataDxfId="3524"/>
    <tableColumn id="12879" xr3:uid="{B998C516-B526-4319-BCF2-DCDE601A3FFE}" name="Column12831" dataDxfId="3523"/>
    <tableColumn id="12880" xr3:uid="{EAD74BF9-E701-41CF-8EC7-C18C3B0CAE68}" name="Column12832" dataDxfId="3522"/>
    <tableColumn id="12881" xr3:uid="{EF9CBE82-A9F7-4DC2-A957-1ED1A004C51B}" name="Column12833" dataDxfId="3521"/>
    <tableColumn id="12882" xr3:uid="{BBF1B7DB-DEAB-4248-8AB5-D085312B2FDD}" name="Column12834" dataDxfId="3520"/>
    <tableColumn id="12883" xr3:uid="{EC27CA95-BF7B-493B-BBF6-98E6B97A8BAE}" name="Column12835" dataDxfId="3519"/>
    <tableColumn id="12884" xr3:uid="{1C87CF21-CC60-4C69-94F5-6A0A1425EBCD}" name="Column12836" dataDxfId="3518"/>
    <tableColumn id="12885" xr3:uid="{E583E6EC-5E71-4246-BA93-D4CF0A1D3EB1}" name="Column12837" dataDxfId="3517"/>
    <tableColumn id="12886" xr3:uid="{BF17AD03-B384-49D1-8002-B063C2947020}" name="Column12838" dataDxfId="3516"/>
    <tableColumn id="12887" xr3:uid="{34AA3078-F7AE-41D3-9A3F-835A2E5C8C30}" name="Column12839" dataDxfId="3515"/>
    <tableColumn id="12888" xr3:uid="{4DE76F1D-F73C-4D0D-90BF-CE8E9C8C49E7}" name="Column12840" dataDxfId="3514"/>
    <tableColumn id="12889" xr3:uid="{33ED7D26-9AED-4066-A28B-4CF00BBD9406}" name="Column12841" dataDxfId="3513"/>
    <tableColumn id="12890" xr3:uid="{4CF293D8-705D-4263-988D-E914CBFE236E}" name="Column12842" dataDxfId="3512"/>
    <tableColumn id="12891" xr3:uid="{5B6A950A-1257-4B30-89E1-04212B59DD96}" name="Column12843" dataDxfId="3511"/>
    <tableColumn id="12892" xr3:uid="{17937586-B9F4-4628-A3F2-39585D1CEA3F}" name="Column12844" dataDxfId="3510"/>
    <tableColumn id="12893" xr3:uid="{DD201FBA-EBD2-46EF-B24B-35BECDDDE75B}" name="Column12845" dataDxfId="3509"/>
    <tableColumn id="12894" xr3:uid="{5BF30BDC-4A42-4B02-AE14-AC9E362C50C4}" name="Column12846" dataDxfId="3508"/>
    <tableColumn id="12895" xr3:uid="{432F2BEF-D4B6-45E5-B895-7945B4C5AB12}" name="Column12847" dataDxfId="3507"/>
    <tableColumn id="12896" xr3:uid="{C9BB4FE2-9CEA-4CFA-AE21-BBF8419E51D2}" name="Column12848" dataDxfId="3506"/>
    <tableColumn id="12897" xr3:uid="{3AF0266A-5546-4A1A-8847-27E4577BC4E2}" name="Column12849" dataDxfId="3505"/>
    <tableColumn id="12898" xr3:uid="{171739CC-E185-4362-AC90-045A49E3D6BA}" name="Column12850" dataDxfId="3504"/>
    <tableColumn id="12899" xr3:uid="{6746FD43-1561-437B-BFB8-C1C6D5CA2E16}" name="Column12851" dataDxfId="3503"/>
    <tableColumn id="12900" xr3:uid="{59903304-92BE-462D-BFB0-62F142D17578}" name="Column12852" dataDxfId="3502"/>
    <tableColumn id="12901" xr3:uid="{BD757681-2383-4C17-AD2A-957B4CA8A7F6}" name="Column12853" dataDxfId="3501"/>
    <tableColumn id="12902" xr3:uid="{129AAC76-F21E-4AFF-B9D2-B36C9970409C}" name="Column12854" dataDxfId="3500"/>
    <tableColumn id="12903" xr3:uid="{2A7D725D-C0A3-4057-A4BA-2F178A3281E1}" name="Column12855" dataDxfId="3499"/>
    <tableColumn id="12904" xr3:uid="{F3CD28D6-B3F8-420D-8F20-C81C27D56CC5}" name="Column12856" dataDxfId="3498"/>
    <tableColumn id="12905" xr3:uid="{2E9C8286-F1F8-404B-A3EF-21213042E706}" name="Column12857" dataDxfId="3497"/>
    <tableColumn id="12906" xr3:uid="{D703D781-3243-4222-A28D-F48928CD5911}" name="Column12858" dataDxfId="3496"/>
    <tableColumn id="12907" xr3:uid="{9C73E0E2-75A9-40E1-90CF-DDF18746478A}" name="Column12859" dataDxfId="3495"/>
    <tableColumn id="12908" xr3:uid="{A19F05B8-9001-4050-B8B1-C6D64F36A9C1}" name="Column12860" dataDxfId="3494"/>
    <tableColumn id="12909" xr3:uid="{49A05D59-32BA-4412-BCC0-9CC8DBA84272}" name="Column12861" dataDxfId="3493"/>
    <tableColumn id="12910" xr3:uid="{0E199384-8D2A-4F69-BCC2-F6EA28CCFB1F}" name="Column12862" dataDxfId="3492"/>
    <tableColumn id="12911" xr3:uid="{23BF203F-E35B-4DB5-A10D-D742AAA493CC}" name="Column12863" dataDxfId="3491"/>
    <tableColumn id="12912" xr3:uid="{CDC37BE6-20FA-4AC0-8196-0FE363E15A7F}" name="Column12864" dataDxfId="3490"/>
    <tableColumn id="12913" xr3:uid="{440CCB72-96D5-49A8-B5DB-51D70B3D5D61}" name="Column12865" dataDxfId="3489"/>
    <tableColumn id="12914" xr3:uid="{AFFFA953-B5D7-40D6-9679-9742DBE33F8B}" name="Column12866" dataDxfId="3488"/>
    <tableColumn id="12915" xr3:uid="{B069B4DB-0506-40D0-93FC-006CEC4C8ED3}" name="Column12867" dataDxfId="3487"/>
    <tableColumn id="12916" xr3:uid="{B78FE830-BACD-42C6-B0AD-E70F7641EA13}" name="Column12868" dataDxfId="3486"/>
    <tableColumn id="12917" xr3:uid="{779614C3-F7FB-4466-B453-61A60D44875C}" name="Column12869" dataDxfId="3485"/>
    <tableColumn id="12918" xr3:uid="{5F1782D0-D0DF-443E-A36D-6338D9A3210D}" name="Column12870" dataDxfId="3484"/>
    <tableColumn id="12919" xr3:uid="{05BAB973-D9B7-45C8-AC10-4E07C8746518}" name="Column12871" dataDxfId="3483"/>
    <tableColumn id="12920" xr3:uid="{598EC37D-F359-406F-9C02-E1DDDB1C5C00}" name="Column12872" dataDxfId="3482"/>
    <tableColumn id="12921" xr3:uid="{C00119DD-0F5C-4E5A-9E18-9A5DD2B2E3BD}" name="Column12873" dataDxfId="3481"/>
    <tableColumn id="12922" xr3:uid="{7B233F9F-10DF-493A-9576-9BAAC6ED8E3D}" name="Column12874" dataDxfId="3480"/>
    <tableColumn id="12923" xr3:uid="{BBD59B48-059C-4FCF-A0D6-50E0F2C2CFB2}" name="Column12875" dataDxfId="3479"/>
    <tableColumn id="12924" xr3:uid="{5B66FD05-AEFA-45C5-BE34-8F00F1178ED7}" name="Column12876" dataDxfId="3478"/>
    <tableColumn id="12925" xr3:uid="{DBA10E0A-94AB-4417-BD9E-296981163704}" name="Column12877" dataDxfId="3477"/>
    <tableColumn id="12926" xr3:uid="{617C41F3-8AAC-472B-A215-3A581027256C}" name="Column12878" dataDxfId="3476"/>
    <tableColumn id="12927" xr3:uid="{95A7F0F2-FA26-4FFB-9727-F9EC21CA64CA}" name="Column12879" dataDxfId="3475"/>
    <tableColumn id="12928" xr3:uid="{C66F4879-7C2D-498B-B10A-355D06F6E193}" name="Column12880" dataDxfId="3474"/>
    <tableColumn id="12929" xr3:uid="{04915AD0-B078-4F3F-B314-1E8C5108686E}" name="Column12881" dataDxfId="3473"/>
    <tableColumn id="12930" xr3:uid="{F9CDB89B-460D-42CC-B725-D61377C7F823}" name="Column12882" dataDxfId="3472"/>
    <tableColumn id="12931" xr3:uid="{757D9AC7-DAB7-4CC2-8F02-387F476EF1DE}" name="Column12883" dataDxfId="3471"/>
    <tableColumn id="12932" xr3:uid="{87831EA6-B33A-4DF2-B1DC-1703B3CB46CE}" name="Column12884" dataDxfId="3470"/>
    <tableColumn id="12933" xr3:uid="{D2C0FC3D-5EDA-4092-A1B5-71BD31096823}" name="Column12885" dataDxfId="3469"/>
    <tableColumn id="12934" xr3:uid="{48805B4B-C7DB-4398-9978-2DAB0C01ABFD}" name="Column12886" dataDxfId="3468"/>
    <tableColumn id="12935" xr3:uid="{03BE2145-D52F-4C9C-A65E-5101F3A5FEEB}" name="Column12887" dataDxfId="3467"/>
    <tableColumn id="12936" xr3:uid="{437C390D-4933-42C0-B7AC-76706C87BFC6}" name="Column12888" dataDxfId="3466"/>
    <tableColumn id="12937" xr3:uid="{5446BF4A-A61C-409F-9CD1-65CBA9657F58}" name="Column12889" dataDxfId="3465"/>
    <tableColumn id="12938" xr3:uid="{390E0F6C-877E-47ED-8E9C-C29A09D7EA61}" name="Column12890" dataDxfId="3464"/>
    <tableColumn id="12939" xr3:uid="{C850DFBC-B3B1-4397-9569-3FDE5D159801}" name="Column12891" dataDxfId="3463"/>
    <tableColumn id="12940" xr3:uid="{6FFF8FFA-D931-4387-A0CB-ADEAF74CCFBF}" name="Column12892" dataDxfId="3462"/>
    <tableColumn id="12941" xr3:uid="{D37AF4FC-23CA-42B5-B1C9-AD67B1B4461E}" name="Column12893" dataDxfId="3461"/>
    <tableColumn id="12942" xr3:uid="{8EBE682D-3CD6-4CBF-917A-07C6E3584FA3}" name="Column12894" dataDxfId="3460"/>
    <tableColumn id="12943" xr3:uid="{B204B703-959D-45A0-A1D4-A60729BE306E}" name="Column12895" dataDxfId="3459"/>
    <tableColumn id="12944" xr3:uid="{112087F2-DB54-40D7-A850-1C5F3FFBA407}" name="Column12896" dataDxfId="3458"/>
    <tableColumn id="12945" xr3:uid="{384B08C5-D8DB-4397-ADD6-CAED5C314BF6}" name="Column12897" dataDxfId="3457"/>
    <tableColumn id="12946" xr3:uid="{4315FDA1-4FAD-45C6-833F-D626A79F1C72}" name="Column12898" dataDxfId="3456"/>
    <tableColumn id="12947" xr3:uid="{F29CB354-A65E-4B54-A0B6-AAFF7505A1DA}" name="Column12899" dataDxfId="3455"/>
    <tableColumn id="12948" xr3:uid="{D8187CE2-F0B0-4EFA-A1DB-8C3B9AE881D7}" name="Column12900" dataDxfId="3454"/>
    <tableColumn id="12949" xr3:uid="{BBA08E96-9993-42CC-8E37-21BB27D7E927}" name="Column12901" dataDxfId="3453"/>
    <tableColumn id="12950" xr3:uid="{D8C80AC5-977A-4C3B-B71C-EA6273EA8DE2}" name="Column12902" dataDxfId="3452"/>
    <tableColumn id="12951" xr3:uid="{59C61207-BCF1-4EEA-8779-04AB802F2DCA}" name="Column12903" dataDxfId="3451"/>
    <tableColumn id="12952" xr3:uid="{9DA48E79-CF82-42F7-A829-279F6AC32411}" name="Column12904" dataDxfId="3450"/>
    <tableColumn id="12953" xr3:uid="{78498A0A-BED3-47BB-8F04-440D1450F59A}" name="Column12905" dataDxfId="3449"/>
    <tableColumn id="12954" xr3:uid="{2AD1C36C-5830-4F6D-9633-5A940F7DCA4B}" name="Column12906" dataDxfId="3448"/>
    <tableColumn id="12955" xr3:uid="{A5BB259E-606C-4730-B14D-33F021779749}" name="Column12907" dataDxfId="3447"/>
    <tableColumn id="12956" xr3:uid="{319019A1-8DDA-4BE7-B262-00C9B712EB28}" name="Column12908" dataDxfId="3446"/>
    <tableColumn id="12957" xr3:uid="{4A54ECC9-9C32-41B3-978D-8708E0549BBE}" name="Column12909" dataDxfId="3445"/>
    <tableColumn id="12958" xr3:uid="{35D8EBCF-7407-42F6-B45E-53EBA24DA667}" name="Column12910" dataDxfId="3444"/>
    <tableColumn id="12959" xr3:uid="{02137F4F-42F7-4732-BE57-3469884BE5B0}" name="Column12911" dataDxfId="3443"/>
    <tableColumn id="12960" xr3:uid="{C93696CE-7E27-43C8-BE53-381DE760E774}" name="Column12912" dataDxfId="3442"/>
    <tableColumn id="12961" xr3:uid="{39E5881A-CC3E-41FE-BA4E-694C3DD4C9EF}" name="Column12913" dataDxfId="3441"/>
    <tableColumn id="12962" xr3:uid="{C9048DA4-CBF5-4AE7-A2AC-83690F672D15}" name="Column12914" dataDxfId="3440"/>
    <tableColumn id="12963" xr3:uid="{2A148EBE-8259-4911-8721-326B601706EA}" name="Column12915" dataDxfId="3439"/>
    <tableColumn id="12964" xr3:uid="{802792F1-9D99-49F6-8D3D-6EFFD948E612}" name="Column12916" dataDxfId="3438"/>
    <tableColumn id="12965" xr3:uid="{A9B3E1C0-4702-4A11-B71B-1CF1C851EB61}" name="Column12917" dataDxfId="3437"/>
    <tableColumn id="12966" xr3:uid="{A10E7263-9142-4549-B468-AE23E1361A63}" name="Column12918" dataDxfId="3436"/>
    <tableColumn id="12967" xr3:uid="{68344A65-6240-439B-B879-B19B7C31F77B}" name="Column12919" dataDxfId="3435"/>
    <tableColumn id="12968" xr3:uid="{C3CC3F9F-FFF1-4B1F-B017-E44F554512AA}" name="Column12920" dataDxfId="3434"/>
    <tableColumn id="12969" xr3:uid="{59B5B73B-5F62-434B-A97D-A1B99ACA099C}" name="Column12921" dataDxfId="3433"/>
    <tableColumn id="12970" xr3:uid="{9F5AC453-CEC8-49BB-9979-09BB6FB0646E}" name="Column12922" dataDxfId="3432"/>
    <tableColumn id="12971" xr3:uid="{92FA43EA-BFF0-4F60-A64F-237E2E3159C1}" name="Column12923" dataDxfId="3431"/>
    <tableColumn id="12972" xr3:uid="{C7FC4C0C-621C-4DC5-B049-C3A1FD9786E0}" name="Column12924" dataDxfId="3430"/>
    <tableColumn id="12973" xr3:uid="{D2F49909-FD6A-464F-9D38-F46961CDC639}" name="Column12925" dataDxfId="3429"/>
    <tableColumn id="12974" xr3:uid="{6960C97D-65A6-4CD0-9668-0120AB4B5263}" name="Column12926" dataDxfId="3428"/>
    <tableColumn id="12975" xr3:uid="{9D45C9A4-F0F1-40A5-BADA-31F97E5EEE0A}" name="Column12927" dataDxfId="3427"/>
    <tableColumn id="12976" xr3:uid="{3842270E-B6C6-493E-B725-53B8B15AA47A}" name="Column12928" dataDxfId="3426"/>
    <tableColumn id="12977" xr3:uid="{A101E537-E4FC-4A20-A536-977024D1829B}" name="Column12929" dataDxfId="3425"/>
    <tableColumn id="12978" xr3:uid="{02DE54BE-B85D-4D1E-ABBE-DBC1E469A448}" name="Column12930" dataDxfId="3424"/>
    <tableColumn id="12979" xr3:uid="{D1A03F36-CCAA-4DC9-83AE-EABDF576E539}" name="Column12931" dataDxfId="3423"/>
    <tableColumn id="12980" xr3:uid="{F6795B19-F3BF-4A56-A6FD-8AA6FC57EAC4}" name="Column12932" dataDxfId="3422"/>
    <tableColumn id="12981" xr3:uid="{143D3D00-FA95-4DB3-B27B-583EE41E894B}" name="Column12933" dataDxfId="3421"/>
    <tableColumn id="12982" xr3:uid="{6F00854B-1173-4CDB-9733-884E8A5843D7}" name="Column12934" dataDxfId="3420"/>
    <tableColumn id="12983" xr3:uid="{8B703491-89A8-4D11-8181-719C7026F08C}" name="Column12935" dataDxfId="3419"/>
    <tableColumn id="12984" xr3:uid="{965A0E07-005B-433D-8D4F-D0AE30D2262F}" name="Column12936" dataDxfId="3418"/>
    <tableColumn id="12985" xr3:uid="{E48FA81B-8CC4-455A-91C1-E8D6C3A66888}" name="Column12937" dataDxfId="3417"/>
    <tableColumn id="12986" xr3:uid="{7D4325FD-1310-467B-82F6-28DABDD2A33A}" name="Column12938" dataDxfId="3416"/>
    <tableColumn id="12987" xr3:uid="{B7A915C1-38D0-473F-9FFD-87F0E7E79120}" name="Column12939" dataDxfId="3415"/>
    <tableColumn id="12988" xr3:uid="{5B694561-5CE5-44A8-A7B2-65A48D008023}" name="Column12940" dataDxfId="3414"/>
    <tableColumn id="12989" xr3:uid="{DAEAD2D0-963D-4CC1-9BAE-AE6D4F3773FF}" name="Column12941" dataDxfId="3413"/>
    <tableColumn id="12990" xr3:uid="{28CE9A96-D543-458C-9E33-4E77D6FC99AF}" name="Column12942" dataDxfId="3412"/>
    <tableColumn id="12991" xr3:uid="{5F1F13E5-CD8D-4DA7-980D-01D93D0D8F9D}" name="Column12943" dataDxfId="3411"/>
    <tableColumn id="12992" xr3:uid="{B41375BD-28CF-4C30-B101-850E491DE6AC}" name="Column12944" dataDxfId="3410"/>
    <tableColumn id="12993" xr3:uid="{06F40814-060E-4964-8502-11BBA2399F96}" name="Column12945" dataDxfId="3409"/>
    <tableColumn id="12994" xr3:uid="{9651D00B-DFD4-4999-82FD-0A70EE65FFF9}" name="Column12946" dataDxfId="3408"/>
    <tableColumn id="12995" xr3:uid="{6E7446DA-2C4D-46D3-941D-E7093C04FA7E}" name="Column12947" dataDxfId="3407"/>
    <tableColumn id="12996" xr3:uid="{6A5569FB-CA61-4473-A29A-09B376470332}" name="Column12948" dataDxfId="3406"/>
    <tableColumn id="12997" xr3:uid="{3D30E926-1DD1-489F-95C8-6E6E422B4B33}" name="Column12949" dataDxfId="3405"/>
    <tableColumn id="12998" xr3:uid="{551E09EE-6B3B-4F6B-A8D5-F4601C58016D}" name="Column12950" dataDxfId="3404"/>
    <tableColumn id="12999" xr3:uid="{CBC4DD5C-F87E-41E9-B84B-25947D49DC60}" name="Column12951" dataDxfId="3403"/>
    <tableColumn id="13000" xr3:uid="{84B30928-9939-477C-B483-02BB487325A5}" name="Column12952" dataDxfId="3402"/>
    <tableColumn id="13001" xr3:uid="{D20E9D2C-0621-4CD2-B325-B90CBC86B493}" name="Column12953" dataDxfId="3401"/>
    <tableColumn id="13002" xr3:uid="{F23D980A-8440-42D0-9219-62C10E27AED6}" name="Column12954" dataDxfId="3400"/>
    <tableColumn id="13003" xr3:uid="{A185BFAD-DBA7-4CB0-B40B-A17B8EBA5A54}" name="Column12955" dataDxfId="3399"/>
    <tableColumn id="13004" xr3:uid="{216BF335-6D45-4ABD-8AE0-DC798A4B0750}" name="Column12956" dataDxfId="3398"/>
    <tableColumn id="13005" xr3:uid="{EAD3C3B2-2150-4340-B682-637676DEAA46}" name="Column12957" dataDxfId="3397"/>
    <tableColumn id="13006" xr3:uid="{51FBA5B6-3C76-497D-8D05-4E7F7110616F}" name="Column12958" dataDxfId="3396"/>
    <tableColumn id="13007" xr3:uid="{840BB8E3-08E0-4D48-89AB-A7936CCD1A8F}" name="Column12959" dataDxfId="3395"/>
    <tableColumn id="13008" xr3:uid="{6603479A-E1EE-4A26-B399-3A23C45EEB39}" name="Column12960" dataDxfId="3394"/>
    <tableColumn id="13009" xr3:uid="{88DD29FC-5BAC-4623-A927-F4068EDBBFE0}" name="Column12961" dataDxfId="3393"/>
    <tableColumn id="13010" xr3:uid="{A75F1EAE-B1B9-4456-ABA8-104DBE39587D}" name="Column12962" dataDxfId="3392"/>
    <tableColumn id="13011" xr3:uid="{8B537639-6793-4D77-B28B-FDA31C36492C}" name="Column12963" dataDxfId="3391"/>
    <tableColumn id="13012" xr3:uid="{CB4234DE-E343-44A7-AB0C-D0B2E118F6AC}" name="Column12964" dataDxfId="3390"/>
    <tableColumn id="13013" xr3:uid="{970DA058-3F0F-4822-A987-62FE2C94BF2B}" name="Column12965" dataDxfId="3389"/>
    <tableColumn id="13014" xr3:uid="{D3D7A33D-A94B-4707-9912-4CF7740F5E4C}" name="Column12966" dataDxfId="3388"/>
    <tableColumn id="13015" xr3:uid="{279536D3-056D-4570-82C2-ABE8BC3C6309}" name="Column12967" dataDxfId="3387"/>
    <tableColumn id="13016" xr3:uid="{F58BD3BA-F8EE-4974-B49C-9277FC11F89A}" name="Column12968" dataDxfId="3386"/>
    <tableColumn id="13017" xr3:uid="{5FFC6CA5-5C19-4FA8-84B3-B04A6DFB7189}" name="Column12969" dataDxfId="3385"/>
    <tableColumn id="13018" xr3:uid="{50B2C1DC-9B93-4571-9C6B-818B60739999}" name="Column12970" dataDxfId="3384"/>
    <tableColumn id="13019" xr3:uid="{240C390D-2724-46D3-BF55-5129AC6BCABE}" name="Column12971" dataDxfId="3383"/>
    <tableColumn id="13020" xr3:uid="{6820915D-668E-4F09-B795-1C24CCD2B70D}" name="Column12972" dataDxfId="3382"/>
    <tableColumn id="13021" xr3:uid="{4F54F2D1-EEC5-42A3-B383-9E5B4A73175F}" name="Column12973" dataDxfId="3381"/>
    <tableColumn id="13022" xr3:uid="{8D4FF1FD-1C0C-437E-8829-25491284916A}" name="Column12974" dataDxfId="3380"/>
    <tableColumn id="13023" xr3:uid="{53232D8D-CCD8-4DCE-8F06-0288EB8B0F3A}" name="Column12975" dataDxfId="3379"/>
    <tableColumn id="13024" xr3:uid="{03718071-89B5-4E5B-AB12-0413AF677725}" name="Column12976" dataDxfId="3378"/>
    <tableColumn id="13025" xr3:uid="{2B7D73A3-496D-4848-99FF-6EB0534ADC57}" name="Column12977" dataDxfId="3377"/>
    <tableColumn id="13026" xr3:uid="{C35A1E02-0D46-41EB-98A0-D59464D9E74F}" name="Column12978" dataDxfId="3376"/>
    <tableColumn id="13027" xr3:uid="{527CDAE8-FB57-48D0-A1B3-CC9E483153EB}" name="Column12979" dataDxfId="3375"/>
    <tableColumn id="13028" xr3:uid="{395F93EE-2CE5-4EAF-818D-EE335ED9364A}" name="Column12980" dataDxfId="3374"/>
    <tableColumn id="13029" xr3:uid="{5CBFF9B5-EB1F-4277-B783-B604E47F289E}" name="Column12981" dataDxfId="3373"/>
    <tableColumn id="13030" xr3:uid="{907901C8-2808-4271-B63A-FF53C00F29F4}" name="Column12982" dataDxfId="3372"/>
    <tableColumn id="13031" xr3:uid="{07B0DB28-C540-4F65-BDD5-FFB139BB188A}" name="Column12983" dataDxfId="3371"/>
    <tableColumn id="13032" xr3:uid="{15835B54-92E7-4941-B0AB-A708F6B0006A}" name="Column12984" dataDxfId="3370"/>
    <tableColumn id="13033" xr3:uid="{C347AA29-51ED-44C3-87EA-B52FEA9CC81D}" name="Column12985" dataDxfId="3369"/>
    <tableColumn id="13034" xr3:uid="{78867530-561C-4DBE-9DD6-C1B9968926E4}" name="Column12986" dataDxfId="3368"/>
    <tableColumn id="13035" xr3:uid="{E031B67A-8F6C-4D0C-B018-A8D36AD83501}" name="Column12987" dataDxfId="3367"/>
    <tableColumn id="13036" xr3:uid="{6FB58054-4AA1-4E8C-B579-FB12D71C7D49}" name="Column12988" dataDxfId="3366"/>
    <tableColumn id="13037" xr3:uid="{D5F713C8-65A3-425A-96E8-9445C705EFD6}" name="Column12989" dataDxfId="3365"/>
    <tableColumn id="13038" xr3:uid="{9BD76402-08BC-403A-BFAB-67E0C936A8DF}" name="Column12990" dataDxfId="3364"/>
    <tableColumn id="13039" xr3:uid="{AADFCA67-67BA-4E96-BA94-A8E3D781E507}" name="Column12991" dataDxfId="3363"/>
    <tableColumn id="13040" xr3:uid="{F2863DA1-5998-424F-B3BC-9C3846A1D4D9}" name="Column12992" dataDxfId="3362"/>
    <tableColumn id="13041" xr3:uid="{F5D8E4CF-EECB-4698-A2BF-950B2B97CCD2}" name="Column12993" dataDxfId="3361"/>
    <tableColumn id="13042" xr3:uid="{5A709945-B75D-4445-8F8F-72215B671678}" name="Column12994" dataDxfId="3360"/>
    <tableColumn id="13043" xr3:uid="{84AD4B32-9CFA-400A-AECF-752C578BB09B}" name="Column12995" dataDxfId="3359"/>
    <tableColumn id="13044" xr3:uid="{DE164AD7-8495-4CE7-A213-6E321CCE9D19}" name="Column12996" dataDxfId="3358"/>
    <tableColumn id="13045" xr3:uid="{3DF47F6E-C355-443D-87FD-DE2868C78A21}" name="Column12997" dataDxfId="3357"/>
    <tableColumn id="13046" xr3:uid="{5345374C-FF37-471A-9BE2-1D8B81D56E7A}" name="Column12998" dataDxfId="3356"/>
    <tableColumn id="13047" xr3:uid="{B6159B94-C9FA-4C42-91F9-9BDAB56DA975}" name="Column12999" dataDxfId="3355"/>
    <tableColumn id="13048" xr3:uid="{86B90491-4E46-4621-AEA9-586651763CE4}" name="Column13000" dataDxfId="3354"/>
    <tableColumn id="13049" xr3:uid="{4834FF41-249F-4437-AF89-0FEC517F19B5}" name="Column13001" dataDxfId="3353"/>
    <tableColumn id="13050" xr3:uid="{B28BC44D-32E8-4CD9-BCA5-FBF999C4BCC5}" name="Column13002" dataDxfId="3352"/>
    <tableColumn id="13051" xr3:uid="{9F2879C6-46BD-41E8-9AB5-E0695A952F28}" name="Column13003" dataDxfId="3351"/>
    <tableColumn id="13052" xr3:uid="{375E623F-F81B-4759-B0A4-E40492CE6F33}" name="Column13004" dataDxfId="3350"/>
    <tableColumn id="13053" xr3:uid="{AFD6A12C-CAAE-4E15-9D5C-01C8B8DBA969}" name="Column13005" dataDxfId="3349"/>
    <tableColumn id="13054" xr3:uid="{F0C61BB2-D574-4F2D-9893-D37DE1433B39}" name="Column13006" dataDxfId="3348"/>
    <tableColumn id="13055" xr3:uid="{A87E7189-B468-4DC3-AD74-27DA9192EDAF}" name="Column13007" dataDxfId="3347"/>
    <tableColumn id="13056" xr3:uid="{22EA04C0-FDBF-417C-93E0-097536370C9B}" name="Column13008" dataDxfId="3346"/>
    <tableColumn id="13057" xr3:uid="{BF9E4358-9350-4E48-B7A5-919563C617D5}" name="Column13009" dataDxfId="3345"/>
    <tableColumn id="13058" xr3:uid="{38C71521-0BEC-4A11-A1F5-268C830A37B3}" name="Column13010" dataDxfId="3344"/>
    <tableColumn id="13059" xr3:uid="{204F92CC-9F4B-49A9-9756-2DB21727D42C}" name="Column13011" dataDxfId="3343"/>
    <tableColumn id="13060" xr3:uid="{0162BBF9-A7BA-4362-82DF-54E7943099FA}" name="Column13012" dataDxfId="3342"/>
    <tableColumn id="13061" xr3:uid="{A0ACD408-903E-49F7-A2AD-457C205D9C44}" name="Column13013" dataDxfId="3341"/>
    <tableColumn id="13062" xr3:uid="{B81F3044-4FBB-4955-BE87-A71ACAD890D2}" name="Column13014" dataDxfId="3340"/>
    <tableColumn id="13063" xr3:uid="{75BABE0C-B0CA-4D40-B4C1-E89A0A545A53}" name="Column13015" dataDxfId="3339"/>
    <tableColumn id="13064" xr3:uid="{913F8611-B63E-423D-94E2-B967510CB99B}" name="Column13016" dataDxfId="3338"/>
    <tableColumn id="13065" xr3:uid="{9EA0AF5E-2513-4D3A-81D3-807A34CFC9EE}" name="Column13017" dataDxfId="3337"/>
    <tableColumn id="13066" xr3:uid="{7B69EE56-3676-474D-BB5C-8A3AF0AA053F}" name="Column13018" dataDxfId="3336"/>
    <tableColumn id="13067" xr3:uid="{72C45EBC-0BD0-435A-8D66-F3B3FD66F4A6}" name="Column13019" dataDxfId="3335"/>
    <tableColumn id="13068" xr3:uid="{C9AE4842-5891-4BDA-A2DD-9BE28E793D41}" name="Column13020" dataDxfId="3334"/>
    <tableColumn id="13069" xr3:uid="{8290EB96-C730-4EAF-ABC2-AF8739304FE3}" name="Column13021" dataDxfId="3333"/>
    <tableColumn id="13070" xr3:uid="{D34C5E0E-4E50-458E-AFFB-D2055CA47A3B}" name="Column13022" dataDxfId="3332"/>
    <tableColumn id="13071" xr3:uid="{57887A60-AC2B-40BE-A156-BB5FD0763BEF}" name="Column13023" dataDxfId="3331"/>
    <tableColumn id="13072" xr3:uid="{781CE33F-FAE9-4A33-8B10-7C359EF050EB}" name="Column13024" dataDxfId="3330"/>
    <tableColumn id="13073" xr3:uid="{DC87BE9B-D001-47CB-B0E1-9CBEE1A13232}" name="Column13025" dataDxfId="3329"/>
    <tableColumn id="13074" xr3:uid="{489216B4-D5DD-4799-A6BE-1B3A7D9AD39D}" name="Column13026" dataDxfId="3328"/>
    <tableColumn id="13075" xr3:uid="{38D688E5-AF9F-4B85-9FA7-BBA788A0AEC9}" name="Column13027" dataDxfId="3327"/>
    <tableColumn id="13076" xr3:uid="{7F0A0E80-C3FA-4CDD-B09C-98D23BB7A1BA}" name="Column13028" dataDxfId="3326"/>
    <tableColumn id="13077" xr3:uid="{DF1797E0-916A-4401-ACA2-FD7D6BAACBFD}" name="Column13029" dataDxfId="3325"/>
    <tableColumn id="13078" xr3:uid="{05F46C58-02B0-42AE-918C-7FF270E634A0}" name="Column13030" dataDxfId="3324"/>
    <tableColumn id="13079" xr3:uid="{B6FB4122-73D8-41C3-9BED-C8EC74BE1EF2}" name="Column13031" dataDxfId="3323"/>
    <tableColumn id="13080" xr3:uid="{07B30027-9A18-4C14-8DFC-33E90F6D9694}" name="Column13032" dataDxfId="3322"/>
    <tableColumn id="13081" xr3:uid="{E1140A27-6983-4CD2-9E74-F4103236BFC3}" name="Column13033" dataDxfId="3321"/>
    <tableColumn id="13082" xr3:uid="{15DC5B7C-9852-4972-88E1-C0D415859605}" name="Column13034" dataDxfId="3320"/>
    <tableColumn id="13083" xr3:uid="{A117C634-99EA-4073-A0E7-8D8EDB3A8FE1}" name="Column13035" dataDxfId="3319"/>
    <tableColumn id="13084" xr3:uid="{BC6EB228-77EF-4349-8D25-470CACC11D5A}" name="Column13036" dataDxfId="3318"/>
    <tableColumn id="13085" xr3:uid="{68452581-0E29-4BF0-8A67-FCF5EE72925D}" name="Column13037" dataDxfId="3317"/>
    <tableColumn id="13086" xr3:uid="{74735C95-F7E5-42B6-A4CA-152768D02C5A}" name="Column13038" dataDxfId="3316"/>
    <tableColumn id="13087" xr3:uid="{99650886-3AF8-43C3-BCDC-48A2AF902EC5}" name="Column13039" dataDxfId="3315"/>
    <tableColumn id="13088" xr3:uid="{BA30DC64-9BBB-4F56-9054-79BEDBDC65E2}" name="Column13040" dataDxfId="3314"/>
    <tableColumn id="13089" xr3:uid="{123C3E94-897D-4540-B879-13BDEC3F0E97}" name="Column13041" dataDxfId="3313"/>
    <tableColumn id="13090" xr3:uid="{FFFCC428-AAB1-4BB3-BE89-D048C530981C}" name="Column13042" dataDxfId="3312"/>
    <tableColumn id="13091" xr3:uid="{EC11BA13-4399-4958-A18A-A962FBF24224}" name="Column13043" dataDxfId="3311"/>
    <tableColumn id="13092" xr3:uid="{7DFEAEE5-2090-4265-952B-2F01CB75FE4D}" name="Column13044" dataDxfId="3310"/>
    <tableColumn id="13093" xr3:uid="{D255B88E-3E92-4C71-B27A-11C0EF2B681D}" name="Column13045" dataDxfId="3309"/>
    <tableColumn id="13094" xr3:uid="{737196D8-9BD9-4F55-B232-2CEAD59EC238}" name="Column13046" dataDxfId="3308"/>
    <tableColumn id="13095" xr3:uid="{45050C5C-0A89-4C17-8118-8CA268C7EE02}" name="Column13047" dataDxfId="3307"/>
    <tableColumn id="13096" xr3:uid="{D2A54528-E24A-41DA-B1CA-0F377F345C7B}" name="Column13048" dataDxfId="3306"/>
    <tableColumn id="13097" xr3:uid="{2132B240-E770-446F-9565-444DCF33C9D4}" name="Column13049" dataDxfId="3305"/>
    <tableColumn id="13098" xr3:uid="{82BA8DC8-6DE2-4998-A7EB-8560C54F7B90}" name="Column13050" dataDxfId="3304"/>
    <tableColumn id="13099" xr3:uid="{E797259F-D2F9-4C00-9C74-1F42BF2CD75A}" name="Column13051" dataDxfId="3303"/>
    <tableColumn id="13100" xr3:uid="{40C1D47D-86A7-45DA-AC4C-70B679E34547}" name="Column13052" dataDxfId="3302"/>
    <tableColumn id="13101" xr3:uid="{F133CE87-F748-4D3B-9900-71643BDB6D3C}" name="Column13053" dataDxfId="3301"/>
    <tableColumn id="13102" xr3:uid="{C844642D-67B3-4224-B835-CE94FB962697}" name="Column13054" dataDxfId="3300"/>
    <tableColumn id="13103" xr3:uid="{A75ED2AC-422D-4B7D-A1AD-F591DFDB3D8F}" name="Column13055" dataDxfId="3299"/>
    <tableColumn id="13104" xr3:uid="{344A71A9-B0D8-4C47-AE89-F745BB25064A}" name="Column13056" dataDxfId="3298"/>
    <tableColumn id="13105" xr3:uid="{F38B2EC6-4D29-4078-9D5F-03091152CD5B}" name="Column13057" dataDxfId="3297"/>
    <tableColumn id="13106" xr3:uid="{F2DFE95A-8691-4281-9B44-037063FA11D5}" name="Column13058" dataDxfId="3296"/>
    <tableColumn id="13107" xr3:uid="{AA435AFD-2D60-4474-87EA-3FABCE40F02B}" name="Column13059" dataDxfId="3295"/>
    <tableColumn id="13108" xr3:uid="{828DDA93-FC32-4261-B662-8DB14B47925C}" name="Column13060" dataDxfId="3294"/>
    <tableColumn id="13109" xr3:uid="{628C62AF-E480-492E-807F-BA41BD0A3EBA}" name="Column13061" dataDxfId="3293"/>
    <tableColumn id="13110" xr3:uid="{82425341-1B2A-4978-9529-F694A2A7B170}" name="Column13062" dataDxfId="3292"/>
    <tableColumn id="13111" xr3:uid="{B9B505FA-135B-4174-A79C-2DD365D7968B}" name="Column13063" dataDxfId="3291"/>
    <tableColumn id="13112" xr3:uid="{5BEB69E5-6753-4FB9-80CF-9CC7565090CF}" name="Column13064" dataDxfId="3290"/>
    <tableColumn id="13113" xr3:uid="{40B4B192-5E56-4818-8804-47DAB3C54A53}" name="Column13065" dataDxfId="3289"/>
    <tableColumn id="13114" xr3:uid="{12997AC5-01CF-444F-882E-52EEDC88B796}" name="Column13066" dataDxfId="3288"/>
    <tableColumn id="13115" xr3:uid="{88AAFFA1-D077-4BC2-A485-0EE30D70AABD}" name="Column13067" dataDxfId="3287"/>
    <tableColumn id="13116" xr3:uid="{EC4D1855-37FC-4D9D-A26A-4197238E197E}" name="Column13068" dataDxfId="3286"/>
    <tableColumn id="13117" xr3:uid="{EA46955E-E06F-4D5F-BC16-890BC293863B}" name="Column13069" dataDxfId="3285"/>
    <tableColumn id="13118" xr3:uid="{EE0672A4-2BA2-40B3-B5A2-C6D375B218AD}" name="Column13070" dataDxfId="3284"/>
    <tableColumn id="13119" xr3:uid="{C934101B-900F-4426-88E1-885060A93088}" name="Column13071" dataDxfId="3283"/>
    <tableColumn id="13120" xr3:uid="{8E96454F-8405-41F0-BFC0-3845C62EB31D}" name="Column13072" dataDxfId="3282"/>
    <tableColumn id="13121" xr3:uid="{B3DD9D56-D828-40FA-A0F8-59635B788F1F}" name="Column13073" dataDxfId="3281"/>
    <tableColumn id="13122" xr3:uid="{65AFE7B4-A465-4B2D-9C64-0E002DFB8802}" name="Column13074" dataDxfId="3280"/>
    <tableColumn id="13123" xr3:uid="{21081A7C-3873-4E5E-B85A-980E5BFA9ADC}" name="Column13075" dataDxfId="3279"/>
    <tableColumn id="13124" xr3:uid="{78D6F9D1-D985-438E-B216-BAD206F254BF}" name="Column13076" dataDxfId="3278"/>
    <tableColumn id="13125" xr3:uid="{439CD041-6D84-43D0-AFAB-FA0359A9B2B3}" name="Column13077" dataDxfId="3277"/>
    <tableColumn id="13126" xr3:uid="{2452BB84-77E7-40DC-A9F9-3B9E3451DD1D}" name="Column13078" dataDxfId="3276"/>
    <tableColumn id="13127" xr3:uid="{E4C01598-520D-445A-B352-2A2EB52A233B}" name="Column13079" dataDxfId="3275"/>
    <tableColumn id="13128" xr3:uid="{96BF427C-1C86-4D99-ABFB-7FDC3A2F5280}" name="Column13080" dataDxfId="3274"/>
    <tableColumn id="13129" xr3:uid="{FEE9B3CE-9B50-44B3-9F40-65618125FB44}" name="Column13081" dataDxfId="3273"/>
    <tableColumn id="13130" xr3:uid="{8960ED27-B782-4DEA-BD44-AABAE06074B3}" name="Column13082" dataDxfId="3272"/>
    <tableColumn id="13131" xr3:uid="{97C27982-A248-4E51-8AF6-6D1487FFE999}" name="Column13083" dataDxfId="3271"/>
    <tableColumn id="13132" xr3:uid="{D7FB96B7-B0A5-4181-B961-A30DBD2E069D}" name="Column13084" dataDxfId="3270"/>
    <tableColumn id="13133" xr3:uid="{78EB8E77-C5A6-47B5-855A-8A29BA1DF4C8}" name="Column13085" dataDxfId="3269"/>
    <tableColumn id="13134" xr3:uid="{5138FC1C-B4FD-48ED-A65E-B4F25BC3D16E}" name="Column13086" dataDxfId="3268"/>
    <tableColumn id="13135" xr3:uid="{53145CE9-674E-463B-BCEF-6D426784E012}" name="Column13087" dataDxfId="3267"/>
    <tableColumn id="13136" xr3:uid="{03CD59BF-FBE6-4482-BA4A-2EC9345241E0}" name="Column13088" dataDxfId="3266"/>
    <tableColumn id="13137" xr3:uid="{60F31D22-D2E4-499C-9F59-EAEE5B05F437}" name="Column13089" dataDxfId="3265"/>
    <tableColumn id="13138" xr3:uid="{E6AACC14-A5C1-4BFD-A0DB-463D0CBD5A6B}" name="Column13090" dataDxfId="3264"/>
    <tableColumn id="13139" xr3:uid="{E113FF75-109D-4D79-97BD-2F4F39A99612}" name="Column13091" dataDxfId="3263"/>
    <tableColumn id="13140" xr3:uid="{C9B52E21-A2B2-4DA8-B5E6-9DD87CFBD3CE}" name="Column13092" dataDxfId="3262"/>
    <tableColumn id="13141" xr3:uid="{EB21585F-E0B8-43A8-AA47-7165740DD2CB}" name="Column13093" dataDxfId="3261"/>
    <tableColumn id="13142" xr3:uid="{11392020-D897-410D-BCAA-E7C9D8F8DF5B}" name="Column13094" dataDxfId="3260"/>
    <tableColumn id="13143" xr3:uid="{98CB1BFB-D653-41F5-B934-BE6578D0825C}" name="Column13095" dataDxfId="3259"/>
    <tableColumn id="13144" xr3:uid="{D3A95CFA-1809-4F0D-9395-1A1C4BA7DD8B}" name="Column13096" dataDxfId="3258"/>
    <tableColumn id="13145" xr3:uid="{21E5E63F-CCAC-472A-AA42-E1513F511634}" name="Column13097" dataDxfId="3257"/>
    <tableColumn id="13146" xr3:uid="{6189C7A4-CC4F-4D79-9128-31FCB334925A}" name="Column13098" dataDxfId="3256"/>
    <tableColumn id="13147" xr3:uid="{F27421D9-9835-4D3E-945C-BC4D9D8252A9}" name="Column13099" dataDxfId="3255"/>
    <tableColumn id="13148" xr3:uid="{DF408BC2-A6A1-4235-993B-FB3D24398B76}" name="Column13100" dataDxfId="3254"/>
    <tableColumn id="13149" xr3:uid="{F5B27335-A40F-4142-A19D-EF0F37091E78}" name="Column13101" dataDxfId="3253"/>
    <tableColumn id="13150" xr3:uid="{C14425A9-E8A5-481A-B5AA-3A63541054B1}" name="Column13102" dataDxfId="3252"/>
    <tableColumn id="13151" xr3:uid="{16F14FB5-6B98-4B31-9037-D3DBD2B0C8DA}" name="Column13103" dataDxfId="3251"/>
    <tableColumn id="13152" xr3:uid="{3EF8D7B8-E8E4-4532-A2DB-A66B1A2FD766}" name="Column13104" dataDxfId="3250"/>
    <tableColumn id="13153" xr3:uid="{DB586129-4752-4AAC-98C7-07F41AB41AD6}" name="Column13105" dataDxfId="3249"/>
    <tableColumn id="13154" xr3:uid="{36A8C4AE-11DA-44DF-9B2A-F79188F150F4}" name="Column13106" dataDxfId="3248"/>
    <tableColumn id="13155" xr3:uid="{F9978B19-F175-4237-AF24-1797635CC83C}" name="Column13107" dataDxfId="3247"/>
    <tableColumn id="13156" xr3:uid="{34725441-2B0A-4A0E-8F18-5878C587B13F}" name="Column13108" dataDxfId="3246"/>
    <tableColumn id="13157" xr3:uid="{6934F6F2-0A9C-4052-927E-6A6C334C0E46}" name="Column13109" dataDxfId="3245"/>
    <tableColumn id="13158" xr3:uid="{4D5F9FC8-74F3-48D8-8CBB-DA2B185F3690}" name="Column13110" dataDxfId="3244"/>
    <tableColumn id="13159" xr3:uid="{B9F8B597-8403-487C-A344-6932C9F2485F}" name="Column13111" dataDxfId="3243"/>
    <tableColumn id="13160" xr3:uid="{91189447-80D9-4CB3-9DF9-06B09D5224CD}" name="Column13112" dataDxfId="3242"/>
    <tableColumn id="13161" xr3:uid="{0801C6AD-FD7E-4360-8B51-697618B46858}" name="Column13113" dataDxfId="3241"/>
    <tableColumn id="13162" xr3:uid="{AD3DD7D3-6149-4459-9D25-F2BC7BAFB0CA}" name="Column13114" dataDxfId="3240"/>
    <tableColumn id="13163" xr3:uid="{5D990154-B8FF-4664-92A2-27347CA5EF71}" name="Column13115" dataDxfId="3239"/>
    <tableColumn id="13164" xr3:uid="{C762119A-573B-40D6-9868-1F23E9284D9C}" name="Column13116" dataDxfId="3238"/>
    <tableColumn id="13165" xr3:uid="{C04BB27B-0D15-44B4-923B-535C704C3485}" name="Column13117" dataDxfId="3237"/>
    <tableColumn id="13166" xr3:uid="{486FC332-FA58-46A5-BD01-9FCD08CA1138}" name="Column13118" dataDxfId="3236"/>
    <tableColumn id="13167" xr3:uid="{E4610A86-75A7-4A37-B95E-09ACDA24E077}" name="Column13119" dataDxfId="3235"/>
    <tableColumn id="13168" xr3:uid="{A3B59896-3B1C-40FF-84EA-00F437CB5972}" name="Column13120" dataDxfId="3234"/>
    <tableColumn id="13169" xr3:uid="{626E65A4-0CEB-492A-BB25-7805BFD606FA}" name="Column13121" dataDxfId="3233"/>
    <tableColumn id="13170" xr3:uid="{86851DDF-55AA-404C-8D6D-D07D9DACE15C}" name="Column13122" dataDxfId="3232"/>
    <tableColumn id="13171" xr3:uid="{CF929DDF-6ADF-41D5-9055-97769DB9C1C8}" name="Column13123" dataDxfId="3231"/>
    <tableColumn id="13172" xr3:uid="{69E5B9D6-57F2-4B6B-9B7C-A602AAC71CF0}" name="Column13124" dataDxfId="3230"/>
    <tableColumn id="13173" xr3:uid="{4982EB00-CDA2-448C-9F25-07C60C80C0DC}" name="Column13125" dataDxfId="3229"/>
    <tableColumn id="13174" xr3:uid="{668B0452-98B4-4BE2-965F-63A866261E53}" name="Column13126" dataDxfId="3228"/>
    <tableColumn id="13175" xr3:uid="{3D758B43-5028-4EFC-AEB6-276DB14C73BD}" name="Column13127" dataDxfId="3227"/>
    <tableColumn id="13176" xr3:uid="{04EAB5B4-F7EA-4528-8B10-CC5E8D41C502}" name="Column13128" dataDxfId="3226"/>
    <tableColumn id="13177" xr3:uid="{20E3CB36-84F8-44B4-8D7F-814E1D226C23}" name="Column13129" dataDxfId="3225"/>
    <tableColumn id="13178" xr3:uid="{965F11C5-7E4C-45DE-9D23-4F7650B50B25}" name="Column13130" dataDxfId="3224"/>
    <tableColumn id="13179" xr3:uid="{049507AA-774E-4DEE-BCF7-805E8FFB8B71}" name="Column13131" dataDxfId="3223"/>
    <tableColumn id="13180" xr3:uid="{2CEF77ED-C751-415E-9140-F5BC01E58F07}" name="Column13132" dataDxfId="3222"/>
    <tableColumn id="13181" xr3:uid="{2830FAC9-6005-4BB6-8301-7670E8531BC1}" name="Column13133" dataDxfId="3221"/>
    <tableColumn id="13182" xr3:uid="{0ED51DC8-569F-40AE-BFEF-273D31EB8E6F}" name="Column13134" dataDxfId="3220"/>
    <tableColumn id="13183" xr3:uid="{A32DC69B-25F0-4268-B5C7-E3992029B3B2}" name="Column13135" dataDxfId="3219"/>
    <tableColumn id="13184" xr3:uid="{6F1326A9-751F-40BE-A842-7F6E0CAB9436}" name="Column13136" dataDxfId="3218"/>
    <tableColumn id="13185" xr3:uid="{830E5CB2-D84C-442C-B356-07DE004CB35B}" name="Column13137" dataDxfId="3217"/>
    <tableColumn id="13186" xr3:uid="{241E9B6C-2018-4EA8-8812-DA35E05FAA77}" name="Column13138" dataDxfId="3216"/>
    <tableColumn id="13187" xr3:uid="{09BD63B3-74AE-4338-9FDC-5245E0F00426}" name="Column13139" dataDxfId="3215"/>
    <tableColumn id="13188" xr3:uid="{DD86C401-C74C-494C-878E-C8F384FDC142}" name="Column13140" dataDxfId="3214"/>
    <tableColumn id="13189" xr3:uid="{4407522A-0AAA-489A-A4DA-4A8028248A18}" name="Column13141" dataDxfId="3213"/>
    <tableColumn id="13190" xr3:uid="{0B54A318-2B12-4D31-9C38-BBE1C8BEA4C2}" name="Column13142" dataDxfId="3212"/>
    <tableColumn id="13191" xr3:uid="{C690BF4A-62AF-40EB-A583-9B453B4AD0A3}" name="Column13143" dataDxfId="3211"/>
    <tableColumn id="13192" xr3:uid="{B9CDFFA9-42BF-40D7-BBA1-3313E2F8DA10}" name="Column13144" dataDxfId="3210"/>
    <tableColumn id="13193" xr3:uid="{08BFACEE-C357-4A27-86AD-E24A852300D1}" name="Column13145" dataDxfId="3209"/>
    <tableColumn id="13194" xr3:uid="{586F3D5A-509F-41AD-BBF1-893F971AAAE4}" name="Column13146" dataDxfId="3208"/>
    <tableColumn id="13195" xr3:uid="{B5BD7571-23B6-4DDF-9CF0-4B7E2C6D8C79}" name="Column13147" dataDxfId="3207"/>
    <tableColumn id="13196" xr3:uid="{6840BEA1-884A-481C-8483-915D965C3F9F}" name="Column13148" dataDxfId="3206"/>
    <tableColumn id="13197" xr3:uid="{23683E31-DDE3-4CAC-9B57-E3E8D0F5E3C0}" name="Column13149" dataDxfId="3205"/>
    <tableColumn id="13198" xr3:uid="{5A9FCB7D-2D09-4EFB-81FA-79E60B44DF79}" name="Column13150" dataDxfId="3204"/>
    <tableColumn id="13199" xr3:uid="{657358B6-E89A-4112-A820-8326E83D07E5}" name="Column13151" dataDxfId="3203"/>
    <tableColumn id="13200" xr3:uid="{56CD1468-738A-4BF0-858D-FAE943664411}" name="Column13152" dataDxfId="3202"/>
    <tableColumn id="13201" xr3:uid="{46CE6A49-A50E-4CB4-8F1F-9D38F2A424A3}" name="Column13153" dataDxfId="3201"/>
    <tableColumn id="13202" xr3:uid="{D0ABFBBF-3AB1-4FA2-9474-2B052C0223C9}" name="Column13154" dataDxfId="3200"/>
    <tableColumn id="13203" xr3:uid="{342FD773-2D54-4E29-8AEC-95C7D5AC8769}" name="Column13155" dataDxfId="3199"/>
    <tableColumn id="13204" xr3:uid="{AD011C00-9686-411D-AF9E-61E77B6D8FF3}" name="Column13156" dataDxfId="3198"/>
    <tableColumn id="13205" xr3:uid="{8885215A-97B5-4964-8F7E-D7CECE1E71C6}" name="Column13157" dataDxfId="3197"/>
    <tableColumn id="13206" xr3:uid="{506BB20D-2364-4064-9073-2F3EAEE6A10A}" name="Column13158" dataDxfId="3196"/>
    <tableColumn id="13207" xr3:uid="{1DF9DDEF-A7A5-4757-B2F7-45BEB1929500}" name="Column13159" dataDxfId="3195"/>
    <tableColumn id="13208" xr3:uid="{B26120B8-0BF5-4BF2-9B6F-81B5656D83CD}" name="Column13160" dataDxfId="3194"/>
    <tableColumn id="13209" xr3:uid="{21B8F483-AB17-48E1-83DF-E6D9FFAE3B6A}" name="Column13161" dataDxfId="3193"/>
    <tableColumn id="13210" xr3:uid="{7DE8E106-EDB4-419D-B67B-0BFE57662DDA}" name="Column13162" dataDxfId="3192"/>
    <tableColumn id="13211" xr3:uid="{8DBC1776-FC98-4DD6-8552-83D0AA4CB25F}" name="Column13163" dataDxfId="3191"/>
    <tableColumn id="13212" xr3:uid="{86F67488-EB79-4B77-BBD7-83A6F3883FE3}" name="Column13164" dataDxfId="3190"/>
    <tableColumn id="13213" xr3:uid="{926001BD-B016-42D5-9A63-26627086DB34}" name="Column13165" dataDxfId="3189"/>
    <tableColumn id="13214" xr3:uid="{27860875-CA25-4752-A3C2-104BF78DDA88}" name="Column13166" dataDxfId="3188"/>
    <tableColumn id="13215" xr3:uid="{93E5EA29-4576-4D1F-9665-81976B584E9D}" name="Column13167" dataDxfId="3187"/>
    <tableColumn id="13216" xr3:uid="{D3F40878-3A5F-48D3-AF18-FE1D5B31D3CA}" name="Column13168" dataDxfId="3186"/>
    <tableColumn id="13217" xr3:uid="{AA4786F6-A2F2-4388-98E7-B3515C307B2C}" name="Column13169" dataDxfId="3185"/>
    <tableColumn id="13218" xr3:uid="{732C0637-CB65-458B-AF1C-B188B03C5F1D}" name="Column13170" dataDxfId="3184"/>
    <tableColumn id="13219" xr3:uid="{48D15970-1D99-4861-BA1A-DF0269D61599}" name="Column13171" dataDxfId="3183"/>
    <tableColumn id="13220" xr3:uid="{3172029A-AE19-452E-8453-CA09E911DF39}" name="Column13172" dataDxfId="3182"/>
    <tableColumn id="13221" xr3:uid="{AA41EBAE-0D85-4C51-B01A-F8E0FF29AE2E}" name="Column13173" dataDxfId="3181"/>
    <tableColumn id="13222" xr3:uid="{8C3A3AB5-B629-46B7-8F69-61F5B20637C8}" name="Column13174" dataDxfId="3180"/>
    <tableColumn id="13223" xr3:uid="{233F3583-889E-4421-9AF5-6E66EE5DC284}" name="Column13175" dataDxfId="3179"/>
    <tableColumn id="13224" xr3:uid="{B3C565F5-8852-4D34-9C24-24939AE2CBA1}" name="Column13176" dataDxfId="3178"/>
    <tableColumn id="13225" xr3:uid="{F87BF008-4FBA-4D1F-B1AB-75440B6A7170}" name="Column13177" dataDxfId="3177"/>
    <tableColumn id="13226" xr3:uid="{62A480AB-702C-4576-A70A-10F6B2710C57}" name="Column13178" dataDxfId="3176"/>
    <tableColumn id="13227" xr3:uid="{63164DCC-25BD-420E-B521-77DB83BE3AF8}" name="Column13179" dataDxfId="3175"/>
    <tableColumn id="13228" xr3:uid="{946621A0-1E4B-437A-A295-B0A3770D1084}" name="Column13180" dataDxfId="3174"/>
    <tableColumn id="13229" xr3:uid="{4EC6CFCE-DDFE-44AA-A8F0-6BCEBC448A3B}" name="Column13181" dataDxfId="3173"/>
    <tableColumn id="13230" xr3:uid="{6ECEC49C-7D77-47AD-BA81-62C252A0D35D}" name="Column13182" dataDxfId="3172"/>
    <tableColumn id="13231" xr3:uid="{5957B15F-CD9F-4363-B2B8-D3EA48808611}" name="Column13183" dataDxfId="3171"/>
    <tableColumn id="13232" xr3:uid="{2930C4C0-6D7E-423D-A41E-A196E37C483F}" name="Column13184" dataDxfId="3170"/>
    <tableColumn id="13233" xr3:uid="{3FC3D554-0160-45D6-963E-068F7763AD7F}" name="Column13185" dataDxfId="3169"/>
    <tableColumn id="13234" xr3:uid="{BF6D1BD5-D0E5-40A1-81E6-5E0E6C526E81}" name="Column13186" dataDxfId="3168"/>
    <tableColumn id="13235" xr3:uid="{DB4F1C0C-922B-40D8-9E79-DF71EE6BB78C}" name="Column13187" dataDxfId="3167"/>
    <tableColumn id="13236" xr3:uid="{79B97C71-7B92-4F3F-A03B-082DDDE1DF2F}" name="Column13188" dataDxfId="3166"/>
    <tableColumn id="13237" xr3:uid="{3361E36F-0DE4-4DDD-BABD-128A28DBB7BF}" name="Column13189" dataDxfId="3165"/>
    <tableColumn id="13238" xr3:uid="{73D8ADCD-DFEB-4C5A-8BD6-298F79BA2535}" name="Column13190" dataDxfId="3164"/>
    <tableColumn id="13239" xr3:uid="{2ADA3F73-8CE2-4710-86F7-FD42B604051B}" name="Column13191" dataDxfId="3163"/>
    <tableColumn id="13240" xr3:uid="{993BC785-9DDB-477A-AF96-E14D91C65283}" name="Column13192" dataDxfId="3162"/>
    <tableColumn id="13241" xr3:uid="{5047D3F6-B11F-4821-9CE3-07281EF6E51C}" name="Column13193" dataDxfId="3161"/>
    <tableColumn id="13242" xr3:uid="{F27DAE67-D588-452A-8B86-C75802872895}" name="Column13194" dataDxfId="3160"/>
    <tableColumn id="13243" xr3:uid="{9801A6D3-D1F7-452A-9E26-833F75A2D151}" name="Column13195" dataDxfId="3159"/>
    <tableColumn id="13244" xr3:uid="{D95C5392-C900-421A-96F9-41FE73558F7E}" name="Column13196" dataDxfId="3158"/>
    <tableColumn id="13245" xr3:uid="{3791B8FF-7DC5-4773-B376-FEDA2395035D}" name="Column13197" dataDxfId="3157"/>
    <tableColumn id="13246" xr3:uid="{66A171D9-CDE1-4833-A0CE-F34BD662912B}" name="Column13198" dataDxfId="3156"/>
    <tableColumn id="13247" xr3:uid="{D3238CD5-92EA-4AFD-B0DB-CE3142D23463}" name="Column13199" dataDxfId="3155"/>
    <tableColumn id="13248" xr3:uid="{7600316A-2FD1-4605-A4EA-F98E962DCB71}" name="Column13200" dataDxfId="3154"/>
    <tableColumn id="13249" xr3:uid="{4B22D324-15FB-4616-97A4-5F65BD0A60D0}" name="Column13201" dataDxfId="3153"/>
    <tableColumn id="13250" xr3:uid="{01C29286-75DE-4303-9FEE-818E95E5702B}" name="Column13202" dataDxfId="3152"/>
    <tableColumn id="13251" xr3:uid="{7FB63B4D-8E75-4E9A-9E6A-B3E07AEB8E22}" name="Column13203" dataDxfId="3151"/>
    <tableColumn id="13252" xr3:uid="{AE5DFB37-8D61-417E-8D5C-369D46A3D0CE}" name="Column13204" dataDxfId="3150"/>
    <tableColumn id="13253" xr3:uid="{2526BB2A-8B48-42FE-AD82-4F7AF9AB0F78}" name="Column13205" dataDxfId="3149"/>
    <tableColumn id="13254" xr3:uid="{B1BE2FD8-5950-434F-BB85-277E6FCFE7D1}" name="Column13206" dataDxfId="3148"/>
    <tableColumn id="13255" xr3:uid="{91061429-60DE-4AF7-9241-472B1FCE7530}" name="Column13207" dataDxfId="3147"/>
    <tableColumn id="13256" xr3:uid="{B5EA2186-596F-4D81-BEC8-FE4EDA6C30AF}" name="Column13208" dataDxfId="3146"/>
    <tableColumn id="13257" xr3:uid="{E50066BC-4D48-4141-8354-7647843AD6BE}" name="Column13209" dataDxfId="3145"/>
    <tableColumn id="13258" xr3:uid="{50515C31-1543-40BD-B074-4C59E713F3DD}" name="Column13210" dataDxfId="3144"/>
    <tableColumn id="13259" xr3:uid="{D4812E32-09B2-4D1B-B47C-87BB5C7BD4CF}" name="Column13211" dataDxfId="3143"/>
    <tableColumn id="13260" xr3:uid="{E47C34EE-7F12-415A-9C17-D2DBBD34F2B3}" name="Column13212" dataDxfId="3142"/>
    <tableColumn id="13261" xr3:uid="{C985DE3B-6F16-4B67-8676-4A41BF9DBE24}" name="Column13213" dataDxfId="3141"/>
    <tableColumn id="13262" xr3:uid="{CD04D522-22EA-4295-A078-F2DD759E3FD2}" name="Column13214" dataDxfId="3140"/>
    <tableColumn id="13263" xr3:uid="{A76BB06E-288F-4281-B2BA-913E66C9DBF4}" name="Column13215" dataDxfId="3139"/>
    <tableColumn id="13264" xr3:uid="{8E833E34-65B2-452D-97F5-F76C8CF428CD}" name="Column13216" dataDxfId="3138"/>
    <tableColumn id="13265" xr3:uid="{C60D51CA-7AE6-4DE0-81DA-688CCF800663}" name="Column13217" dataDxfId="3137"/>
    <tableColumn id="13266" xr3:uid="{5182CDE8-A12E-42A6-AC10-441AAB700622}" name="Column13218" dataDxfId="3136"/>
    <tableColumn id="13267" xr3:uid="{CF793DB3-D528-4473-8136-7FFE4C7195D0}" name="Column13219" dataDxfId="3135"/>
    <tableColumn id="13268" xr3:uid="{760405B4-C8F2-46B0-B957-B9DB16A4C840}" name="Column13220" dataDxfId="3134"/>
    <tableColumn id="13269" xr3:uid="{78971BE0-B722-477D-AF93-ED0B2C465223}" name="Column13221" dataDxfId="3133"/>
    <tableColumn id="13270" xr3:uid="{42ADC96E-87B8-4465-AE7C-8B260240440F}" name="Column13222" dataDxfId="3132"/>
    <tableColumn id="13271" xr3:uid="{9E4D62CB-AABE-42DC-9C8E-60983F197DA6}" name="Column13223" dataDxfId="3131"/>
    <tableColumn id="13272" xr3:uid="{20C45D4B-55DD-4358-9F36-A7DC7D7A030B}" name="Column13224" dataDxfId="3130"/>
    <tableColumn id="13273" xr3:uid="{C96C304F-973B-40C9-8FB4-53A8FA7B17C9}" name="Column13225" dataDxfId="3129"/>
    <tableColumn id="13274" xr3:uid="{9668FD49-2D17-4906-94A4-163409F5EB79}" name="Column13226" dataDxfId="3128"/>
    <tableColumn id="13275" xr3:uid="{49BB937F-A44E-4758-98D3-DD773D091FBD}" name="Column13227" dataDxfId="3127"/>
    <tableColumn id="13276" xr3:uid="{338F6B6E-9B8F-4EE0-BFEE-519A48C731B8}" name="Column13228" dataDxfId="3126"/>
    <tableColumn id="13277" xr3:uid="{EABEEF24-916A-4226-839C-6883F0DB2083}" name="Column13229" dataDxfId="3125"/>
    <tableColumn id="13278" xr3:uid="{2582D017-31A7-417F-9747-103D762022B0}" name="Column13230" dataDxfId="3124"/>
    <tableColumn id="13279" xr3:uid="{79704543-274B-494F-AC80-F617A0702223}" name="Column13231" dataDxfId="3123"/>
    <tableColumn id="13280" xr3:uid="{AF634467-FF0E-424E-928C-A26ACDF322B5}" name="Column13232" dataDxfId="3122"/>
    <tableColumn id="13281" xr3:uid="{292A64C5-836B-4565-BD80-3DEC1712EAC5}" name="Column13233" dataDxfId="3121"/>
    <tableColumn id="13282" xr3:uid="{206ED051-FC40-4427-A534-C4A99BED34B7}" name="Column13234" dataDxfId="3120"/>
    <tableColumn id="13283" xr3:uid="{D8740810-A081-4CB7-B03C-F6D17B38EE0A}" name="Column13235" dataDxfId="3119"/>
    <tableColumn id="13284" xr3:uid="{882346E8-1436-4B4A-A65A-79AA8DC4FE35}" name="Column13236" dataDxfId="3118"/>
    <tableColumn id="13285" xr3:uid="{925AEF37-D57A-40B7-99A7-C0E044A3524F}" name="Column13237" dataDxfId="3117"/>
    <tableColumn id="13286" xr3:uid="{11B95AA0-EAEF-4F8B-B583-2E27004AC181}" name="Column13238" dataDxfId="3116"/>
    <tableColumn id="13287" xr3:uid="{C5D74342-B33C-4720-95AA-3493B339BE91}" name="Column13239" dataDxfId="3115"/>
    <tableColumn id="13288" xr3:uid="{008057ED-1E70-4092-9B27-03B4BA971669}" name="Column13240" dataDxfId="3114"/>
    <tableColumn id="13289" xr3:uid="{1603014A-F139-478F-8B7E-E2C379E16066}" name="Column13241" dataDxfId="3113"/>
    <tableColumn id="13290" xr3:uid="{66D337DF-9081-41A8-BEE8-1171297E23E3}" name="Column13242" dataDxfId="3112"/>
    <tableColumn id="13291" xr3:uid="{4D72C8FE-4A14-415C-96E0-890A9637D6A7}" name="Column13243" dataDxfId="3111"/>
    <tableColumn id="13292" xr3:uid="{A2BAACA7-5193-42F3-86A9-6BA86B63DB22}" name="Column13244" dataDxfId="3110"/>
    <tableColumn id="13293" xr3:uid="{3D106A92-762D-47E9-B913-06FB66768AB5}" name="Column13245" dataDxfId="3109"/>
    <tableColumn id="13294" xr3:uid="{DF74206B-1644-4471-9544-1D0FA3E6EB1D}" name="Column13246" dataDxfId="3108"/>
    <tableColumn id="13295" xr3:uid="{7047A97F-0EC3-4210-B36B-B2AB740648B4}" name="Column13247" dataDxfId="3107"/>
    <tableColumn id="13296" xr3:uid="{CA79F351-1ADE-4F89-B1D5-05A8D4481493}" name="Column13248" dataDxfId="3106"/>
    <tableColumn id="13297" xr3:uid="{05F7E5D5-60C9-4135-AEC4-4B1E61CFF660}" name="Column13249" dataDxfId="3105"/>
    <tableColumn id="13298" xr3:uid="{B95AC228-FE41-4414-8548-EA5B38B1763A}" name="Column13250" dataDxfId="3104"/>
    <tableColumn id="13299" xr3:uid="{CB3A667D-90E6-47EA-92D4-54D1AA104FEE}" name="Column13251" dataDxfId="3103"/>
    <tableColumn id="13300" xr3:uid="{67FDCC6D-0BE4-4127-BADB-D7E3EED73E40}" name="Column13252" dataDxfId="3102"/>
    <tableColumn id="13301" xr3:uid="{8FD12596-954B-44BA-AD0F-F786B2E2D18D}" name="Column13253" dataDxfId="3101"/>
    <tableColumn id="13302" xr3:uid="{24D3ABD7-4FD2-4A39-BCDA-DD37D0AA0FCF}" name="Column13254" dataDxfId="3100"/>
    <tableColumn id="13303" xr3:uid="{3B1A7B4A-A880-4A16-A631-E3743CDA99D5}" name="Column13255" dataDxfId="3099"/>
    <tableColumn id="13304" xr3:uid="{77CDF7FB-F952-44E0-93F7-AF4588E3EE1A}" name="Column13256" dataDxfId="3098"/>
    <tableColumn id="13305" xr3:uid="{F4A1378E-DDAC-4A70-BBC4-FF51C9B4ADA1}" name="Column13257" dataDxfId="3097"/>
    <tableColumn id="13306" xr3:uid="{320601AE-EDB5-46BC-901F-31458A597A2A}" name="Column13258" dataDxfId="3096"/>
    <tableColumn id="13307" xr3:uid="{B9BCBB87-1D7E-4418-95A0-3C407A67FA3C}" name="Column13259" dataDxfId="3095"/>
    <tableColumn id="13308" xr3:uid="{AC7DC401-8698-44E0-82A5-977A314CF196}" name="Column13260" dataDxfId="3094"/>
    <tableColumn id="13309" xr3:uid="{3BC8BC55-7B57-4743-B4B2-4F0527CED676}" name="Column13261" dataDxfId="3093"/>
    <tableColumn id="13310" xr3:uid="{E0801B71-E3BC-4418-BA58-B0D4CAE59F73}" name="Column13262" dataDxfId="3092"/>
    <tableColumn id="13311" xr3:uid="{0248A2F3-FB1A-4E22-85CC-D1A342DC0FA6}" name="Column13263" dataDxfId="3091"/>
    <tableColumn id="13312" xr3:uid="{B3552BA4-74F2-4E2E-B4CC-D0EEC30A27CE}" name="Column13264" dataDxfId="3090"/>
    <tableColumn id="13313" xr3:uid="{DA087F6F-65CA-4DE9-9290-E0D83AFFC22D}" name="Column13265" dataDxfId="3089"/>
    <tableColumn id="13314" xr3:uid="{8CFED0DD-ACEF-4392-A9FD-C81C7CA92291}" name="Column13266" dataDxfId="3088"/>
    <tableColumn id="13315" xr3:uid="{6FE8DC5E-E574-4C58-A379-EF76F1B08EC6}" name="Column13267" dataDxfId="3087"/>
    <tableColumn id="13316" xr3:uid="{8E83E661-DDBC-4E96-80B1-5438400E8FEB}" name="Column13268" dataDxfId="3086"/>
    <tableColumn id="13317" xr3:uid="{BB0BB98F-A70A-42E0-A3B4-03057C388A90}" name="Column13269" dataDxfId="3085"/>
    <tableColumn id="13318" xr3:uid="{5C245212-E4F6-470A-B855-8D24F2DF6CF6}" name="Column13270" dataDxfId="3084"/>
    <tableColumn id="13319" xr3:uid="{AA4CF8E1-655F-476D-8FB5-D9A54AD0DF1D}" name="Column13271" dataDxfId="3083"/>
    <tableColumn id="13320" xr3:uid="{7274909B-3420-457E-BA54-9A8FF887144F}" name="Column13272" dataDxfId="3082"/>
    <tableColumn id="13321" xr3:uid="{422421BB-ABAD-4D15-A149-DC0159454BC8}" name="Column13273" dataDxfId="3081"/>
    <tableColumn id="13322" xr3:uid="{17AF88D8-04FE-4630-AC35-BA528A494EAC}" name="Column13274" dataDxfId="3080"/>
    <tableColumn id="13323" xr3:uid="{3261EF2C-C0F6-44DC-A7E6-12F4D566791C}" name="Column13275" dataDxfId="3079"/>
    <tableColumn id="13324" xr3:uid="{5E97E24D-9393-436C-9ADD-246118804823}" name="Column13276" dataDxfId="3078"/>
    <tableColumn id="13325" xr3:uid="{1FDB47AE-213B-4CF7-A3C1-C59DAD1B6D54}" name="Column13277" dataDxfId="3077"/>
    <tableColumn id="13326" xr3:uid="{926134E9-2FD2-4035-8BBB-1D48BAD600AD}" name="Column13278" dataDxfId="3076"/>
    <tableColumn id="13327" xr3:uid="{1E2A54D3-7BBD-4ED1-B731-5A3CFF9E8444}" name="Column13279" dataDxfId="3075"/>
    <tableColumn id="13328" xr3:uid="{14859ACF-D91A-4F80-9595-F6C50D0CCDF6}" name="Column13280" dataDxfId="3074"/>
    <tableColumn id="13329" xr3:uid="{985847A0-D642-47EB-BA9C-161C0986A01B}" name="Column13281" dataDxfId="3073"/>
    <tableColumn id="13330" xr3:uid="{87AE4879-DB38-40FA-8AA6-11A29AD76634}" name="Column13282" dataDxfId="3072"/>
    <tableColumn id="13331" xr3:uid="{0407F034-FDB3-4B42-93B3-57A87A547FF4}" name="Column13283" dataDxfId="3071"/>
    <tableColumn id="13332" xr3:uid="{D4DF9F32-48C6-486C-8950-C2DEA631C3FF}" name="Column13284" dataDxfId="3070"/>
    <tableColumn id="13333" xr3:uid="{2EF22736-6CCE-483B-989B-55864B1A3B44}" name="Column13285" dataDxfId="3069"/>
    <tableColumn id="13334" xr3:uid="{DD662017-FAF5-4FD1-A602-C51BE9BE6E1F}" name="Column13286" dataDxfId="3068"/>
    <tableColumn id="13335" xr3:uid="{BF6FCDC2-5F3F-4362-B3D9-67EBDE945104}" name="Column13287" dataDxfId="3067"/>
    <tableColumn id="13336" xr3:uid="{1CDE46B6-12E1-47BA-9DFD-645280E292F1}" name="Column13288" dataDxfId="3066"/>
    <tableColumn id="13337" xr3:uid="{4610309B-2F76-4D42-81C9-E9C9971DDD8B}" name="Column13289" dataDxfId="3065"/>
    <tableColumn id="13338" xr3:uid="{34306174-4F49-4312-8979-279E26E9DD52}" name="Column13290" dataDxfId="3064"/>
    <tableColumn id="13339" xr3:uid="{439F7D34-BBCF-4C9A-958B-4AA52E11E793}" name="Column13291" dataDxfId="3063"/>
    <tableColumn id="13340" xr3:uid="{9A7C6321-AAE0-4E5B-88CF-FF7236B3C1E3}" name="Column13292" dataDxfId="3062"/>
    <tableColumn id="13341" xr3:uid="{2D0CE384-BAC5-4AA9-AA2A-52A973EE778E}" name="Column13293" dataDxfId="3061"/>
    <tableColumn id="13342" xr3:uid="{210EEBC1-B9B0-493E-B7FA-3928612B4CE3}" name="Column13294" dataDxfId="3060"/>
    <tableColumn id="13343" xr3:uid="{36546D68-317B-4ACA-B308-AD595FD96371}" name="Column13295" dataDxfId="3059"/>
    <tableColumn id="13344" xr3:uid="{C10C6914-180E-40D8-ABE0-A422F2B6B4F1}" name="Column13296" dataDxfId="3058"/>
    <tableColumn id="13345" xr3:uid="{4A4482A2-ED40-4210-AB9F-E016C1DB74B9}" name="Column13297" dataDxfId="3057"/>
    <tableColumn id="13346" xr3:uid="{84851B14-3F2B-4787-95FF-DDADE6E57B86}" name="Column13298" dataDxfId="3056"/>
    <tableColumn id="13347" xr3:uid="{E7F1BDDF-0F09-4FB1-B3E7-BDA6565ADAA8}" name="Column13299" dataDxfId="3055"/>
    <tableColumn id="13348" xr3:uid="{630D4BDB-5E2A-47BA-829F-5CEC127BB59A}" name="Column13300" dataDxfId="3054"/>
    <tableColumn id="13349" xr3:uid="{084FF947-5AB2-499F-91A3-D16B9A7982E5}" name="Column13301" dataDxfId="3053"/>
    <tableColumn id="13350" xr3:uid="{04047C2A-EC56-479E-9062-45FA870A9449}" name="Column13302" dataDxfId="3052"/>
    <tableColumn id="13351" xr3:uid="{CF08DB0E-C0B6-4D01-96B9-23296D3121EF}" name="Column13303" dataDxfId="3051"/>
    <tableColumn id="13352" xr3:uid="{91551C52-54DB-4EDB-B97C-DCFD459EC706}" name="Column13304" dataDxfId="3050"/>
    <tableColumn id="13353" xr3:uid="{9F6059CE-1829-412A-A0AE-714BE2F82174}" name="Column13305" dataDxfId="3049"/>
    <tableColumn id="13354" xr3:uid="{3D73D995-C63F-4F75-BBBF-5DC54FB8AA15}" name="Column13306" dataDxfId="3048"/>
    <tableColumn id="13355" xr3:uid="{0F1E714C-42FD-4B91-B5ED-FB2B17D7E54A}" name="Column13307" dataDxfId="3047"/>
    <tableColumn id="13356" xr3:uid="{8E62604B-534E-43FB-8E35-48138082F67D}" name="Column13308" dataDxfId="3046"/>
    <tableColumn id="13357" xr3:uid="{8BB1E8F9-2FBF-4CEE-AA10-DC7FACF91585}" name="Column13309" dataDxfId="3045"/>
    <tableColumn id="13358" xr3:uid="{6F854BD0-279E-4795-9893-DF85E1373B28}" name="Column13310" dataDxfId="3044"/>
    <tableColumn id="13359" xr3:uid="{B7E6F26C-6DF1-40A3-8C0E-2E1022406F2F}" name="Column13311" dataDxfId="3043"/>
    <tableColumn id="13360" xr3:uid="{0283E0C1-0299-4BDD-B4BF-718B155C81DD}" name="Column13312" dataDxfId="3042"/>
    <tableColumn id="13361" xr3:uid="{E29E4B0D-6E4B-49E7-99CD-7959C8D74131}" name="Column13313" dataDxfId="3041"/>
    <tableColumn id="13362" xr3:uid="{F5DF2874-0705-459E-8DD8-E1D88E704F1F}" name="Column13314" dataDxfId="3040"/>
    <tableColumn id="13363" xr3:uid="{FAE24F82-1414-4FBE-88EC-5D2D661CB804}" name="Column13315" dataDxfId="3039"/>
    <tableColumn id="13364" xr3:uid="{126F2895-FDAE-425C-B52C-8F2D5138E212}" name="Column13316" dataDxfId="3038"/>
    <tableColumn id="13365" xr3:uid="{191893DA-AB49-4705-86A7-F5507AE233D6}" name="Column13317" dataDxfId="3037"/>
    <tableColumn id="13366" xr3:uid="{A61C6F45-B854-4615-AC0A-E1957F6CD8E1}" name="Column13318" dataDxfId="3036"/>
    <tableColumn id="13367" xr3:uid="{3B9FDCAD-41FC-4293-8765-6D964816CE7C}" name="Column13319" dataDxfId="3035"/>
    <tableColumn id="13368" xr3:uid="{9EC11B03-3793-4503-BAD1-E018BCE00456}" name="Column13320" dataDxfId="3034"/>
    <tableColumn id="13369" xr3:uid="{49B5FECC-715A-4FE7-A313-36B43F17F5CC}" name="Column13321" dataDxfId="3033"/>
    <tableColumn id="13370" xr3:uid="{591023F3-7BB3-463B-AEED-0D5708A8C8EC}" name="Column13322" dataDxfId="3032"/>
    <tableColumn id="13371" xr3:uid="{56FC5FD2-32EA-4BDC-B126-3BFB06A732EC}" name="Column13323" dataDxfId="3031"/>
    <tableColumn id="13372" xr3:uid="{09B93867-7666-436A-B9F1-9970854FF6CE}" name="Column13324" dataDxfId="3030"/>
    <tableColumn id="13373" xr3:uid="{C27E4DA0-9A26-48BA-8E92-81E446826E7E}" name="Column13325" dataDxfId="3029"/>
    <tableColumn id="13374" xr3:uid="{BF11A0FB-4994-4602-A86F-BF06E203165B}" name="Column13326" dataDxfId="3028"/>
    <tableColumn id="13375" xr3:uid="{4734A3F0-C871-4DD5-83EA-229AFD88EA33}" name="Column13327" dataDxfId="3027"/>
    <tableColumn id="13376" xr3:uid="{2EEE706F-7F9E-4F65-BF65-6BBC69EFEC5D}" name="Column13328" dataDxfId="3026"/>
    <tableColumn id="13377" xr3:uid="{3E808D14-CB22-4FDC-B9BC-B070D47C5A94}" name="Column13329" dataDxfId="3025"/>
    <tableColumn id="13378" xr3:uid="{9A3839BF-BEE8-43A6-A59B-43164FA2AE7A}" name="Column13330" dataDxfId="3024"/>
    <tableColumn id="13379" xr3:uid="{3AB06D84-3318-41B7-A793-CCD56BAF1CD4}" name="Column13331" dataDxfId="3023"/>
    <tableColumn id="13380" xr3:uid="{8C3248E6-4256-4D8D-8B28-52BA1E53E0D8}" name="Column13332" dataDxfId="3022"/>
    <tableColumn id="13381" xr3:uid="{222FB7B3-88BF-4D75-A385-FF3BC4AD438B}" name="Column13333" dataDxfId="3021"/>
    <tableColumn id="13382" xr3:uid="{EF4E2C3C-C3C2-47D8-8AD0-3A6F8E986DDE}" name="Column13334" dataDxfId="3020"/>
    <tableColumn id="13383" xr3:uid="{95771B06-38A4-4593-8035-BD1E198F6BDB}" name="Column13335" dataDxfId="3019"/>
    <tableColumn id="13384" xr3:uid="{327F5DDF-0BF9-4D51-B304-BAC33A4D1A7E}" name="Column13336" dataDxfId="3018"/>
    <tableColumn id="13385" xr3:uid="{1F20BE4F-7975-4C14-8C15-783591A25D33}" name="Column13337" dataDxfId="3017"/>
    <tableColumn id="13386" xr3:uid="{17E2A36B-362D-4DC3-B15F-E58A87D67ADB}" name="Column13338" dataDxfId="3016"/>
    <tableColumn id="13387" xr3:uid="{D6D34EF2-D793-4717-B313-5469FCCCD182}" name="Column13339" dataDxfId="3015"/>
    <tableColumn id="13388" xr3:uid="{1FA5E3AF-1372-4EA4-8941-BC57F69B71C8}" name="Column13340" dataDxfId="3014"/>
    <tableColumn id="13389" xr3:uid="{539F770C-02AD-4F95-B379-79BEE4C35B11}" name="Column13341" dataDxfId="3013"/>
    <tableColumn id="13390" xr3:uid="{D6CD711F-FE2F-4E30-A6F3-FFDC26EF9CC4}" name="Column13342" dataDxfId="3012"/>
    <tableColumn id="13391" xr3:uid="{F7D5F95D-AE72-456B-8AC8-979827A49688}" name="Column13343" dataDxfId="3011"/>
    <tableColumn id="13392" xr3:uid="{50643171-9C73-4860-AABF-7AF0A22132EB}" name="Column13344" dataDxfId="3010"/>
    <tableColumn id="13393" xr3:uid="{A1BAB5E4-91BF-47C3-9E1A-72C3C026863E}" name="Column13345" dataDxfId="3009"/>
    <tableColumn id="13394" xr3:uid="{71581045-5D08-4297-BBC3-F5C894E59D67}" name="Column13346" dataDxfId="3008"/>
    <tableColumn id="13395" xr3:uid="{FF3F0A68-8D16-4920-91A1-2EA1AD46638C}" name="Column13347" dataDxfId="3007"/>
    <tableColumn id="13396" xr3:uid="{DAC91ADE-2811-4A57-AC33-D791FA2C95CE}" name="Column13348" dataDxfId="3006"/>
    <tableColumn id="13397" xr3:uid="{DD5A869A-91C1-45D4-90C7-1A6F94608782}" name="Column13349" dataDxfId="3005"/>
    <tableColumn id="13398" xr3:uid="{6CADB96E-40EB-4233-80A3-5AEC0719823B}" name="Column13350" dataDxfId="3004"/>
    <tableColumn id="13399" xr3:uid="{562D38AA-5EE6-4152-A8DF-C296295ADBA9}" name="Column13351" dataDxfId="3003"/>
    <tableColumn id="13400" xr3:uid="{0EFAE3F8-D7D2-4C20-84FD-3EB8575F74B3}" name="Column13352" dataDxfId="3002"/>
    <tableColumn id="13401" xr3:uid="{9F4BAFC3-0905-49E9-9518-AECADF074743}" name="Column13353" dataDxfId="3001"/>
    <tableColumn id="13402" xr3:uid="{51E8DB08-DEC5-42A2-A176-1B78D4FB7BDD}" name="Column13354" dataDxfId="3000"/>
    <tableColumn id="13403" xr3:uid="{2981FC36-84E4-44BE-99CF-A45B88ED9145}" name="Column13355" dataDxfId="2999"/>
    <tableColumn id="13404" xr3:uid="{637B50EB-C884-4F46-A96E-2DE7A64192C9}" name="Column13356" dataDxfId="2998"/>
    <tableColumn id="13405" xr3:uid="{CA74CDBF-E503-41E3-94AF-4F65949AA6FB}" name="Column13357" dataDxfId="2997"/>
    <tableColumn id="13406" xr3:uid="{9D837842-7D0F-4C58-8F3D-AD93C45328AB}" name="Column13358" dataDxfId="2996"/>
    <tableColumn id="13407" xr3:uid="{52BC0B86-352A-4CC9-8862-8F278CEEBD7E}" name="Column13359" dataDxfId="2995"/>
    <tableColumn id="13408" xr3:uid="{953BDD71-89D0-4AAD-8A5D-9FE402919C4B}" name="Column13360" dataDxfId="2994"/>
    <tableColumn id="13409" xr3:uid="{2FE5181E-96E0-409D-8619-9034263BC1F7}" name="Column13361" dataDxfId="2993"/>
    <tableColumn id="13410" xr3:uid="{C43B77D1-CB14-4FD5-8D1C-F55EEAC09537}" name="Column13362" dataDxfId="2992"/>
    <tableColumn id="13411" xr3:uid="{D8D65FB5-5216-4B8A-B90A-6C809A5CDEE5}" name="Column13363" dataDxfId="2991"/>
    <tableColumn id="13412" xr3:uid="{57FE0970-9BAE-40F8-938F-32554992DB87}" name="Column13364" dataDxfId="2990"/>
    <tableColumn id="13413" xr3:uid="{AFF1E2DD-7F68-456E-B23A-B74621ADA29A}" name="Column13365" dataDxfId="2989"/>
    <tableColumn id="13414" xr3:uid="{24030E60-6D6B-4028-83DD-1421EF6BAA71}" name="Column13366" dataDxfId="2988"/>
    <tableColumn id="13415" xr3:uid="{7E7FC736-91F1-4166-B57B-641B9BF95EFF}" name="Column13367" dataDxfId="2987"/>
    <tableColumn id="13416" xr3:uid="{5272B42A-390B-4C02-BC8F-46059884DF97}" name="Column13368" dataDxfId="2986"/>
    <tableColumn id="13417" xr3:uid="{E9D4A1AC-08B7-405C-BA04-C8E2C8E16548}" name="Column13369" dataDxfId="2985"/>
    <tableColumn id="13418" xr3:uid="{3ADB5D87-4CB9-4B8B-A74D-EE8D42F0DABC}" name="Column13370" dataDxfId="2984"/>
    <tableColumn id="13419" xr3:uid="{1F2E44F6-E2E5-4D9E-99C3-B1191A01255E}" name="Column13371" dataDxfId="2983"/>
    <tableColumn id="13420" xr3:uid="{E6756757-563C-4339-BA5D-59E13F7DFF04}" name="Column13372" dataDxfId="2982"/>
    <tableColumn id="13421" xr3:uid="{1F2995F0-6492-4AA7-894D-38D3C0C90847}" name="Column13373" dataDxfId="2981"/>
    <tableColumn id="13422" xr3:uid="{B697033D-84A6-49A7-905D-ABF683761889}" name="Column13374" dataDxfId="2980"/>
    <tableColumn id="13423" xr3:uid="{3CD223E7-7DE5-4F8C-86AE-A5018FD818FE}" name="Column13375" dataDxfId="2979"/>
    <tableColumn id="13424" xr3:uid="{D1BB8F49-B9CB-427F-A63E-F9986CF6689C}" name="Column13376" dataDxfId="2978"/>
    <tableColumn id="13425" xr3:uid="{47A7C538-FCAC-414E-AF21-9C7B6C66B509}" name="Column13377" dataDxfId="2977"/>
    <tableColumn id="13426" xr3:uid="{011A86C7-FFF6-44EE-9AFD-298A48F84C9E}" name="Column13378" dataDxfId="2976"/>
    <tableColumn id="13427" xr3:uid="{875FD799-F6F6-4B85-A55B-20764A6B350C}" name="Column13379" dataDxfId="2975"/>
    <tableColumn id="13428" xr3:uid="{7BB8D9EB-AC5E-440E-B21D-A1EFC94EA621}" name="Column13380" dataDxfId="2974"/>
    <tableColumn id="13429" xr3:uid="{8B27373B-5C80-4495-8201-96DAA6C9A67B}" name="Column13381" dataDxfId="2973"/>
    <tableColumn id="13430" xr3:uid="{8274B0A0-C524-4E5D-B976-5996CB462FC6}" name="Column13382" dataDxfId="2972"/>
    <tableColumn id="13431" xr3:uid="{E44FE135-8E13-4267-A012-7AD8A47FB7F7}" name="Column13383" dataDxfId="2971"/>
    <tableColumn id="13432" xr3:uid="{85BE1B96-9864-4288-A744-B6D7B2878A45}" name="Column13384" dataDxfId="2970"/>
    <tableColumn id="13433" xr3:uid="{EF809985-9D53-4BED-8449-530D216FECD9}" name="Column13385" dataDxfId="2969"/>
    <tableColumn id="13434" xr3:uid="{D3D1A438-B380-4403-A140-6A0FB21CF281}" name="Column13386" dataDxfId="2968"/>
    <tableColumn id="13435" xr3:uid="{2E562136-3972-41FB-BCA8-0556115B4E22}" name="Column13387" dataDxfId="2967"/>
    <tableColumn id="13436" xr3:uid="{DB23BF5D-D55A-461A-9279-4A91D2BE0166}" name="Column13388" dataDxfId="2966"/>
    <tableColumn id="13437" xr3:uid="{D8F57466-558E-48CC-ABEA-6734E91BFDF8}" name="Column13389" dataDxfId="2965"/>
    <tableColumn id="13438" xr3:uid="{575C0CB7-2B65-4AEC-B90F-59C22D4E717B}" name="Column13390" dataDxfId="2964"/>
    <tableColumn id="13439" xr3:uid="{1B7289A3-548D-47A6-ADAA-8529FA4234C7}" name="Column13391" dataDxfId="2963"/>
    <tableColumn id="13440" xr3:uid="{23AC104D-92D5-477E-863D-EFD21D0F3457}" name="Column13392" dataDxfId="2962"/>
    <tableColumn id="13441" xr3:uid="{600C5E95-23C3-46EE-B3DC-6AF4C9208A9A}" name="Column13393" dataDxfId="2961"/>
    <tableColumn id="13442" xr3:uid="{6A817849-B08E-49AD-B71F-E30D01C6B5FF}" name="Column13394" dataDxfId="2960"/>
    <tableColumn id="13443" xr3:uid="{19EAEADB-9FE3-421B-9751-76AD3BB1BD55}" name="Column13395" dataDxfId="2959"/>
    <tableColumn id="13444" xr3:uid="{C3D810E8-70D9-4F7B-A683-6CBB04EACC67}" name="Column13396" dataDxfId="2958"/>
    <tableColumn id="13445" xr3:uid="{E528A1A3-5F2E-4EE4-BA4B-1844B2D27D01}" name="Column13397" dataDxfId="2957"/>
    <tableColumn id="13446" xr3:uid="{62278ABD-4C29-4D77-ABF6-B7BC86401690}" name="Column13398" dataDxfId="2956"/>
    <tableColumn id="13447" xr3:uid="{AD407C1E-8499-413C-B23A-CB2E5C8724CE}" name="Column13399" dataDxfId="2955"/>
    <tableColumn id="13448" xr3:uid="{EA730347-1656-4740-AC15-F17CD9877F38}" name="Column13400" dataDxfId="2954"/>
    <tableColumn id="13449" xr3:uid="{6CB57ECF-7DCC-47C9-A5D1-96369AB6E08C}" name="Column13401" dataDxfId="2953"/>
    <tableColumn id="13450" xr3:uid="{37DC4842-3C58-4D60-9D1C-34FEC24B6690}" name="Column13402" dataDxfId="2952"/>
    <tableColumn id="13451" xr3:uid="{5D2CFBF6-DE76-46B6-A707-26581E62358A}" name="Column13403" dataDxfId="2951"/>
    <tableColumn id="13452" xr3:uid="{2017ACE8-06BF-4035-AA6F-BE634B194121}" name="Column13404" dataDxfId="2950"/>
    <tableColumn id="13453" xr3:uid="{0736E1DF-BF41-463C-A593-EA8DF34A6375}" name="Column13405" dataDxfId="2949"/>
    <tableColumn id="13454" xr3:uid="{C330FAC4-1087-49F0-8911-95976E7DA150}" name="Column13406" dataDxfId="2948"/>
    <tableColumn id="13455" xr3:uid="{F7033542-C610-42C1-B236-A1C5B21ADAEA}" name="Column13407" dataDxfId="2947"/>
    <tableColumn id="13456" xr3:uid="{4104EF9F-DC51-40AF-A29B-721511C66955}" name="Column13408" dataDxfId="2946"/>
    <tableColumn id="13457" xr3:uid="{130DA5CA-5E98-42F8-9EDB-C145DB3C84C6}" name="Column13409" dataDxfId="2945"/>
    <tableColumn id="13458" xr3:uid="{4DA6E81A-E1FD-4B54-9C9F-4F17A24A7089}" name="Column13410" dataDxfId="2944"/>
    <tableColumn id="13459" xr3:uid="{ED576389-5696-49A0-8214-27035B639B7C}" name="Column13411" dataDxfId="2943"/>
    <tableColumn id="13460" xr3:uid="{CD9D4240-373B-40C5-968B-737779840AFB}" name="Column13412" dataDxfId="2942"/>
    <tableColumn id="13461" xr3:uid="{97C03C9E-CFD8-45F7-9FC3-B3622A5BC23B}" name="Column13413" dataDxfId="2941"/>
    <tableColumn id="13462" xr3:uid="{3D38F376-1354-4137-A1F9-EB125D75C727}" name="Column13414" dataDxfId="2940"/>
    <tableColumn id="13463" xr3:uid="{80F5A30D-FC37-48CE-A308-E98EEF818F20}" name="Column13415" dataDxfId="2939"/>
    <tableColumn id="13464" xr3:uid="{505F4DDF-AC4C-4F73-B16A-F8F7C29FD275}" name="Column13416" dataDxfId="2938"/>
    <tableColumn id="13465" xr3:uid="{A47D6BF2-9467-4555-9056-7E0B4CCAF053}" name="Column13417" dataDxfId="2937"/>
    <tableColumn id="13466" xr3:uid="{9AAFA8D9-67F3-4AC2-8E47-99CE7D044722}" name="Column13418" dataDxfId="2936"/>
    <tableColumn id="13467" xr3:uid="{BB7865DB-298B-4745-A37F-D0EA312EDFBA}" name="Column13419" dataDxfId="2935"/>
    <tableColumn id="13468" xr3:uid="{EC10E6F3-59EC-40B2-A78A-AE5C41939D1A}" name="Column13420" dataDxfId="2934"/>
    <tableColumn id="13469" xr3:uid="{7BE3597F-96D0-403F-98F2-7A654C0A3A2A}" name="Column13421" dataDxfId="2933"/>
    <tableColumn id="13470" xr3:uid="{84D48BFE-E699-4DC2-98AF-55315181AFD5}" name="Column13422" dataDxfId="2932"/>
    <tableColumn id="13471" xr3:uid="{678D8E79-EE4F-4893-A334-F3959F14190B}" name="Column13423" dataDxfId="2931"/>
    <tableColumn id="13472" xr3:uid="{FE52A666-D246-465C-9C4D-7C56F448518D}" name="Column13424" dataDxfId="2930"/>
    <tableColumn id="13473" xr3:uid="{C19680F5-0B0F-4BE1-9C6C-99BF1A3FE086}" name="Column13425" dataDxfId="2929"/>
    <tableColumn id="13474" xr3:uid="{13D179E2-173F-4697-A7B8-49A846D7C239}" name="Column13426" dataDxfId="2928"/>
    <tableColumn id="13475" xr3:uid="{8274ED28-2A30-4817-9E53-CD06CAD558F4}" name="Column13427" dataDxfId="2927"/>
    <tableColumn id="13476" xr3:uid="{DF3F7067-35EF-41C3-B95A-A87BC2F5CBC8}" name="Column13428" dataDxfId="2926"/>
    <tableColumn id="13477" xr3:uid="{6320178F-5CDB-4DBD-837C-7B8B20A1AD85}" name="Column13429" dataDxfId="2925"/>
    <tableColumn id="13478" xr3:uid="{01DAE86C-B62E-4F09-BC5A-10C15253C763}" name="Column13430" dataDxfId="2924"/>
    <tableColumn id="13479" xr3:uid="{6CBE069E-0833-4371-A3DB-37494FB20B3A}" name="Column13431" dataDxfId="2923"/>
    <tableColumn id="13480" xr3:uid="{AF169188-D0EA-4120-A50F-529710F569D8}" name="Column13432" dataDxfId="2922"/>
    <tableColumn id="13481" xr3:uid="{8547EDA8-EE92-4767-86F3-D578AFACECFD}" name="Column13433" dataDxfId="2921"/>
    <tableColumn id="13482" xr3:uid="{776B4E32-696C-4C7D-9BE9-FA9B557FFC1B}" name="Column13434" dataDxfId="2920"/>
    <tableColumn id="13483" xr3:uid="{751C28A1-14A1-409A-B5E4-8AF251D5A355}" name="Column13435" dataDxfId="2919"/>
    <tableColumn id="13484" xr3:uid="{12D29334-6A07-4413-9376-628DEA7B0872}" name="Column13436" dataDxfId="2918"/>
    <tableColumn id="13485" xr3:uid="{E62F21D9-DB94-48B3-8558-5BB7E69388EB}" name="Column13437" dataDxfId="2917"/>
    <tableColumn id="13486" xr3:uid="{C1A12D1A-FB57-4898-ADF0-B9807C5D26F5}" name="Column13438" dataDxfId="2916"/>
    <tableColumn id="13487" xr3:uid="{DA36A7E4-22DF-4B0D-BBC3-DABC213998B9}" name="Column13439" dataDxfId="2915"/>
    <tableColumn id="13488" xr3:uid="{77B3B129-18C4-450A-820E-8AA05F5C4F5C}" name="Column13440" dataDxfId="2914"/>
    <tableColumn id="13489" xr3:uid="{53DFAB87-C944-447E-8CD8-2E629A5C1F46}" name="Column13441" dataDxfId="2913"/>
    <tableColumn id="13490" xr3:uid="{3BD17DAF-3FC3-40D2-9A8C-D3816214ACB8}" name="Column13442" dataDxfId="2912"/>
    <tableColumn id="13491" xr3:uid="{5446F6DB-9DC1-437C-907B-563950E3996B}" name="Column13443" dataDxfId="2911"/>
    <tableColumn id="13492" xr3:uid="{3AFA3BDD-675C-41B3-8C2E-B8BABDA6BCF0}" name="Column13444" dataDxfId="2910"/>
    <tableColumn id="13493" xr3:uid="{51D22AFC-62DC-4A6B-BEF1-7C6437A6CEC1}" name="Column13445" dataDxfId="2909"/>
    <tableColumn id="13494" xr3:uid="{B2627734-BAFF-4ABA-95F6-5AF7D8DB9411}" name="Column13446" dataDxfId="2908"/>
    <tableColumn id="13495" xr3:uid="{B553345E-3A4A-4B4D-A211-966107E1EE4C}" name="Column13447" dataDxfId="2907"/>
    <tableColumn id="13496" xr3:uid="{C984C6C4-4E3F-44ED-96C3-40AE5E302428}" name="Column13448" dataDxfId="2906"/>
    <tableColumn id="13497" xr3:uid="{DEA1ABFD-50B4-4E88-963A-DBA0857D44A7}" name="Column13449" dataDxfId="2905"/>
    <tableColumn id="13498" xr3:uid="{BB047925-8860-4A30-8672-DAB2F67CE0D1}" name="Column13450" dataDxfId="2904"/>
    <tableColumn id="13499" xr3:uid="{8EE957C0-E31C-4915-B0D5-9727F4A28B2F}" name="Column13451" dataDxfId="2903"/>
    <tableColumn id="13500" xr3:uid="{9777F640-CE5B-4F25-9CEA-A0C51516654D}" name="Column13452" dataDxfId="2902"/>
    <tableColumn id="13501" xr3:uid="{6BA5FB14-5C92-4BC5-B865-3D98994E8677}" name="Column13453" dataDxfId="2901"/>
    <tableColumn id="13502" xr3:uid="{F18EAD03-0C68-42CC-90C2-41B19FBB2562}" name="Column13454" dataDxfId="2900"/>
    <tableColumn id="13503" xr3:uid="{C3215A58-801D-4AF3-B48D-AEA42EF74D94}" name="Column13455" dataDxfId="2899"/>
    <tableColumn id="13504" xr3:uid="{913C7104-6F9D-4B1F-9722-0401F4F7172C}" name="Column13456" dataDxfId="2898"/>
    <tableColumn id="13505" xr3:uid="{6C9ACA8A-DF59-4A3C-9DE3-4C6F013E4F1B}" name="Column13457" dataDxfId="2897"/>
    <tableColumn id="13506" xr3:uid="{8A66AE12-064D-43A9-81F8-DEEE1F8D786C}" name="Column13458" dataDxfId="2896"/>
    <tableColumn id="13507" xr3:uid="{9A94281B-E618-4447-88F2-2C2F72AD9547}" name="Column13459" dataDxfId="2895"/>
    <tableColumn id="13508" xr3:uid="{D635CE4C-4A69-4803-B5E3-6CEADFF464ED}" name="Column13460" dataDxfId="2894"/>
    <tableColumn id="13509" xr3:uid="{905C7A59-DBF3-4A62-870F-A3B7A213C438}" name="Column13461" dataDxfId="2893"/>
    <tableColumn id="13510" xr3:uid="{909A0166-0669-41DC-903D-FB9177C9A671}" name="Column13462" dataDxfId="2892"/>
    <tableColumn id="13511" xr3:uid="{69C3F7CD-2313-4193-ABC5-B246365B9FDE}" name="Column13463" dataDxfId="2891"/>
    <tableColumn id="13512" xr3:uid="{C975B217-7635-48C5-BCB2-25DC57F1622F}" name="Column13464" dataDxfId="2890"/>
    <tableColumn id="13513" xr3:uid="{0E18DA33-6799-4AFA-9D1C-F0B3E9A84EBF}" name="Column13465" dataDxfId="2889"/>
    <tableColumn id="13514" xr3:uid="{FD4B79B4-C0A9-457F-BD6D-3F7A14BBBB91}" name="Column13466" dataDxfId="2888"/>
    <tableColumn id="13515" xr3:uid="{83D78929-0193-4C6E-B3EE-726B738C0BD4}" name="Column13467" dataDxfId="2887"/>
    <tableColumn id="13516" xr3:uid="{105639D6-DA81-4D8B-A692-1CCA0C7769A6}" name="Column13468" dataDxfId="2886"/>
    <tableColumn id="13517" xr3:uid="{49448810-36F3-45F0-A29D-77C073BD8AC6}" name="Column13469" dataDxfId="2885"/>
    <tableColumn id="13518" xr3:uid="{49BA3D34-7D0A-4C8F-B156-3B943632B0D4}" name="Column13470" dataDxfId="2884"/>
    <tableColumn id="13519" xr3:uid="{B60393F4-C312-4920-A2E5-22FEE2D2C831}" name="Column13471" dataDxfId="2883"/>
    <tableColumn id="13520" xr3:uid="{89A78F54-2560-420E-933B-6EC3CB9B204C}" name="Column13472" dataDxfId="2882"/>
    <tableColumn id="13521" xr3:uid="{68F6063C-68EB-4983-B123-88C497D8FD24}" name="Column13473" dataDxfId="2881"/>
    <tableColumn id="13522" xr3:uid="{7DF08644-0E0E-428F-B26E-17EFAF06A84D}" name="Column13474" dataDxfId="2880"/>
    <tableColumn id="13523" xr3:uid="{CB754F9B-C595-4F68-9E57-C628580F5F73}" name="Column13475" dataDxfId="2879"/>
    <tableColumn id="13524" xr3:uid="{8D415A27-E2AF-4C98-A496-D60621A269F0}" name="Column13476" dataDxfId="2878"/>
    <tableColumn id="13525" xr3:uid="{C9D5D7EA-D872-4BE9-A3E4-421C67F303ED}" name="Column13477" dataDxfId="2877"/>
    <tableColumn id="13526" xr3:uid="{1C24E972-4E77-40BD-B6B6-86B90F391438}" name="Column13478" dataDxfId="2876"/>
    <tableColumn id="13527" xr3:uid="{DE05A70E-6A18-497B-AB87-26589EED5A0F}" name="Column13479" dataDxfId="2875"/>
    <tableColumn id="13528" xr3:uid="{AB4B1B8A-7DA0-413F-AE9B-12BA5A82161F}" name="Column13480" dataDxfId="2874"/>
    <tableColumn id="13529" xr3:uid="{22D70DEF-41DD-4EBE-99CB-1D0E1F8D7505}" name="Column13481" dataDxfId="2873"/>
    <tableColumn id="13530" xr3:uid="{AFA3147F-405A-4CB4-9C1F-98C75D57E47E}" name="Column13482" dataDxfId="2872"/>
    <tableColumn id="13531" xr3:uid="{B82519D0-30E2-4A44-AC1D-5E6764D026D7}" name="Column13483" dataDxfId="2871"/>
    <tableColumn id="13532" xr3:uid="{A5ECE0AB-8FBC-4AD6-B829-60460C8732D1}" name="Column13484" dataDxfId="2870"/>
    <tableColumn id="13533" xr3:uid="{572876AB-88BD-4B48-A1D6-77D3AB21132F}" name="Column13485" dataDxfId="2869"/>
    <tableColumn id="13534" xr3:uid="{60583DD8-CC36-472E-9467-F5C6E68B40EF}" name="Column13486" dataDxfId="2868"/>
    <tableColumn id="13535" xr3:uid="{85DB311A-3884-4696-B6AC-8B25C63096C2}" name="Column13487" dataDxfId="2867"/>
    <tableColumn id="13536" xr3:uid="{5B630336-A86D-4C84-862D-FEB76868147D}" name="Column13488" dataDxfId="2866"/>
    <tableColumn id="13537" xr3:uid="{D71044AB-093B-4B88-8459-AC77B2A4B6DC}" name="Column13489" dataDxfId="2865"/>
    <tableColumn id="13538" xr3:uid="{8E25A314-F87A-4827-AC26-EA0971BA1FE7}" name="Column13490" dataDxfId="2864"/>
    <tableColumn id="13539" xr3:uid="{1914AAC8-5624-4B77-B40E-844B037B233B}" name="Column13491" dataDxfId="2863"/>
    <tableColumn id="13540" xr3:uid="{C34C590F-8471-479C-AF07-269E27E8D286}" name="Column13492" dataDxfId="2862"/>
    <tableColumn id="13541" xr3:uid="{71E9F6DA-50A6-4E8E-A202-5F3408317721}" name="Column13493" dataDxfId="2861"/>
    <tableColumn id="13542" xr3:uid="{A8EF4607-EB48-441E-9526-201AD0FD0EF9}" name="Column13494" dataDxfId="2860"/>
    <tableColumn id="13543" xr3:uid="{CAF76924-5E04-47A6-BFBB-9B309D5B5DBC}" name="Column13495" dataDxfId="2859"/>
    <tableColumn id="13544" xr3:uid="{DA200A4E-19E4-4087-97E0-B77AB07C2BA9}" name="Column13496" dataDxfId="2858"/>
    <tableColumn id="13545" xr3:uid="{AD68747B-6574-475E-9ABA-B76EF95D993F}" name="Column13497" dataDxfId="2857"/>
    <tableColumn id="13546" xr3:uid="{304007C1-7B9A-4E3E-BFC5-1FF4C4FD9FDC}" name="Column13498" dataDxfId="2856"/>
    <tableColumn id="13547" xr3:uid="{8C3654DB-F8B4-4625-ABBA-DB3CB822D6C2}" name="Column13499" dataDxfId="2855"/>
    <tableColumn id="13548" xr3:uid="{AE18C38F-28C1-46AE-97ED-86083034809A}" name="Column13500" dataDxfId="2854"/>
    <tableColumn id="13549" xr3:uid="{C5418EDD-73A3-4632-82EB-38EFFC5F2D12}" name="Column13501" dataDxfId="2853"/>
    <tableColumn id="13550" xr3:uid="{53632A4A-E08D-47C6-A90D-FEEA12AB4E5B}" name="Column13502" dataDxfId="2852"/>
    <tableColumn id="13551" xr3:uid="{0AD0756C-C010-4C22-8069-68C2C1A5614E}" name="Column13503" dataDxfId="2851"/>
    <tableColumn id="13552" xr3:uid="{C05DCFD4-0C97-41D2-8015-8E8AAF5C9BDF}" name="Column13504" dataDxfId="2850"/>
    <tableColumn id="13553" xr3:uid="{8B62AA96-BE19-4B9C-BA48-231E75BBF35E}" name="Column13505" dataDxfId="2849"/>
    <tableColumn id="13554" xr3:uid="{F2749B07-2496-4797-B51F-C2DE676422A0}" name="Column13506" dataDxfId="2848"/>
    <tableColumn id="13555" xr3:uid="{8357AB09-4F36-47CC-AB45-C1A7B9183DF8}" name="Column13507" dataDxfId="2847"/>
    <tableColumn id="13556" xr3:uid="{C3761E0F-F15A-40A7-BC86-6618C0965D96}" name="Column13508" dataDxfId="2846"/>
    <tableColumn id="13557" xr3:uid="{FFA42E6C-C3DC-4923-BC6F-199666E9C3FF}" name="Column13509" dataDxfId="2845"/>
    <tableColumn id="13558" xr3:uid="{9AFE6068-886A-4445-B4A6-49786E70D6B0}" name="Column13510" dataDxfId="2844"/>
    <tableColumn id="13559" xr3:uid="{00CDC819-093F-4602-841A-57C026DE2D05}" name="Column13511" dataDxfId="2843"/>
    <tableColumn id="13560" xr3:uid="{D4336C3F-4393-4D82-804A-FF93E42E61DF}" name="Column13512" dataDxfId="2842"/>
    <tableColumn id="13561" xr3:uid="{585F94FE-E19D-4A95-A03C-BCD77D3A081C}" name="Column13513" dataDxfId="2841"/>
    <tableColumn id="13562" xr3:uid="{C6237955-1734-4886-BA30-4D797B43913C}" name="Column13514" dataDxfId="2840"/>
    <tableColumn id="13563" xr3:uid="{E45FA632-CE9B-44EA-9AFD-25FC4B30853A}" name="Column13515" dataDxfId="2839"/>
    <tableColumn id="13564" xr3:uid="{3F212D9C-9CD6-4747-A461-8EB3D328AB5B}" name="Column13516" dataDxfId="2838"/>
    <tableColumn id="13565" xr3:uid="{199BA6D9-2D43-457B-8BCC-159E97AA5E9C}" name="Column13517" dataDxfId="2837"/>
    <tableColumn id="13566" xr3:uid="{496AD52D-9465-4005-AC27-FD07173B8F5F}" name="Column13518" dataDxfId="2836"/>
    <tableColumn id="13567" xr3:uid="{F7378001-50B6-43CF-8334-97B09CB2E2E7}" name="Column13519" dataDxfId="2835"/>
    <tableColumn id="13568" xr3:uid="{707D6916-9FF9-4953-B92A-F95FE20FA3CB}" name="Column13520" dataDxfId="2834"/>
    <tableColumn id="13569" xr3:uid="{DFC706B9-ED69-4A51-A6FE-74549FE34836}" name="Column13521" dataDxfId="2833"/>
    <tableColumn id="13570" xr3:uid="{5E96F275-4F8B-4B36-AE63-3730F00E8E9F}" name="Column13522" dataDxfId="2832"/>
    <tableColumn id="13571" xr3:uid="{0C9D23A8-2A73-41DF-9C87-3C88A7292A11}" name="Column13523" dataDxfId="2831"/>
    <tableColumn id="13572" xr3:uid="{FA969D49-1FE1-4653-9BFA-ADEC07C87137}" name="Column13524" dataDxfId="2830"/>
    <tableColumn id="13573" xr3:uid="{19A369A3-B145-4738-9EF5-653612FC8762}" name="Column13525" dataDxfId="2829"/>
    <tableColumn id="13574" xr3:uid="{08B5CD44-54FF-48FE-8594-D7E0E88ABBC3}" name="Column13526" dataDxfId="2828"/>
    <tableColumn id="13575" xr3:uid="{85ACF096-CB9D-47A0-82FC-8F834A475934}" name="Column13527" dataDxfId="2827"/>
    <tableColumn id="13576" xr3:uid="{DA39F8AA-7C0B-49AB-BEBB-B2F748C7FD8B}" name="Column13528" dataDxfId="2826"/>
    <tableColumn id="13577" xr3:uid="{4546827F-E227-473B-9499-176A79E6823B}" name="Column13529" dataDxfId="2825"/>
    <tableColumn id="13578" xr3:uid="{8F2525B0-084D-417C-93A0-9AD247E02C11}" name="Column13530" dataDxfId="2824"/>
    <tableColumn id="13579" xr3:uid="{4671B94B-EDDB-427B-83DA-4375CEA02352}" name="Column13531" dataDxfId="2823"/>
    <tableColumn id="13580" xr3:uid="{301AC6D0-B637-435C-97F7-25D66CD1D8B0}" name="Column13532" dataDxfId="2822"/>
    <tableColumn id="13581" xr3:uid="{C1518405-B0FE-4098-9A62-705F34F9EF4F}" name="Column13533" dataDxfId="2821"/>
    <tableColumn id="13582" xr3:uid="{2CE8232E-9B7E-40E5-9B22-80503D512572}" name="Column13534" dataDxfId="2820"/>
    <tableColumn id="13583" xr3:uid="{7E26F5C6-575E-40A9-9F2A-BB1653EC1757}" name="Column13535" dataDxfId="2819"/>
    <tableColumn id="13584" xr3:uid="{0E02D8A9-6787-429F-A3F4-5D4B1B681F40}" name="Column13536" dataDxfId="2818"/>
    <tableColumn id="13585" xr3:uid="{4F815B67-88D4-4C7E-97B1-102C641A400F}" name="Column13537" dataDxfId="2817"/>
    <tableColumn id="13586" xr3:uid="{C84DFAE4-F6DE-4F81-805A-61A1A6F910F6}" name="Column13538" dataDxfId="2816"/>
    <tableColumn id="13587" xr3:uid="{82B238E9-D9BF-47AA-B19F-D5E8147F3348}" name="Column13539" dataDxfId="2815"/>
    <tableColumn id="13588" xr3:uid="{C364DF22-A10A-4F3D-97C7-31DCA82DA7BA}" name="Column13540" dataDxfId="2814"/>
    <tableColumn id="13589" xr3:uid="{D37E3E03-9CD1-4D9B-A944-2197657DD9FC}" name="Column13541" dataDxfId="2813"/>
    <tableColumn id="13590" xr3:uid="{7FFA0036-9B43-4B72-9CF5-728D651509C7}" name="Column13542" dataDxfId="2812"/>
    <tableColumn id="13591" xr3:uid="{305A822D-7287-48B0-94C0-075FDC90DA32}" name="Column13543" dataDxfId="2811"/>
    <tableColumn id="13592" xr3:uid="{19F46829-2ADE-4A65-99E8-06195288B7B4}" name="Column13544" dataDxfId="2810"/>
    <tableColumn id="13593" xr3:uid="{14662E67-2814-4B38-A0CF-5E6733DF9FA2}" name="Column13545" dataDxfId="2809"/>
    <tableColumn id="13594" xr3:uid="{012490D2-5AA0-49B3-AB15-4D48B86F3EB8}" name="Column13546" dataDxfId="2808"/>
    <tableColumn id="13595" xr3:uid="{83C0C148-8206-43C0-926A-2201F870FD9F}" name="Column13547" dataDxfId="2807"/>
    <tableColumn id="13596" xr3:uid="{9820C248-3F7D-4AD6-912F-051BB2BB7CE8}" name="Column13548" dataDxfId="2806"/>
    <tableColumn id="13597" xr3:uid="{22132136-C053-42B7-8A81-1FBA490D0293}" name="Column13549" dataDxfId="2805"/>
    <tableColumn id="13598" xr3:uid="{D18745B1-5E16-4FE5-89C3-2F69E8B0974F}" name="Column13550" dataDxfId="2804"/>
    <tableColumn id="13599" xr3:uid="{A51B7C72-2E68-4828-8E55-3528503441CF}" name="Column13551" dataDxfId="2803"/>
    <tableColumn id="13600" xr3:uid="{73A95D9E-7F23-43FD-BA8C-FFD03E36F596}" name="Column13552" dataDxfId="2802"/>
    <tableColumn id="13601" xr3:uid="{2DCA08BA-E54C-440B-897C-AC8A4121E913}" name="Column13553" dataDxfId="2801"/>
    <tableColumn id="13602" xr3:uid="{3B72CC73-CC2F-4739-A663-62022D84A549}" name="Column13554" dataDxfId="2800"/>
    <tableColumn id="13603" xr3:uid="{32717555-B0C6-47B3-A14E-04F72B80FAB0}" name="Column13555" dataDxfId="2799"/>
    <tableColumn id="13604" xr3:uid="{A1D91B00-C446-4FED-9805-DF2EA5C22215}" name="Column13556" dataDxfId="2798"/>
    <tableColumn id="13605" xr3:uid="{7F3DA4CE-B39D-40F0-877A-A890C79F933C}" name="Column13557" dataDxfId="2797"/>
    <tableColumn id="13606" xr3:uid="{D7BF5B01-205F-4890-BC62-4F4C6FC28D8A}" name="Column13558" dataDxfId="2796"/>
    <tableColumn id="13607" xr3:uid="{EC765A2A-1025-4F8A-95D1-4B79AF4645B6}" name="Column13559" dataDxfId="2795"/>
    <tableColumn id="13608" xr3:uid="{D26BC607-A858-422D-A15B-C5B38D521FFF}" name="Column13560" dataDxfId="2794"/>
    <tableColumn id="13609" xr3:uid="{BF3B1B9F-B801-474F-84FA-8F40B6951155}" name="Column13561" dataDxfId="2793"/>
    <tableColumn id="13610" xr3:uid="{B2BB4AC7-55B2-4B94-893F-07726365AB82}" name="Column13562" dataDxfId="2792"/>
    <tableColumn id="13611" xr3:uid="{9E9E8F1D-F72E-4ADE-A3E0-8FF3E97FC3C6}" name="Column13563" dataDxfId="2791"/>
    <tableColumn id="13612" xr3:uid="{84C53DC2-EA8F-4124-86E7-75332F6CD181}" name="Column13564" dataDxfId="2790"/>
    <tableColumn id="13613" xr3:uid="{F4AF5FF5-79AA-4672-95C2-5B61D1AB4A5F}" name="Column13565" dataDxfId="2789"/>
    <tableColumn id="13614" xr3:uid="{F3E655BF-E9C1-4BB3-9865-171DC3BDDE1B}" name="Column13566" dataDxfId="2788"/>
    <tableColumn id="13615" xr3:uid="{FF91D454-1C2A-40BF-835D-DBCA57484ACE}" name="Column13567" dataDxfId="2787"/>
    <tableColumn id="13616" xr3:uid="{AB3A6EB4-284A-4FB6-BEAE-17C7916F6321}" name="Column13568" dataDxfId="2786"/>
    <tableColumn id="13617" xr3:uid="{644D977C-0167-41A4-A931-F9157708144D}" name="Column13569" dataDxfId="2785"/>
    <tableColumn id="13618" xr3:uid="{2EAAC7C1-688A-4C7B-A09A-759DECE08C50}" name="Column13570" dataDxfId="2784"/>
    <tableColumn id="13619" xr3:uid="{4C645359-ABB2-494B-B6B2-2D54FE750B87}" name="Column13571" dataDxfId="2783"/>
    <tableColumn id="13620" xr3:uid="{6BB1D751-0DAA-4F9A-A03B-50D6BC991ED5}" name="Column13572" dataDxfId="2782"/>
    <tableColumn id="13621" xr3:uid="{667B4D52-206A-44D5-9A13-EE03E1651A9C}" name="Column13573" dataDxfId="2781"/>
    <tableColumn id="13622" xr3:uid="{DC8B6BB9-D0E3-4792-A89E-2F9A8BD711AE}" name="Column13574" dataDxfId="2780"/>
    <tableColumn id="13623" xr3:uid="{09814C4A-60EB-4B8C-AA70-D4F347752043}" name="Column13575" dataDxfId="2779"/>
    <tableColumn id="13624" xr3:uid="{C3E3C877-C3F5-43A6-A8C3-B2D8F92AC504}" name="Column13576" dataDxfId="2778"/>
    <tableColumn id="13625" xr3:uid="{76B145F6-3089-46AE-AD91-B65A03212A02}" name="Column13577" dataDxfId="2777"/>
    <tableColumn id="13626" xr3:uid="{E872746F-2933-4AEA-9B85-49E1CFBF558A}" name="Column13578" dataDxfId="2776"/>
    <tableColumn id="13627" xr3:uid="{8842EE8D-98A9-4A8E-A8B4-AA9A849EBBEC}" name="Column13579" dataDxfId="2775"/>
    <tableColumn id="13628" xr3:uid="{BA07AE52-9FFA-4F44-BC30-C9F1DDF8CD75}" name="Column13580" dataDxfId="2774"/>
    <tableColumn id="13629" xr3:uid="{747271FB-21BB-48E6-85A4-0E98053F428D}" name="Column13581" dataDxfId="2773"/>
    <tableColumn id="13630" xr3:uid="{D9A163EA-0DFD-4273-831A-C388460E565C}" name="Column13582" dataDxfId="2772"/>
    <tableColumn id="13631" xr3:uid="{7180A3C9-0BB4-4886-9CF5-403F75EEB0FC}" name="Column13583" dataDxfId="2771"/>
    <tableColumn id="13632" xr3:uid="{AD7DBAD9-8B5C-4AB8-A38D-0BE2FB8258BC}" name="Column13584" dataDxfId="2770"/>
    <tableColumn id="13633" xr3:uid="{109FD302-FEFC-4956-B045-5D89782419C5}" name="Column13585" dataDxfId="2769"/>
    <tableColumn id="13634" xr3:uid="{DF332DF5-ED7B-4503-814A-7814479F998D}" name="Column13586" dataDxfId="2768"/>
    <tableColumn id="13635" xr3:uid="{79753B79-9087-4490-8511-47F47FFD3030}" name="Column13587" dataDxfId="2767"/>
    <tableColumn id="13636" xr3:uid="{419CABD9-00ED-4277-B7A0-ABA1C7C13E1A}" name="Column13588" dataDxfId="2766"/>
    <tableColumn id="13637" xr3:uid="{524A07C0-9EBC-459E-8472-9564EEEEDA79}" name="Column13589" dataDxfId="2765"/>
    <tableColumn id="13638" xr3:uid="{5F6486AE-8605-4958-8F47-F40D1AEA82A1}" name="Column13590" dataDxfId="2764"/>
    <tableColumn id="13639" xr3:uid="{0DF5AD94-A1A2-451C-A1F0-584E806939E6}" name="Column13591" dataDxfId="2763"/>
    <tableColumn id="13640" xr3:uid="{BDD26F85-8C03-40EE-9BB3-C4BE449A3C43}" name="Column13592" dataDxfId="2762"/>
    <tableColumn id="13641" xr3:uid="{B9719EE2-F3C5-462B-B211-C41650A7AA41}" name="Column13593" dataDxfId="2761"/>
    <tableColumn id="13642" xr3:uid="{87937E8F-DE32-49EE-BC29-CACEB66E415B}" name="Column13594" dataDxfId="2760"/>
    <tableColumn id="13643" xr3:uid="{91B7CAA2-387B-4790-97E5-F698D3367065}" name="Column13595" dataDxfId="2759"/>
    <tableColumn id="13644" xr3:uid="{E68F24E9-DCCF-4D73-9C8B-588CB3536142}" name="Column13596" dataDxfId="2758"/>
    <tableColumn id="13645" xr3:uid="{B1981E9F-9629-40A2-8FC5-9668F4B46AD6}" name="Column13597" dataDxfId="2757"/>
    <tableColumn id="13646" xr3:uid="{6B55AF0E-596A-43DA-AF7B-2A003DE9D5BA}" name="Column13598" dataDxfId="2756"/>
    <tableColumn id="13647" xr3:uid="{940FF789-9858-4917-8092-8D1BB1370C50}" name="Column13599" dataDxfId="2755"/>
    <tableColumn id="13648" xr3:uid="{E3239918-1756-48FE-A579-B11197C5918B}" name="Column13600" dataDxfId="2754"/>
    <tableColumn id="13649" xr3:uid="{05E6C567-21FE-49A6-B502-7F1F1AA5B1DF}" name="Column13601" dataDxfId="2753"/>
    <tableColumn id="13650" xr3:uid="{A2D83E21-C0D0-4D6B-BB62-27C11158E0A8}" name="Column13602" dataDxfId="2752"/>
    <tableColumn id="13651" xr3:uid="{E6BE19B6-8FCB-45AA-9AF1-B11BB68FA626}" name="Column13603" dataDxfId="2751"/>
    <tableColumn id="13652" xr3:uid="{A7A7B556-4133-4A05-BBE4-4A47195C7243}" name="Column13604" dataDxfId="2750"/>
    <tableColumn id="13653" xr3:uid="{2A38AA74-9F18-40E3-AEC3-713A68F8748B}" name="Column13605" dataDxfId="2749"/>
    <tableColumn id="13654" xr3:uid="{BBD4F259-1690-47E3-B0B5-96F5DA5A2AFF}" name="Column13606" dataDxfId="2748"/>
    <tableColumn id="13655" xr3:uid="{249A65B1-E63D-40EF-BE09-6E16148D426C}" name="Column13607" dataDxfId="2747"/>
    <tableColumn id="13656" xr3:uid="{C49359B6-B566-4B9D-B6E0-7BF090740115}" name="Column13608" dataDxfId="2746"/>
    <tableColumn id="13657" xr3:uid="{D31FA8D1-2B3C-447E-B569-A1A32D40F7E1}" name="Column13609" dataDxfId="2745"/>
    <tableColumn id="13658" xr3:uid="{9AA11D82-77DD-491E-82CA-9257DA75A0C4}" name="Column13610" dataDxfId="2744"/>
    <tableColumn id="13659" xr3:uid="{2B3B2C4F-20C4-4798-9319-3CF1FEFEC47F}" name="Column13611" dataDxfId="2743"/>
    <tableColumn id="13660" xr3:uid="{4B14DDE8-0BB8-41ED-907D-D18BDB58FAF2}" name="Column13612" dataDxfId="2742"/>
    <tableColumn id="13661" xr3:uid="{F871E428-BA65-461A-B6C9-D15F8C8A7FEB}" name="Column13613" dataDxfId="2741"/>
    <tableColumn id="13662" xr3:uid="{CAA1B14F-85D1-4D16-AABE-6A5B903258DB}" name="Column13614" dataDxfId="2740"/>
    <tableColumn id="13663" xr3:uid="{F31287CA-EA28-4679-A013-B79BF47AD49C}" name="Column13615" dataDxfId="2739"/>
    <tableColumn id="13664" xr3:uid="{84FFDE22-0AD1-4BA2-B487-E49057FBDF5D}" name="Column13616" dataDxfId="2738"/>
    <tableColumn id="13665" xr3:uid="{540CD289-7602-42CE-B6B4-B8E6B77A6AC2}" name="Column13617" dataDxfId="2737"/>
    <tableColumn id="13666" xr3:uid="{1674FB1A-3856-414E-AE5D-E75FC5147D8B}" name="Column13618" dataDxfId="2736"/>
    <tableColumn id="13667" xr3:uid="{077E5500-8EEA-4201-BD84-7DEC3010DAA1}" name="Column13619" dataDxfId="2735"/>
    <tableColumn id="13668" xr3:uid="{5802A9E1-74B7-42FB-BD3B-4F7BEFD4B80A}" name="Column13620" dataDxfId="2734"/>
    <tableColumn id="13669" xr3:uid="{14A1DDB6-FD52-4003-8673-7299E6A1E78A}" name="Column13621" dataDxfId="2733"/>
    <tableColumn id="13670" xr3:uid="{0DC2ADBA-8D0A-4AA7-8DA0-E0DB5B93EB94}" name="Column13622" dataDxfId="2732"/>
    <tableColumn id="13671" xr3:uid="{76EFD698-FFD9-4069-8BC1-DCDA9D029835}" name="Column13623" dataDxfId="2731"/>
    <tableColumn id="13672" xr3:uid="{FCEC3E82-BAEA-45E1-9664-3128FAB98984}" name="Column13624" dataDxfId="2730"/>
    <tableColumn id="13673" xr3:uid="{52155B76-66F9-491C-A910-8D86DADA170C}" name="Column13625" dataDxfId="2729"/>
    <tableColumn id="13674" xr3:uid="{B59414EA-DBA3-4E55-AC38-53A8A9C9E617}" name="Column13626" dataDxfId="2728"/>
    <tableColumn id="13675" xr3:uid="{7A8CF488-489E-41A3-AD0E-52B1C67521C5}" name="Column13627" dataDxfId="2727"/>
    <tableColumn id="13676" xr3:uid="{2E614218-C0FB-43D6-8F4A-B80302EE9031}" name="Column13628" dataDxfId="2726"/>
    <tableColumn id="13677" xr3:uid="{AF18AB11-DDA3-4C08-A90B-464B3668168D}" name="Column13629" dataDxfId="2725"/>
    <tableColumn id="13678" xr3:uid="{9D9880BC-24EA-4493-8D86-77F1C03BCBB4}" name="Column13630" dataDxfId="2724"/>
    <tableColumn id="13679" xr3:uid="{B5A99933-8A88-4C2B-9A55-4B23726FD15A}" name="Column13631" dataDxfId="2723"/>
    <tableColumn id="13680" xr3:uid="{1ADBCBD2-5C9D-4D0A-8485-A4EE7ED60EDE}" name="Column13632" dataDxfId="2722"/>
    <tableColumn id="13681" xr3:uid="{2FE6ED02-3F06-4A0D-9399-367BD3AC180B}" name="Column13633" dataDxfId="2721"/>
    <tableColumn id="13682" xr3:uid="{0B9018D8-A348-4FC3-B31B-49643DEE0585}" name="Column13634" dataDxfId="2720"/>
    <tableColumn id="13683" xr3:uid="{3C8AE8E7-FDA1-495E-9DB5-5F4C9B13C2D1}" name="Column13635" dataDxfId="2719"/>
    <tableColumn id="13684" xr3:uid="{EB950737-3F60-4409-801D-53EEFDDE861E}" name="Column13636" dataDxfId="2718"/>
    <tableColumn id="13685" xr3:uid="{795515D3-3A81-4879-AD3C-F4B2891A72CE}" name="Column13637" dataDxfId="2717"/>
    <tableColumn id="13686" xr3:uid="{21C941E8-65B5-4A4B-96EC-56A6D94BEE12}" name="Column13638" dataDxfId="2716"/>
    <tableColumn id="13687" xr3:uid="{F198933F-449F-4C6B-93A9-60200F902894}" name="Column13639" dataDxfId="2715"/>
    <tableColumn id="13688" xr3:uid="{31CB94D0-CA22-45C3-9B14-A25C1BF31F04}" name="Column13640" dataDxfId="2714"/>
    <tableColumn id="13689" xr3:uid="{06DEE12B-46A6-4490-9E2D-C17BBB142E3C}" name="Column13641" dataDxfId="2713"/>
    <tableColumn id="13690" xr3:uid="{ABCA1E9C-CF39-4413-8F96-27F7C1442E97}" name="Column13642" dataDxfId="2712"/>
    <tableColumn id="13691" xr3:uid="{9EFDAC3B-08FE-4DEE-9773-E99DD17A0629}" name="Column13643" dataDxfId="2711"/>
    <tableColumn id="13692" xr3:uid="{E02B194B-5B2E-4237-9713-D9FD58CBD30F}" name="Column13644" dataDxfId="2710"/>
    <tableColumn id="13693" xr3:uid="{A1FDFE92-3F0B-423D-93FD-E911E7D71BCB}" name="Column13645" dataDxfId="2709"/>
    <tableColumn id="13694" xr3:uid="{D453AA8B-17E2-4AB8-BFAF-41AC50677533}" name="Column13646" dataDxfId="2708"/>
    <tableColumn id="13695" xr3:uid="{CA14AED1-5F72-4E03-8E82-DA5100061631}" name="Column13647" dataDxfId="2707"/>
    <tableColumn id="13696" xr3:uid="{41096A94-D9AB-48CD-BA76-3D608DFB74EA}" name="Column13648" dataDxfId="2706"/>
    <tableColumn id="13697" xr3:uid="{BDBE890B-25D6-402A-8608-3CEEC47FE3E5}" name="Column13649" dataDxfId="2705"/>
    <tableColumn id="13698" xr3:uid="{5D6AF4AB-F26D-4309-BC8A-0FCA3C8A90B4}" name="Column13650" dataDxfId="2704"/>
    <tableColumn id="13699" xr3:uid="{2057689B-1FF8-4D6B-A01F-3E678989A03B}" name="Column13651" dataDxfId="2703"/>
    <tableColumn id="13700" xr3:uid="{0785D5EE-DE41-496F-A2FB-06DF5D4FE159}" name="Column13652" dataDxfId="2702"/>
    <tableColumn id="13701" xr3:uid="{DE15EF2F-4C64-4D4F-9FD3-ED8D07D22629}" name="Column13653" dataDxfId="2701"/>
    <tableColumn id="13702" xr3:uid="{B8B2E503-6F97-46CB-BA58-972A3053FC5B}" name="Column13654" dataDxfId="2700"/>
    <tableColumn id="13703" xr3:uid="{DCBE1B38-F995-4A71-9751-EA057D684986}" name="Column13655" dataDxfId="2699"/>
    <tableColumn id="13704" xr3:uid="{2B107CEB-FB31-4AB9-ABDC-FF59F466EDAB}" name="Column13656" dataDxfId="2698"/>
    <tableColumn id="13705" xr3:uid="{CECB6B13-1ECD-4BD8-AF08-4521DBB0E728}" name="Column13657" dataDxfId="2697"/>
    <tableColumn id="13706" xr3:uid="{DF697E3E-5231-498F-AB52-44BA09B30506}" name="Column13658" dataDxfId="2696"/>
    <tableColumn id="13707" xr3:uid="{0F17A115-22A2-47A8-994A-AA6AB29C7A94}" name="Column13659" dataDxfId="2695"/>
    <tableColumn id="13708" xr3:uid="{C3C1E8D5-E354-427A-8AC8-42C34FB1A873}" name="Column13660" dataDxfId="2694"/>
    <tableColumn id="13709" xr3:uid="{ACF15A78-D0E1-4447-9530-C64DB065001A}" name="Column13661" dataDxfId="2693"/>
    <tableColumn id="13710" xr3:uid="{106F369E-8373-4B3C-BFDC-0693431AEFCC}" name="Column13662" dataDxfId="2692"/>
    <tableColumn id="13711" xr3:uid="{E2C2D57D-5D7E-4F34-A5E7-FB32F532A337}" name="Column13663" dataDxfId="2691"/>
    <tableColumn id="13712" xr3:uid="{DC3223E3-935F-44C3-8AA5-6824455A9A9D}" name="Column13664" dataDxfId="2690"/>
    <tableColumn id="13713" xr3:uid="{0CD28290-E36E-4F4D-A7BE-DDBE1450CAA8}" name="Column13665" dataDxfId="2689"/>
    <tableColumn id="13714" xr3:uid="{B97CDA23-3F7E-456D-A2AC-320A61BCB659}" name="Column13666" dataDxfId="2688"/>
    <tableColumn id="13715" xr3:uid="{67F7595B-7743-42D0-B567-9ED9F315BB55}" name="Column13667" dataDxfId="2687"/>
    <tableColumn id="13716" xr3:uid="{0DEBD0ED-A595-4EC0-B04E-B8C52E56A8AE}" name="Column13668" dataDxfId="2686"/>
    <tableColumn id="13717" xr3:uid="{1F3E263F-FE59-4572-B033-13F68902D665}" name="Column13669" dataDxfId="2685"/>
    <tableColumn id="13718" xr3:uid="{8FE6FE95-2BA9-42B7-94B2-EE069D33D90A}" name="Column13670" dataDxfId="2684"/>
    <tableColumn id="13719" xr3:uid="{64A7ACC3-C74C-4441-BECF-60F95DBF0666}" name="Column13671" dataDxfId="2683"/>
    <tableColumn id="13720" xr3:uid="{137813F0-E753-453A-9C65-E4E8346BA1C8}" name="Column13672" dataDxfId="2682"/>
    <tableColumn id="13721" xr3:uid="{E568CA63-D3E0-439F-8BA7-BA9BAD1E84C5}" name="Column13673" dataDxfId="2681"/>
    <tableColumn id="13722" xr3:uid="{A3BD841F-5941-416B-ADC5-2A4B6ADCDCB2}" name="Column13674" dataDxfId="2680"/>
    <tableColumn id="13723" xr3:uid="{E4A003AE-4D62-461C-84AC-0BC7DE8537D4}" name="Column13675" dataDxfId="2679"/>
    <tableColumn id="13724" xr3:uid="{AB85AF5D-67FC-446B-8B50-19BED6C581B8}" name="Column13676" dataDxfId="2678"/>
    <tableColumn id="13725" xr3:uid="{C52EE81E-441C-47E2-BC6E-54BDAFC888FA}" name="Column13677" dataDxfId="2677"/>
    <tableColumn id="13726" xr3:uid="{08F76D11-19CC-42FC-AF31-DEFED9624176}" name="Column13678" dataDxfId="2676"/>
    <tableColumn id="13727" xr3:uid="{1F2EEF68-8EFF-46BF-B984-5D5829ECFC3D}" name="Column13679" dataDxfId="2675"/>
    <tableColumn id="13728" xr3:uid="{A664B215-DF57-42A8-A90E-3B70640A0C35}" name="Column13680" dataDxfId="2674"/>
    <tableColumn id="13729" xr3:uid="{8A263011-711F-4795-B2DF-E0ADE96C6D54}" name="Column13681" dataDxfId="2673"/>
    <tableColumn id="13730" xr3:uid="{67777919-5080-493B-85C7-5A178042076D}" name="Column13682" dataDxfId="2672"/>
    <tableColumn id="13731" xr3:uid="{FF1A8B14-2479-4AA9-BA71-7A996E13BF38}" name="Column13683" dataDxfId="2671"/>
    <tableColumn id="13732" xr3:uid="{88E3059A-13C8-41B9-A411-4412864A37A9}" name="Column13684" dataDxfId="2670"/>
    <tableColumn id="13733" xr3:uid="{FAAC3042-3DE8-4E6D-BCC5-CAB7D5483CBA}" name="Column13685" dataDxfId="2669"/>
    <tableColumn id="13734" xr3:uid="{07153F65-88B2-4264-8BC6-330D217B465F}" name="Column13686" dataDxfId="2668"/>
    <tableColumn id="13735" xr3:uid="{2F5573CA-D9FC-4100-AD07-33BA1921FA94}" name="Column13687" dataDxfId="2667"/>
    <tableColumn id="13736" xr3:uid="{88BD17C6-208A-40B7-9920-DE158BC4EFB5}" name="Column13688" dataDxfId="2666"/>
    <tableColumn id="13737" xr3:uid="{17199C58-D215-40D7-AACA-875439469959}" name="Column13689" dataDxfId="2665"/>
    <tableColumn id="13738" xr3:uid="{DD6F32AD-FE34-4824-A4D0-225870438701}" name="Column13690" dataDxfId="2664"/>
    <tableColumn id="13739" xr3:uid="{F6440E21-0EF6-4380-832C-C56400A37A0F}" name="Column13691" dataDxfId="2663"/>
    <tableColumn id="13740" xr3:uid="{DB453A08-E91C-4A84-957F-F22058819426}" name="Column13692" dataDxfId="2662"/>
    <tableColumn id="13741" xr3:uid="{D0A087CA-2CAC-4447-895D-350DE8A0E597}" name="Column13693" dataDxfId="2661"/>
    <tableColumn id="13742" xr3:uid="{1FE084AB-25D0-4049-9D21-511599CF3409}" name="Column13694" dataDxfId="2660"/>
    <tableColumn id="13743" xr3:uid="{5F1242EA-75CA-4387-8783-F31ED477B10A}" name="Column13695" dataDxfId="2659"/>
    <tableColumn id="13744" xr3:uid="{A5E3D6A9-085A-4BCA-AA09-90975309BD88}" name="Column13696" dataDxfId="2658"/>
    <tableColumn id="13745" xr3:uid="{020F1B14-1478-4DD1-B87B-4DB56863D6AE}" name="Column13697" dataDxfId="2657"/>
    <tableColumn id="13746" xr3:uid="{B2490D17-F3E7-42A3-AD8F-33252765BC11}" name="Column13698" dataDxfId="2656"/>
    <tableColumn id="13747" xr3:uid="{E02BB44A-CE88-45FC-AC88-5168B0EC8041}" name="Column13699" dataDxfId="2655"/>
    <tableColumn id="13748" xr3:uid="{3396E86D-E9A4-4F32-8F6F-8C5E397EBFA9}" name="Column13700" dataDxfId="2654"/>
    <tableColumn id="13749" xr3:uid="{78374BF7-EC4C-4118-B23B-A7BA32D6E203}" name="Column13701" dataDxfId="2653"/>
    <tableColumn id="13750" xr3:uid="{31580DE6-3D51-41BB-8FA4-09668A488C71}" name="Column13702" dataDxfId="2652"/>
    <tableColumn id="13751" xr3:uid="{A715E16A-91DC-4FFA-B394-BEDEF2AD2740}" name="Column13703" dataDxfId="2651"/>
    <tableColumn id="13752" xr3:uid="{C8B17528-FBE4-4197-8560-E86D959831E5}" name="Column13704" dataDxfId="2650"/>
    <tableColumn id="13753" xr3:uid="{619A11F6-34B9-44AA-B4A5-09307691B917}" name="Column13705" dataDxfId="2649"/>
    <tableColumn id="13754" xr3:uid="{4F620514-1EB6-48AB-9424-9B5F27F0BB48}" name="Column13706" dataDxfId="2648"/>
    <tableColumn id="13755" xr3:uid="{C8183C0E-118B-407D-8288-41A9BC9DC8A3}" name="Column13707" dataDxfId="2647"/>
    <tableColumn id="13756" xr3:uid="{DAB63DDF-2C7A-43DA-B3AC-4153D4D5D436}" name="Column13708" dataDxfId="2646"/>
    <tableColumn id="13757" xr3:uid="{64284796-9FAF-4E8D-A85E-468706622468}" name="Column13709" dataDxfId="2645"/>
    <tableColumn id="13758" xr3:uid="{973701E9-C27E-4889-8C54-00CCEBFF15C0}" name="Column13710" dataDxfId="2644"/>
    <tableColumn id="13759" xr3:uid="{E15CEE6B-09E3-49E4-99EC-FF9166476774}" name="Column13711" dataDxfId="2643"/>
    <tableColumn id="13760" xr3:uid="{9FFD759B-1E9A-4107-A77B-16551DDD7FE0}" name="Column13712" dataDxfId="2642"/>
    <tableColumn id="13761" xr3:uid="{2F792871-3741-457B-8DF0-3EC0BD770255}" name="Column13713" dataDxfId="2641"/>
    <tableColumn id="13762" xr3:uid="{D319771C-2178-4AB3-96C3-2AF1E60BC4A9}" name="Column13714" dataDxfId="2640"/>
    <tableColumn id="13763" xr3:uid="{3B726348-3E83-47B3-87C8-F5531AA21710}" name="Column13715" dataDxfId="2639"/>
    <tableColumn id="13764" xr3:uid="{A5CAB630-EA46-4F79-98F8-D139BDD1C3A2}" name="Column13716" dataDxfId="2638"/>
    <tableColumn id="13765" xr3:uid="{55789992-A298-4662-B378-75DBE0E4C6ED}" name="Column13717" dataDxfId="2637"/>
    <tableColumn id="13766" xr3:uid="{309F111A-CF68-4C20-9FFB-82D3D34D6C6C}" name="Column13718" dataDxfId="2636"/>
    <tableColumn id="13767" xr3:uid="{503090FE-2E7B-4726-9BB9-3C90B2926ED3}" name="Column13719" dataDxfId="2635"/>
    <tableColumn id="13768" xr3:uid="{8434A85B-75D5-4F38-940B-FEA06E59E82E}" name="Column13720" dataDxfId="2634"/>
    <tableColumn id="13769" xr3:uid="{5FFE2C84-942B-4C47-BB18-006CF1993BF7}" name="Column13721" dataDxfId="2633"/>
    <tableColumn id="13770" xr3:uid="{EFD97889-0022-40FD-8EDB-5EC1B59DE560}" name="Column13722" dataDxfId="2632"/>
    <tableColumn id="13771" xr3:uid="{273B9A53-0AFC-47CD-A5B2-A8D35678B216}" name="Column13723" dataDxfId="2631"/>
    <tableColumn id="13772" xr3:uid="{37B7B58F-AD9D-4391-B9D5-CC1CC2C1A21B}" name="Column13724" dataDxfId="2630"/>
    <tableColumn id="13773" xr3:uid="{E6CFDEC0-5352-48F0-889A-4F3BBEC01BB6}" name="Column13725" dataDxfId="2629"/>
    <tableColumn id="13774" xr3:uid="{85F0DE02-109E-4A2E-B1ED-3E505154BDD2}" name="Column13726" dataDxfId="2628"/>
    <tableColumn id="13775" xr3:uid="{3A66140D-52C8-4A80-B3ED-BAC529D11D5E}" name="Column13727" dataDxfId="2627"/>
    <tableColumn id="13776" xr3:uid="{195B0B20-D2AF-4C18-8FDB-284DE222F0F6}" name="Column13728" dataDxfId="2626"/>
    <tableColumn id="13777" xr3:uid="{F84425B1-6ED4-402F-B5F9-714DA448CE58}" name="Column13729" dataDxfId="2625"/>
    <tableColumn id="13778" xr3:uid="{91E1CB80-7A07-420D-8067-E2112E174B16}" name="Column13730" dataDxfId="2624"/>
    <tableColumn id="13779" xr3:uid="{BD17F9E3-6F3A-4899-817A-39F9C4610955}" name="Column13731" dataDxfId="2623"/>
    <tableColumn id="13780" xr3:uid="{79B09189-7C9A-4294-A9DD-1368DE09AD5B}" name="Column13732" dataDxfId="2622"/>
    <tableColumn id="13781" xr3:uid="{EDA4FF17-80E1-4D14-9B11-3E1D65B37354}" name="Column13733" dataDxfId="2621"/>
    <tableColumn id="13782" xr3:uid="{823A6932-873C-47B9-964E-CC96137C27F7}" name="Column13734" dataDxfId="2620"/>
    <tableColumn id="13783" xr3:uid="{5DCF72FE-588C-4B9C-9068-15C3457C7DBD}" name="Column13735" dataDxfId="2619"/>
    <tableColumn id="13784" xr3:uid="{86C08319-A630-4DB7-B41B-D7DADA4796DD}" name="Column13736" dataDxfId="2618"/>
    <tableColumn id="13785" xr3:uid="{98555CDE-281C-4ECC-8A63-EE888E865FD0}" name="Column13737" dataDxfId="2617"/>
    <tableColumn id="13786" xr3:uid="{1DB1E289-123B-44A0-845A-62CB21CCED1D}" name="Column13738" dataDxfId="2616"/>
    <tableColumn id="13787" xr3:uid="{6DB3BACF-051A-4A22-88A8-22C0A9785461}" name="Column13739" dataDxfId="2615"/>
    <tableColumn id="13788" xr3:uid="{1FAF8522-A1FC-4F9B-8BC5-5B692F624E2D}" name="Column13740" dataDxfId="2614"/>
    <tableColumn id="13789" xr3:uid="{BBB8E16D-0645-4CBD-B8C7-68F855489A65}" name="Column13741" dataDxfId="2613"/>
    <tableColumn id="13790" xr3:uid="{678A5123-432D-4C21-BA1A-2F8DD91ADFF5}" name="Column13742" dataDxfId="2612"/>
    <tableColumn id="13791" xr3:uid="{88B7F534-7E6F-48E4-86E1-CE344DF9C9B6}" name="Column13743" dataDxfId="2611"/>
    <tableColumn id="13792" xr3:uid="{144741D0-6155-4C4B-8F89-F33AD3944F80}" name="Column13744" dataDxfId="2610"/>
    <tableColumn id="13793" xr3:uid="{D326B262-530F-40DF-B1ED-3121DBC7E17F}" name="Column13745" dataDxfId="2609"/>
    <tableColumn id="13794" xr3:uid="{3BBEA612-8B66-4C38-91B8-12CD772811FE}" name="Column13746" dataDxfId="2608"/>
    <tableColumn id="13795" xr3:uid="{F52372F0-764F-4DD1-ACEB-9878433624F4}" name="Column13747" dataDxfId="2607"/>
    <tableColumn id="13796" xr3:uid="{09479EA9-4883-4F00-8044-EC3324835083}" name="Column13748" dataDxfId="2606"/>
    <tableColumn id="13797" xr3:uid="{A57D7E53-7B9A-4162-BFBD-42689B454628}" name="Column13749" dataDxfId="2605"/>
    <tableColumn id="13798" xr3:uid="{992D889D-2D2E-46EC-A4DD-F9420A56C343}" name="Column13750" dataDxfId="2604"/>
    <tableColumn id="13799" xr3:uid="{5ECEA273-F6BF-422C-A991-0AE46A33C1B5}" name="Column13751" dataDxfId="2603"/>
    <tableColumn id="13800" xr3:uid="{ECFCF639-E9A8-4A94-9415-A7B2514848D9}" name="Column13752" dataDxfId="2602"/>
    <tableColumn id="13801" xr3:uid="{85345C62-9D00-4B53-A895-DDBEF88CCA63}" name="Column13753" dataDxfId="2601"/>
    <tableColumn id="13802" xr3:uid="{275EFC18-A0D7-4E6E-9259-CD0254629F32}" name="Column13754" dataDxfId="2600"/>
    <tableColumn id="13803" xr3:uid="{5E8F87ED-920B-475A-A935-0749C3F028C7}" name="Column13755" dataDxfId="2599"/>
    <tableColumn id="13804" xr3:uid="{40C8A329-A0FE-4359-A908-45835E9585B8}" name="Column13756" dataDxfId="2598"/>
    <tableColumn id="13805" xr3:uid="{1152AC6E-6BDE-41AD-A110-050B7A4430DD}" name="Column13757" dataDxfId="2597"/>
    <tableColumn id="13806" xr3:uid="{CE532C60-9F7F-4020-90F6-A469431C0568}" name="Column13758" dataDxfId="2596"/>
    <tableColumn id="13807" xr3:uid="{9FD7E1FD-A227-4591-A300-7AA8338F7EA6}" name="Column13759" dataDxfId="2595"/>
    <tableColumn id="13808" xr3:uid="{4D3BCCF9-18B7-4E5C-954A-A0FAF5E52BB9}" name="Column13760" dataDxfId="2594"/>
    <tableColumn id="13809" xr3:uid="{9537C423-E606-4AE9-863A-7A783312521D}" name="Column13761" dataDxfId="2593"/>
    <tableColumn id="13810" xr3:uid="{ABE98639-35B8-48BE-A084-78E8574D5CD1}" name="Column13762" dataDxfId="2592"/>
    <tableColumn id="13811" xr3:uid="{4BB90C01-E0B5-42B6-8BE2-A1272BFF592C}" name="Column13763" dataDxfId="2591"/>
    <tableColumn id="13812" xr3:uid="{B1D66115-241C-4393-B208-9353BB2F160D}" name="Column13764" dataDxfId="2590"/>
    <tableColumn id="13813" xr3:uid="{CBB7ECDD-DA21-413D-99FF-3C2E8656B4E4}" name="Column13765" dataDxfId="2589"/>
    <tableColumn id="13814" xr3:uid="{808D50C0-10CC-4E13-B462-BAA8418761B7}" name="Column13766" dataDxfId="2588"/>
    <tableColumn id="13815" xr3:uid="{4D072196-F15D-4860-A217-AEA2AD6E70EA}" name="Column13767" dataDxfId="2587"/>
    <tableColumn id="13816" xr3:uid="{89E1E5E8-83E4-4F3D-9E60-8DEB8F902D01}" name="Column13768" dataDxfId="2586"/>
    <tableColumn id="13817" xr3:uid="{116701D7-AFCB-46E4-B0CD-E3982FC14A2D}" name="Column13769" dataDxfId="2585"/>
    <tableColumn id="13818" xr3:uid="{C80D4418-1F64-46DD-A482-91ACE26980EC}" name="Column13770" dataDxfId="2584"/>
    <tableColumn id="13819" xr3:uid="{12A7FCD4-23C0-4D03-978F-B60342E937EF}" name="Column13771" dataDxfId="2583"/>
    <tableColumn id="13820" xr3:uid="{2ACE3E92-3C76-4FDF-8E47-F87C7587DD0B}" name="Column13772" dataDxfId="2582"/>
    <tableColumn id="13821" xr3:uid="{AE5B0B97-7B49-433F-AE6A-CB24F5DF6BD6}" name="Column13773" dataDxfId="2581"/>
    <tableColumn id="13822" xr3:uid="{21E7C94C-9EBC-4C61-B3C2-63842DBCCE67}" name="Column13774" dataDxfId="2580"/>
    <tableColumn id="13823" xr3:uid="{BC851FE7-E0F6-417A-B22D-6552C904CAFB}" name="Column13775" dataDxfId="2579"/>
    <tableColumn id="13824" xr3:uid="{5ABB8AEA-41E8-420B-93D6-F53FDC09DBF8}" name="Column13776" dataDxfId="2578"/>
    <tableColumn id="13825" xr3:uid="{AA2653C6-A209-4B34-B6D3-5CEB6CF0B230}" name="Column13777" dataDxfId="2577"/>
    <tableColumn id="13826" xr3:uid="{21378FFB-1C62-41A1-99A6-8713B645A5E5}" name="Column13778" dataDxfId="2576"/>
    <tableColumn id="13827" xr3:uid="{430712F9-93E3-4FB1-8B2A-39C5B6BFE373}" name="Column13779" dataDxfId="2575"/>
    <tableColumn id="13828" xr3:uid="{5144C6EC-3831-4D5F-8E35-A220DEC0F528}" name="Column13780" dataDxfId="2574"/>
    <tableColumn id="13829" xr3:uid="{9BE0F800-F25D-44CA-9989-677A5FC6D76A}" name="Column13781" dataDxfId="2573"/>
    <tableColumn id="13830" xr3:uid="{56AA9E34-5847-4302-9C15-2B4A66D5E753}" name="Column13782" dataDxfId="2572"/>
    <tableColumn id="13831" xr3:uid="{7C60D7A8-4521-4E89-830A-025AF286252E}" name="Column13783" dataDxfId="2571"/>
    <tableColumn id="13832" xr3:uid="{B32A83EA-2557-4B42-9276-9B5159F16143}" name="Column13784" dataDxfId="2570"/>
    <tableColumn id="13833" xr3:uid="{3BB86870-1150-4747-95A3-1E9FC9228A0C}" name="Column13785" dataDxfId="2569"/>
    <tableColumn id="13834" xr3:uid="{2E046D7C-7BD0-4589-90AD-C67D8EAC7814}" name="Column13786" dataDxfId="2568"/>
    <tableColumn id="13835" xr3:uid="{66347975-C527-4A2C-A651-99C42E681106}" name="Column13787" dataDxfId="2567"/>
    <tableColumn id="13836" xr3:uid="{5B087127-D61E-47FD-A5CF-95B6D19B36C6}" name="Column13788" dataDxfId="2566"/>
    <tableColumn id="13837" xr3:uid="{82DB195B-BDA7-48FC-AB4B-7D519CC37133}" name="Column13789" dataDxfId="2565"/>
    <tableColumn id="13838" xr3:uid="{F86DC5F6-FD52-4D7F-AD56-FC9A1F61CC97}" name="Column13790" dataDxfId="2564"/>
    <tableColumn id="13839" xr3:uid="{1E587F1B-36BC-41B7-87A8-989B22787E72}" name="Column13791" dataDxfId="2563"/>
    <tableColumn id="13840" xr3:uid="{118152E9-FA7D-44CB-8184-1057D6C1763F}" name="Column13792" dataDxfId="2562"/>
    <tableColumn id="13841" xr3:uid="{CAF7150E-8880-4BEE-88C1-68C16E7C0EDD}" name="Column13793" dataDxfId="2561"/>
    <tableColumn id="13842" xr3:uid="{BA396FF8-ABF1-4A1A-8BBB-CD74587ACF59}" name="Column13794" dataDxfId="2560"/>
    <tableColumn id="13843" xr3:uid="{D084BE8A-3807-4307-9672-8F25F78B68C8}" name="Column13795" dataDxfId="2559"/>
    <tableColumn id="13844" xr3:uid="{F8B04F3F-EB8F-4624-9C33-90F57A2A55A4}" name="Column13796" dataDxfId="2558"/>
    <tableColumn id="13845" xr3:uid="{45D6BC48-3250-401F-A426-CA1C7EA26DDC}" name="Column13797" dataDxfId="2557"/>
    <tableColumn id="13846" xr3:uid="{1FE2ABCE-F0F0-4CDE-B361-56CB032BB2F0}" name="Column13798" dataDxfId="2556"/>
    <tableColumn id="13847" xr3:uid="{823C4B12-31BA-4AFD-AB4D-4423A755FD1B}" name="Column13799" dataDxfId="2555"/>
    <tableColumn id="13848" xr3:uid="{A5403A60-E9C6-4A97-8F04-8C7E1FDD8C4B}" name="Column13800" dataDxfId="2554"/>
    <tableColumn id="13849" xr3:uid="{601DEE69-BBD4-4507-9F8B-5D6D27E0907A}" name="Column13801" dataDxfId="2553"/>
    <tableColumn id="13850" xr3:uid="{D56F6820-428D-466E-A8DF-E27B7F064ED3}" name="Column13802" dataDxfId="2552"/>
    <tableColumn id="13851" xr3:uid="{3922B99C-E4E8-4019-8D7F-43DEA5D0D104}" name="Column13803" dataDxfId="2551"/>
    <tableColumn id="13852" xr3:uid="{574EE74B-90E3-4675-87E8-25928BDDDEB3}" name="Column13804" dataDxfId="2550"/>
    <tableColumn id="13853" xr3:uid="{646A571A-7509-4961-A743-9B38FD7726AF}" name="Column13805" dataDxfId="2549"/>
    <tableColumn id="13854" xr3:uid="{A2230FD4-DD06-4D77-9D78-AAC5F9E0D1C6}" name="Column13806" dataDxfId="2548"/>
    <tableColumn id="13855" xr3:uid="{7386F709-269F-4AF2-A387-DAB3F08D7B0D}" name="Column13807" dataDxfId="2547"/>
    <tableColumn id="13856" xr3:uid="{7D424184-5AC2-4329-84CA-BA556B980105}" name="Column13808" dataDxfId="2546"/>
    <tableColumn id="13857" xr3:uid="{D3FBA8C3-8C04-462A-B8AC-10580187D872}" name="Column13809" dataDxfId="2545"/>
    <tableColumn id="13858" xr3:uid="{385FEB26-E8B9-4FA6-A5BF-05A1FF9ED0FC}" name="Column13810" dataDxfId="2544"/>
    <tableColumn id="13859" xr3:uid="{78FA80E1-9246-4D2E-AEC9-BC9FF7202385}" name="Column13811" dataDxfId="2543"/>
    <tableColumn id="13860" xr3:uid="{C8717DCE-C424-4999-8B41-F0876C16744A}" name="Column13812" dataDxfId="2542"/>
    <tableColumn id="13861" xr3:uid="{FE74CB8E-6562-4F4B-BFF7-BBC9FDE3D4A5}" name="Column13813" dataDxfId="2541"/>
    <tableColumn id="13862" xr3:uid="{F7C8E63B-72F4-4BAA-9087-19E2B1B17FDE}" name="Column13814" dataDxfId="2540"/>
    <tableColumn id="13863" xr3:uid="{9C9D7C44-1D87-4379-A75B-EF0C4EF67A78}" name="Column13815" dataDxfId="2539"/>
    <tableColumn id="13864" xr3:uid="{D73DEFCA-F035-477A-9F82-AD7843BE6BC4}" name="Column13816" dataDxfId="2538"/>
    <tableColumn id="13865" xr3:uid="{82CECA4A-E0FB-4730-93F9-ECB32968C05D}" name="Column13817" dataDxfId="2537"/>
    <tableColumn id="13866" xr3:uid="{E118B2FB-597D-4B25-8AEC-63CCBA46E706}" name="Column13818" dataDxfId="2536"/>
    <tableColumn id="13867" xr3:uid="{F9DC9D3F-EC08-4640-8CDC-B6F42F9FFCBE}" name="Column13819" dataDxfId="2535"/>
    <tableColumn id="13868" xr3:uid="{9A0EBDCA-AF55-4194-B068-2AD9F1E1CAAD}" name="Column13820" dataDxfId="2534"/>
    <tableColumn id="13869" xr3:uid="{BC1B8C74-8D52-430F-8DC7-E4138A056095}" name="Column13821" dataDxfId="2533"/>
    <tableColumn id="13870" xr3:uid="{75182F4E-ABE0-4194-8A36-BFCFF9B83B8F}" name="Column13822" dataDxfId="2532"/>
    <tableColumn id="13871" xr3:uid="{5EDEF4A7-0FC4-4E44-AE18-77C838B62A58}" name="Column13823" dataDxfId="2531"/>
    <tableColumn id="13872" xr3:uid="{5DC60CB1-7DBC-4B57-9442-71FD3C4A77FE}" name="Column13824" dataDxfId="2530"/>
    <tableColumn id="13873" xr3:uid="{B16F6F51-D2A8-4492-8969-B975F06B270E}" name="Column13825" dataDxfId="2529"/>
    <tableColumn id="13874" xr3:uid="{0DA16D1F-4AC6-4459-BA08-D21BD0D5D1A7}" name="Column13826" dataDxfId="2528"/>
    <tableColumn id="13875" xr3:uid="{5455BD72-6415-4EEF-8F2A-3546E9BEA7AE}" name="Column13827" dataDxfId="2527"/>
    <tableColumn id="13876" xr3:uid="{430A4D3C-F774-4C13-9E72-8961926297CF}" name="Column13828" dataDxfId="2526"/>
    <tableColumn id="13877" xr3:uid="{1C78E5EC-0989-46AE-8DC5-7CE6B7B60948}" name="Column13829" dataDxfId="2525"/>
    <tableColumn id="13878" xr3:uid="{25B2282C-FA18-4BED-A725-18782374FEEE}" name="Column13830" dataDxfId="2524"/>
    <tableColumn id="13879" xr3:uid="{9082D809-8DE7-4CF4-872C-04D1119E89D7}" name="Column13831" dataDxfId="2523"/>
    <tableColumn id="13880" xr3:uid="{71B9F81C-2C36-43B5-93A2-7FD772E12B19}" name="Column13832" dataDxfId="2522"/>
    <tableColumn id="13881" xr3:uid="{4459514A-4F2B-4726-9BA8-DE9002CDE2D8}" name="Column13833" dataDxfId="2521"/>
    <tableColumn id="13882" xr3:uid="{CC93088F-ED33-41CA-B129-37AC77C51C99}" name="Column13834" dataDxfId="2520"/>
    <tableColumn id="13883" xr3:uid="{D7315743-ED0F-401F-A4A2-9B6A430335A1}" name="Column13835" dataDxfId="2519"/>
    <tableColumn id="13884" xr3:uid="{58A97577-A97B-43D0-8826-F7BD7B462C96}" name="Column13836" dataDxfId="2518"/>
    <tableColumn id="13885" xr3:uid="{2D191286-DBD0-4462-83F0-8C77FF4F7CCA}" name="Column13837" dataDxfId="2517"/>
    <tableColumn id="13886" xr3:uid="{DF31DC72-B049-4257-8CFD-ACFF78393636}" name="Column13838" dataDxfId="2516"/>
    <tableColumn id="13887" xr3:uid="{A82F6EFE-F823-42AB-8793-FB2A3ED99529}" name="Column13839" dataDxfId="2515"/>
    <tableColumn id="13888" xr3:uid="{786168A0-EF9A-401E-A51F-720365088A48}" name="Column13840" dataDxfId="2514"/>
    <tableColumn id="13889" xr3:uid="{2A0B55C2-BA35-49FE-AA75-3025480943F3}" name="Column13841" dataDxfId="2513"/>
    <tableColumn id="13890" xr3:uid="{58F2F319-FC3F-4A7F-B08B-87411BE26EEB}" name="Column13842" dataDxfId="2512"/>
    <tableColumn id="13891" xr3:uid="{54840166-8332-47C5-8AFA-CD9CF3E0EDDE}" name="Column13843" dataDxfId="2511"/>
    <tableColumn id="13892" xr3:uid="{15C926A5-3D6B-46DA-ABAB-4F6B643C2329}" name="Column13844" dataDxfId="2510"/>
    <tableColumn id="13893" xr3:uid="{8AC5F456-5ECE-4A46-BC85-CA0C0E69F68F}" name="Column13845" dataDxfId="2509"/>
    <tableColumn id="13894" xr3:uid="{356460B8-551A-4712-A425-C6035BC594E5}" name="Column13846" dataDxfId="2508"/>
    <tableColumn id="13895" xr3:uid="{80796922-F3CA-4261-900C-B855DC754A7F}" name="Column13847" dataDxfId="2507"/>
    <tableColumn id="13896" xr3:uid="{34747EB9-2D37-479A-B271-1DD8603B8FE5}" name="Column13848" dataDxfId="2506"/>
    <tableColumn id="13897" xr3:uid="{267706C9-ECB3-4DF0-B9C9-5028B6713069}" name="Column13849" dataDxfId="2505"/>
    <tableColumn id="13898" xr3:uid="{6546B166-B26B-410F-8955-2F5B5EFFEB1D}" name="Column13850" dataDxfId="2504"/>
    <tableColumn id="13899" xr3:uid="{6DE95778-FED4-4F3C-A3C5-777D317A075F}" name="Column13851" dataDxfId="2503"/>
    <tableColumn id="13900" xr3:uid="{3F03A170-0772-4104-A5CC-203E44C70924}" name="Column13852" dataDxfId="2502"/>
    <tableColumn id="13901" xr3:uid="{6B0D83B2-8293-42DD-8C5F-9C01C0451C89}" name="Column13853" dataDxfId="2501"/>
    <tableColumn id="13902" xr3:uid="{F265AD4D-6029-484E-9A59-F1D09C0EA626}" name="Column13854" dataDxfId="2500"/>
    <tableColumn id="13903" xr3:uid="{DFA8FE43-B2C3-4E73-80A5-A5135525E562}" name="Column13855" dataDxfId="2499"/>
    <tableColumn id="13904" xr3:uid="{7DDF0EA5-B8BF-4B82-9B6B-951DCBC0AEDB}" name="Column13856" dataDxfId="2498"/>
    <tableColumn id="13905" xr3:uid="{4608B673-4DFE-4DDC-8F3E-5505CAAEBA0A}" name="Column13857" dataDxfId="2497"/>
    <tableColumn id="13906" xr3:uid="{7D438957-B6F2-4A67-BF42-F31B34F2376E}" name="Column13858" dataDxfId="2496"/>
    <tableColumn id="13907" xr3:uid="{15D3AC2D-07F2-4003-9897-315D96B02980}" name="Column13859" dataDxfId="2495"/>
    <tableColumn id="13908" xr3:uid="{BCC5DC3F-E411-4F85-8271-811DA2FB1E67}" name="Column13860" dataDxfId="2494"/>
    <tableColumn id="13909" xr3:uid="{CE886A6D-5EE9-4E97-ACB1-E4E642F03B20}" name="Column13861" dataDxfId="2493"/>
    <tableColumn id="13910" xr3:uid="{5FBC588B-9F2B-4730-9DBA-57A7C9B16DDE}" name="Column13862" dataDxfId="2492"/>
    <tableColumn id="13911" xr3:uid="{22D34581-E5F6-4866-B5B6-CDBE326B0E54}" name="Column13863" dataDxfId="2491"/>
    <tableColumn id="13912" xr3:uid="{94A0C674-E27D-4A3C-AE5C-6A52C10F63BC}" name="Column13864" dataDxfId="2490"/>
    <tableColumn id="13913" xr3:uid="{E3B15114-5E67-41D1-8E45-F7C9F9E80D39}" name="Column13865" dataDxfId="2489"/>
    <tableColumn id="13914" xr3:uid="{07401F89-4DF7-4F62-B471-97FC930B03C9}" name="Column13866" dataDxfId="2488"/>
    <tableColumn id="13915" xr3:uid="{B472F05F-15D9-4063-BB34-661259305929}" name="Column13867" dataDxfId="2487"/>
    <tableColumn id="13916" xr3:uid="{810D8507-8AE5-4609-8F5C-2691D194803C}" name="Column13868" dataDxfId="2486"/>
    <tableColumn id="13917" xr3:uid="{F0D3435D-1B72-4BFE-AA1B-F31D4FEA9029}" name="Column13869" dataDxfId="2485"/>
    <tableColumn id="13918" xr3:uid="{98666FB3-13C1-4C6E-911D-F49079AB0A15}" name="Column13870" dataDxfId="2484"/>
    <tableColumn id="13919" xr3:uid="{49E8DB99-FB81-4C19-99C2-930307904DC9}" name="Column13871" dataDxfId="2483"/>
    <tableColumn id="13920" xr3:uid="{E5B93124-7283-40FE-A413-7991863D8F5C}" name="Column13872" dataDxfId="2482"/>
    <tableColumn id="13921" xr3:uid="{32AB95F3-DFEE-4519-AA2D-F5038FFF9DDD}" name="Column13873" dataDxfId="2481"/>
    <tableColumn id="13922" xr3:uid="{DFAC9595-CEFB-4CEE-925C-E51F4A1EB808}" name="Column13874" dataDxfId="2480"/>
    <tableColumn id="13923" xr3:uid="{94981A62-A51F-4029-95F8-B83C9E48E2BD}" name="Column13875" dataDxfId="2479"/>
    <tableColumn id="13924" xr3:uid="{18ADDC2B-F0ED-4294-B4B9-952C68A1C7BF}" name="Column13876" dataDxfId="2478"/>
    <tableColumn id="13925" xr3:uid="{101EF510-6D5F-43F5-B5CD-F04A57A5F2DE}" name="Column13877" dataDxfId="2477"/>
    <tableColumn id="13926" xr3:uid="{470BF2F1-4224-4B85-9ECC-8D0AF0AAB211}" name="Column13878" dataDxfId="2476"/>
    <tableColumn id="13927" xr3:uid="{CAE459FD-70A6-49EC-861A-E49D5FFDAFDB}" name="Column13879" dataDxfId="2475"/>
    <tableColumn id="13928" xr3:uid="{9CFA0170-2BFC-4837-AAD9-AD845A48C79E}" name="Column13880" dataDxfId="2474"/>
    <tableColumn id="13929" xr3:uid="{C958E0EE-5BD5-4500-A8AA-BD0DE0A43F55}" name="Column13881" dataDxfId="2473"/>
    <tableColumn id="13930" xr3:uid="{A0AFC41B-9FDD-4C39-834A-922DD55A6EE7}" name="Column13882" dataDxfId="2472"/>
    <tableColumn id="13931" xr3:uid="{5E9C3BD1-9571-4192-8838-8C90C6DAA954}" name="Column13883" dataDxfId="2471"/>
    <tableColumn id="13932" xr3:uid="{83866B1D-C718-45FA-A476-897D0402E6D4}" name="Column13884" dataDxfId="2470"/>
    <tableColumn id="13933" xr3:uid="{C0FA4989-5231-4276-96C9-CA12769A2FFB}" name="Column13885" dataDxfId="2469"/>
    <tableColumn id="13934" xr3:uid="{E4E951E4-372A-4F82-B971-D3D6F3345E00}" name="Column13886" dataDxfId="2468"/>
    <tableColumn id="13935" xr3:uid="{F1256195-2F26-45B9-9E7B-317B5C602F2E}" name="Column13887" dataDxfId="2467"/>
    <tableColumn id="13936" xr3:uid="{C7ACCB73-64B6-4576-818B-B12E1F8E704D}" name="Column13888" dataDxfId="2466"/>
    <tableColumn id="13937" xr3:uid="{29459BB7-397B-41DB-8489-EF062D1AED69}" name="Column13889" dataDxfId="2465"/>
    <tableColumn id="13938" xr3:uid="{29952324-FFA0-40BB-86A3-90E997F73BBE}" name="Column13890" dataDxfId="2464"/>
    <tableColumn id="13939" xr3:uid="{A92947D9-A071-4DA4-A222-2FF7284E7F7D}" name="Column13891" dataDxfId="2463"/>
    <tableColumn id="13940" xr3:uid="{32F18738-081A-420C-ACE8-57BC9AF0A2B0}" name="Column13892" dataDxfId="2462"/>
    <tableColumn id="13941" xr3:uid="{815CAB97-02AD-45BF-AF4E-32B498950E13}" name="Column13893" dataDxfId="2461"/>
    <tableColumn id="13942" xr3:uid="{8264100D-181C-49A5-8B3D-89F49202E455}" name="Column13894" dataDxfId="2460"/>
    <tableColumn id="13943" xr3:uid="{A6CF9141-7D1C-4390-B317-67404DE0BA9A}" name="Column13895" dataDxfId="2459"/>
    <tableColumn id="13944" xr3:uid="{922A0620-92EC-42A5-ACFA-AEF5155C7FC3}" name="Column13896" dataDxfId="2458"/>
    <tableColumn id="13945" xr3:uid="{EB7BCED1-B4D9-4950-991F-8CC0F8EC122A}" name="Column13897" dataDxfId="2457"/>
    <tableColumn id="13946" xr3:uid="{A62A3FC7-184C-4E82-8817-96256E634DEB}" name="Column13898" dataDxfId="2456"/>
    <tableColumn id="13947" xr3:uid="{7E19D613-C6F5-421A-B8B5-B3161CB8D481}" name="Column13899" dataDxfId="2455"/>
    <tableColumn id="13948" xr3:uid="{2D6CBC68-F812-46D3-9F0C-DB94C8917598}" name="Column13900" dataDxfId="2454"/>
    <tableColumn id="13949" xr3:uid="{04A60014-0C5F-4779-9104-300CEFF779C0}" name="Column13901" dataDxfId="2453"/>
    <tableColumn id="13950" xr3:uid="{C77940E2-9A63-49C0-8433-62070535904F}" name="Column13902" dataDxfId="2452"/>
    <tableColumn id="13951" xr3:uid="{13D939CE-512F-40B8-AFBB-0481C18D2513}" name="Column13903" dataDxfId="2451"/>
    <tableColumn id="13952" xr3:uid="{47A70FE2-3F4B-4D7F-A3AB-F122DD77AFD6}" name="Column13904" dataDxfId="2450"/>
    <tableColumn id="13953" xr3:uid="{EB349566-3255-449B-9F5C-F0CC2C6A91AE}" name="Column13905" dataDxfId="2449"/>
    <tableColumn id="13954" xr3:uid="{5E4F3766-F100-41DD-BC5B-2C616BE2BCB7}" name="Column13906" dataDxfId="2448"/>
    <tableColumn id="13955" xr3:uid="{036339C4-2BB7-477B-8E37-20A7BC7E389F}" name="Column13907" dataDxfId="2447"/>
    <tableColumn id="13956" xr3:uid="{271BF3EE-BC74-4124-A98D-008DEB61D8C6}" name="Column13908" dataDxfId="2446"/>
    <tableColumn id="13957" xr3:uid="{83A8122E-053D-4A2E-A33B-384ABA036E51}" name="Column13909" dataDxfId="2445"/>
    <tableColumn id="13958" xr3:uid="{FCC7D349-19E1-4F74-95A3-3747CCF3423B}" name="Column13910" dataDxfId="2444"/>
    <tableColumn id="13959" xr3:uid="{686959C5-2B84-40CE-A83A-33D5B1CAAB08}" name="Column13911" dataDxfId="2443"/>
    <tableColumn id="13960" xr3:uid="{28535552-E100-463A-884B-C0C7EFF252BC}" name="Column13912" dataDxfId="2442"/>
    <tableColumn id="13961" xr3:uid="{7CF2843E-29C0-43E5-91D8-D45C9F506A1D}" name="Column13913" dataDxfId="2441"/>
    <tableColumn id="13962" xr3:uid="{E49EEE5D-69F2-4B89-9FCB-D7D580645FA9}" name="Column13914" dataDxfId="2440"/>
    <tableColumn id="13963" xr3:uid="{A043B84B-7E33-4D9B-919A-13F13E483FE8}" name="Column13915" dataDxfId="2439"/>
    <tableColumn id="13964" xr3:uid="{948868DA-1345-424C-A501-E063D662554D}" name="Column13916" dataDxfId="2438"/>
    <tableColumn id="13965" xr3:uid="{23524CF9-6F12-4EDF-8FC2-AC73CB0DB067}" name="Column13917" dataDxfId="2437"/>
    <tableColumn id="13966" xr3:uid="{FF591734-3AC1-4DB5-BADE-A6D11DAFC4B2}" name="Column13918" dataDxfId="2436"/>
    <tableColumn id="13967" xr3:uid="{8749A872-4B4C-4C49-B4E8-AAB7A4FF33D1}" name="Column13919" dataDxfId="2435"/>
    <tableColumn id="13968" xr3:uid="{EF43EB3C-8B89-42C9-822A-8150955A404E}" name="Column13920" dataDxfId="2434"/>
    <tableColumn id="13969" xr3:uid="{B43E71B8-6A6F-405E-BAE9-50CB32268E11}" name="Column13921" dataDxfId="2433"/>
    <tableColumn id="13970" xr3:uid="{234469C0-2F3B-439A-B09A-C01132A990E4}" name="Column13922" dataDxfId="2432"/>
    <tableColumn id="13971" xr3:uid="{263D9D31-4E7B-46D5-84AA-8E34245EFBEC}" name="Column13923" dataDxfId="2431"/>
    <tableColumn id="13972" xr3:uid="{E7ED039E-8326-440F-8C1D-C4DF70539657}" name="Column13924" dataDxfId="2430"/>
    <tableColumn id="13973" xr3:uid="{8A392738-53EB-4E47-BE3D-75CC93A5C82E}" name="Column13925" dataDxfId="2429"/>
    <tableColumn id="13974" xr3:uid="{7AD20E3B-2CE2-4B12-A35D-0A254D45BB09}" name="Column13926" dataDxfId="2428"/>
    <tableColumn id="13975" xr3:uid="{AF3B1638-4A95-4DDD-833A-0AA9F00466A7}" name="Column13927" dataDxfId="2427"/>
    <tableColumn id="13976" xr3:uid="{516EFEC2-78C5-4D0E-A69D-7FD6B0BFD360}" name="Column13928" dataDxfId="2426"/>
    <tableColumn id="13977" xr3:uid="{79CCFDBF-6694-4356-9151-B54604A25F1B}" name="Column13929" dataDxfId="2425"/>
    <tableColumn id="13978" xr3:uid="{2ABCAD87-AC3F-43A4-8067-81EF70EA87DA}" name="Column13930" dataDxfId="2424"/>
    <tableColumn id="13979" xr3:uid="{90D6074F-716B-452B-A84B-60AFEB1C2270}" name="Column13931" dataDxfId="2423"/>
    <tableColumn id="13980" xr3:uid="{70BD2BE1-EFDD-4281-BF25-30B16D2B1924}" name="Column13932" dataDxfId="2422"/>
    <tableColumn id="13981" xr3:uid="{9F6EE1BC-2734-479F-85AF-8D7507004F1C}" name="Column13933" dataDxfId="2421"/>
    <tableColumn id="13982" xr3:uid="{2301497C-7D3B-4534-A262-79114E3DC296}" name="Column13934" dataDxfId="2420"/>
    <tableColumn id="13983" xr3:uid="{97601764-F4C4-42E0-8A87-304E98A9353A}" name="Column13935" dataDxfId="2419"/>
    <tableColumn id="13984" xr3:uid="{9B3AA72F-E230-45B4-8991-6A5E8444D2E8}" name="Column13936" dataDxfId="2418"/>
    <tableColumn id="13985" xr3:uid="{1039E11E-FBDA-4736-ADC1-4F17B26F62DA}" name="Column13937" dataDxfId="2417"/>
    <tableColumn id="13986" xr3:uid="{7D650F6B-62F2-4949-BC39-B8FEFCD21118}" name="Column13938" dataDxfId="2416"/>
    <tableColumn id="13987" xr3:uid="{A24AEDDB-F5D4-4BE8-9BFA-B20558D87B10}" name="Column13939" dataDxfId="2415"/>
    <tableColumn id="13988" xr3:uid="{E7821ECC-AEBB-4C16-92F7-736C3478D0CB}" name="Column13940" dataDxfId="2414"/>
    <tableColumn id="13989" xr3:uid="{EBC499A4-E603-4910-9B96-6A4123B4DFC2}" name="Column13941" dataDxfId="2413"/>
    <tableColumn id="13990" xr3:uid="{DB3D6434-6535-43BD-81E2-2211F615D726}" name="Column13942" dataDxfId="2412"/>
    <tableColumn id="13991" xr3:uid="{A9FA55AB-A8D3-4FE7-A511-9D4DAEC99B1C}" name="Column13943" dataDxfId="2411"/>
    <tableColumn id="13992" xr3:uid="{D179BAE5-6C1D-4A2B-8182-865164E5B2FC}" name="Column13944" dataDxfId="2410"/>
    <tableColumn id="13993" xr3:uid="{6A4C69EB-D0E8-457F-BA6F-9DF86CDDC5C5}" name="Column13945" dataDxfId="2409"/>
    <tableColumn id="13994" xr3:uid="{6782C1E5-7749-4450-8A24-4443BA0AF7A3}" name="Column13946" dataDxfId="2408"/>
    <tableColumn id="13995" xr3:uid="{4F2DA2CC-9ABD-4A36-BC7F-DA6E604C59FF}" name="Column13947" dataDxfId="2407"/>
    <tableColumn id="13996" xr3:uid="{B32C9A38-339B-4F31-AB4D-6046D10CC1C3}" name="Column13948" dataDxfId="2406"/>
    <tableColumn id="13997" xr3:uid="{5FC573B3-6A8F-4396-A7D2-2BECF52F7879}" name="Column13949" dataDxfId="2405"/>
    <tableColumn id="13998" xr3:uid="{4C6125A2-521B-49A9-B124-E1D2C121DDA9}" name="Column13950" dataDxfId="2404"/>
    <tableColumn id="13999" xr3:uid="{A065FECA-4548-4A21-B1C0-5FAA019D20C6}" name="Column13951" dataDxfId="2403"/>
    <tableColumn id="14000" xr3:uid="{D637D949-DCFA-4BDD-BB27-B3264DE32D48}" name="Column13952" dataDxfId="2402"/>
    <tableColumn id="14001" xr3:uid="{F2F3D05B-35CF-4DBD-A464-2BDBABDFB8EF}" name="Column13953" dataDxfId="2401"/>
    <tableColumn id="14002" xr3:uid="{FDD02552-A603-4950-B155-2A3DD6611C72}" name="Column13954" dataDxfId="2400"/>
    <tableColumn id="14003" xr3:uid="{92BC5134-178E-444E-9385-4B6457C97A25}" name="Column13955" dataDxfId="2399"/>
    <tableColumn id="14004" xr3:uid="{9C59C300-9338-4240-9857-B2F154EC9AC6}" name="Column13956" dataDxfId="2398"/>
    <tableColumn id="14005" xr3:uid="{EBB10ADB-03FD-444C-8700-F4FA8B18486E}" name="Column13957" dataDxfId="2397"/>
    <tableColumn id="14006" xr3:uid="{6F72C7F0-6AE1-4083-A96B-3D7216BFC6E5}" name="Column13958" dataDxfId="2396"/>
    <tableColumn id="14007" xr3:uid="{B5668F69-F7FE-44F6-8A04-EABDE4E2EA3A}" name="Column13959" dataDxfId="2395"/>
    <tableColumn id="14008" xr3:uid="{9B492535-EE98-4996-A332-43CE94AD6EFA}" name="Column13960" dataDxfId="2394"/>
    <tableColumn id="14009" xr3:uid="{EB58C02C-2E46-4CEA-8BAE-EC8C2692DA81}" name="Column13961" dataDxfId="2393"/>
    <tableColumn id="14010" xr3:uid="{4BC14B3F-914D-4377-B104-4CDB4E5DC666}" name="Column13962" dataDxfId="2392"/>
    <tableColumn id="14011" xr3:uid="{D74D736F-2ED7-4A78-B366-C17F0C085375}" name="Column13963" dataDxfId="2391"/>
    <tableColumn id="14012" xr3:uid="{11743DC9-F149-4FCD-A728-E0DDE1BBD176}" name="Column13964" dataDxfId="2390"/>
    <tableColumn id="14013" xr3:uid="{A526E64B-415C-464A-BD34-7F1950896BCC}" name="Column13965" dataDxfId="2389"/>
    <tableColumn id="14014" xr3:uid="{E9244C5E-86DE-4747-9D6E-F93678BDE025}" name="Column13966" dataDxfId="2388"/>
    <tableColumn id="14015" xr3:uid="{AE747A57-E8A4-41B6-BB73-3DFB59F889D1}" name="Column13967" dataDxfId="2387"/>
    <tableColumn id="14016" xr3:uid="{20590A82-EE4D-4401-89C5-C5F1B70D835E}" name="Column13968" dataDxfId="2386"/>
    <tableColumn id="14017" xr3:uid="{D222B755-A3E6-44BE-8CFB-ED7A372D49AB}" name="Column13969" dataDxfId="2385"/>
    <tableColumn id="14018" xr3:uid="{8A544D3C-5104-4760-90CC-FE1777E927EC}" name="Column13970" dataDxfId="2384"/>
    <tableColumn id="14019" xr3:uid="{D251079F-5A82-44CA-BF41-A973AD83A711}" name="Column13971" dataDxfId="2383"/>
    <tableColumn id="14020" xr3:uid="{5B82E762-0BE8-48A9-9196-FB7A09995388}" name="Column13972" dataDxfId="2382"/>
    <tableColumn id="14021" xr3:uid="{909EE20F-9626-4B52-AFA7-52016AC8AE31}" name="Column13973" dataDxfId="2381"/>
    <tableColumn id="14022" xr3:uid="{3136CE39-4217-4680-A726-2924AC49C977}" name="Column13974" dataDxfId="2380"/>
    <tableColumn id="14023" xr3:uid="{98045274-375D-4FB9-8204-6CA95D2F85CE}" name="Column13975" dataDxfId="2379"/>
    <tableColumn id="14024" xr3:uid="{896BF911-414C-47B7-A74B-3881A78B69F7}" name="Column13976" dataDxfId="2378"/>
    <tableColumn id="14025" xr3:uid="{F3C05EA5-628D-4A07-84A5-F038A08378D7}" name="Column13977" dataDxfId="2377"/>
    <tableColumn id="14026" xr3:uid="{6BF0C3AC-AF43-487B-B20B-9D0D9A055CE4}" name="Column13978" dataDxfId="2376"/>
    <tableColumn id="14027" xr3:uid="{A08C522D-3273-404D-9AF3-321272284543}" name="Column13979" dataDxfId="2375"/>
    <tableColumn id="14028" xr3:uid="{1BE22F96-98F1-4A52-A55C-F9F788F5D6A9}" name="Column13980" dataDxfId="2374"/>
    <tableColumn id="14029" xr3:uid="{B5831BC5-C1FF-492E-8528-9EFF864E13D8}" name="Column13981" dataDxfId="2373"/>
    <tableColumn id="14030" xr3:uid="{7E8285EA-C56F-4FEA-9D5E-89355D463D5F}" name="Column13982" dataDxfId="2372"/>
    <tableColumn id="14031" xr3:uid="{AF21AE76-6FE1-49C6-A975-23B892A3235E}" name="Column13983" dataDxfId="2371"/>
    <tableColumn id="14032" xr3:uid="{91F6B9E9-91D1-482C-B37E-E3F9BE0216F0}" name="Column13984" dataDxfId="2370"/>
    <tableColumn id="14033" xr3:uid="{475E1CA5-B47A-43A7-96A6-B5B1262D06EA}" name="Column13985" dataDxfId="2369"/>
    <tableColumn id="14034" xr3:uid="{B93F76E1-0086-4CF1-89AF-9D5762586B7F}" name="Column13986" dataDxfId="2368"/>
    <tableColumn id="14035" xr3:uid="{1280E895-567F-45EC-B3C1-C23200476F3E}" name="Column13987" dataDxfId="2367"/>
    <tableColumn id="14036" xr3:uid="{3038EF12-1FBB-4792-B44F-BF66ACB6DDE4}" name="Column13988" dataDxfId="2366"/>
    <tableColumn id="14037" xr3:uid="{727FCE7D-EFB8-403E-8DA8-61DD4B4F11A7}" name="Column13989" dataDxfId="2365"/>
    <tableColumn id="14038" xr3:uid="{3811F66C-0780-4E76-8E6F-5079C08D58E7}" name="Column13990" dataDxfId="2364"/>
    <tableColumn id="14039" xr3:uid="{000407FF-F797-4D07-ADC7-0D407D3FD9D2}" name="Column13991" dataDxfId="2363"/>
    <tableColumn id="14040" xr3:uid="{9C57DC37-0AAF-4A3F-A0D8-B7101BE67DB6}" name="Column13992" dataDxfId="2362"/>
    <tableColumn id="14041" xr3:uid="{F0621F7B-72BD-4C27-B1CD-839B61EFE7D3}" name="Column13993" dataDxfId="2361"/>
    <tableColumn id="14042" xr3:uid="{CC0CCA15-25A4-4487-B646-8755B88D38A5}" name="Column13994" dataDxfId="2360"/>
    <tableColumn id="14043" xr3:uid="{72FD7054-DC64-4070-8E76-0BFE55A73C5A}" name="Column13995" dataDxfId="2359"/>
    <tableColumn id="14044" xr3:uid="{FBCBAA98-B258-4F71-86EA-F00B3577000E}" name="Column13996" dataDxfId="2358"/>
    <tableColumn id="14045" xr3:uid="{8B54B9C4-4BB7-4691-81FC-C877ED919266}" name="Column13997" dataDxfId="2357"/>
    <tableColumn id="14046" xr3:uid="{CADA6DDA-6309-4A09-BBA0-D9BC877810FC}" name="Column13998" dataDxfId="2356"/>
    <tableColumn id="14047" xr3:uid="{EAAB31E6-0E23-496F-B679-2F5843CAEDCA}" name="Column13999" dataDxfId="2355"/>
    <tableColumn id="14048" xr3:uid="{6EEC32C2-BE9B-4F6B-807B-02349102FAFD}" name="Column14000" dataDxfId="2354"/>
    <tableColumn id="14049" xr3:uid="{BBA734DE-56B8-455C-8173-E0D80A514B46}" name="Column14001" dataDxfId="2353"/>
    <tableColumn id="14050" xr3:uid="{F3F160F4-4141-4570-832F-5B12FD349BBE}" name="Column14002" dataDxfId="2352"/>
    <tableColumn id="14051" xr3:uid="{7A16C781-FB3E-4772-A334-E90468899B97}" name="Column14003" dataDxfId="2351"/>
    <tableColumn id="14052" xr3:uid="{ECF4FD0B-EC06-466D-B2DC-17887DC26F3A}" name="Column14004" dataDxfId="2350"/>
    <tableColumn id="14053" xr3:uid="{B486F8B8-4121-437C-A72D-8A718987B3E6}" name="Column14005" dataDxfId="2349"/>
    <tableColumn id="14054" xr3:uid="{D790ADE0-E648-4790-A1CF-283273AD0547}" name="Column14006" dataDxfId="2348"/>
    <tableColumn id="14055" xr3:uid="{23996B11-C0A7-4CFA-AC61-72D9F93B5847}" name="Column14007" dataDxfId="2347"/>
    <tableColumn id="14056" xr3:uid="{BE961B32-869D-43C7-AF74-B99A23962CEE}" name="Column14008" dataDxfId="2346"/>
    <tableColumn id="14057" xr3:uid="{4B0218E3-1D9D-42A3-ADA4-8736E5702D9E}" name="Column14009" dataDxfId="2345"/>
    <tableColumn id="14058" xr3:uid="{66264D0D-D4A1-414E-9BAB-3645E284506E}" name="Column14010" dataDxfId="2344"/>
    <tableColumn id="14059" xr3:uid="{BBFD9B7E-1CF0-4B34-B7DA-21ABF62E201B}" name="Column14011" dataDxfId="2343"/>
    <tableColumn id="14060" xr3:uid="{55B6A71A-D1C2-44D9-BB1F-5952F299F003}" name="Column14012" dataDxfId="2342"/>
    <tableColumn id="14061" xr3:uid="{D8F0A027-AECD-4477-AE9F-E02BABE2893C}" name="Column14013" dataDxfId="2341"/>
    <tableColumn id="14062" xr3:uid="{73C6D93E-A165-4130-8034-96EDD258E324}" name="Column14014" dataDxfId="2340"/>
    <tableColumn id="14063" xr3:uid="{70EC754A-3F68-4EFB-B393-C072D39EFB3C}" name="Column14015" dataDxfId="2339"/>
    <tableColumn id="14064" xr3:uid="{BC98488A-C59B-4CE5-9CDD-7391ED6CDCF6}" name="Column14016" dataDxfId="2338"/>
    <tableColumn id="14065" xr3:uid="{18AE78DF-2867-41F0-947D-3DEAC028BDC7}" name="Column14017" dataDxfId="2337"/>
    <tableColumn id="14066" xr3:uid="{98CB1882-40D9-4D54-B48C-E149AF982E6A}" name="Column14018" dataDxfId="2336"/>
    <tableColumn id="14067" xr3:uid="{BCCE6DBE-3AFA-406D-8AC7-45A2F8251BE1}" name="Column14019" dataDxfId="2335"/>
    <tableColumn id="14068" xr3:uid="{F1195F0C-3E6C-4D90-AF57-9B63B9369605}" name="Column14020" dataDxfId="2334"/>
    <tableColumn id="14069" xr3:uid="{CE2E3F3B-C313-42D2-827A-B6D19D529307}" name="Column14021" dataDxfId="2333"/>
    <tableColumn id="14070" xr3:uid="{27A7CFF5-7A5F-44A4-8A45-F02327C6CF95}" name="Column14022" dataDxfId="2332"/>
    <tableColumn id="14071" xr3:uid="{6FD17E99-B7DB-4BC7-93DD-A16081D9198D}" name="Column14023" dataDxfId="2331"/>
    <tableColumn id="14072" xr3:uid="{048B9C10-EF41-41B8-8F3F-9276DA383520}" name="Column14024" dataDxfId="2330"/>
    <tableColumn id="14073" xr3:uid="{B0303AFD-A88E-4C84-B72A-C8BBBBA4FC76}" name="Column14025" dataDxfId="2329"/>
    <tableColumn id="14074" xr3:uid="{3A35185D-57BA-4D8A-AEA8-3DAB42639190}" name="Column14026" dataDxfId="2328"/>
    <tableColumn id="14075" xr3:uid="{91E503A0-322D-47F1-B35F-23B076CE1F8B}" name="Column14027" dataDxfId="2327"/>
    <tableColumn id="14076" xr3:uid="{CF59C804-203A-40BC-B36D-C68E8379593B}" name="Column14028" dataDxfId="2326"/>
    <tableColumn id="14077" xr3:uid="{3669B104-D03D-402C-AB56-4DC4A6CC4EE3}" name="Column14029" dataDxfId="2325"/>
    <tableColumn id="14078" xr3:uid="{FC9B0690-E163-4A27-8D45-BBC3F2C3341B}" name="Column14030" dataDxfId="2324"/>
    <tableColumn id="14079" xr3:uid="{93DDC920-1E32-4D28-BDD0-A7676CBE1523}" name="Column14031" dataDxfId="2323"/>
    <tableColumn id="14080" xr3:uid="{2E3D350C-0505-4F0B-AA98-463A4BEF76DC}" name="Column14032" dataDxfId="2322"/>
    <tableColumn id="14081" xr3:uid="{B955053D-6598-4DD4-BC22-C3B47177A2B8}" name="Column14033" dataDxfId="2321"/>
    <tableColumn id="14082" xr3:uid="{9CA6DD6E-4A54-4552-B457-1408CDE46BF8}" name="Column14034" dataDxfId="2320"/>
    <tableColumn id="14083" xr3:uid="{8BD63B1A-B2A5-4C72-B63B-CED7389B8C2D}" name="Column14035" dataDxfId="2319"/>
    <tableColumn id="14084" xr3:uid="{04CDB3B3-9D60-460D-B23E-94267E319808}" name="Column14036" dataDxfId="2318"/>
    <tableColumn id="14085" xr3:uid="{044EDB85-E64C-4C19-8078-8E4EC8C92988}" name="Column14037" dataDxfId="2317"/>
    <tableColumn id="14086" xr3:uid="{BDBF88C0-6000-4DE7-9BAD-3050151977E0}" name="Column14038" dataDxfId="2316"/>
    <tableColumn id="14087" xr3:uid="{86F03418-812A-404D-9AE5-FE437BB7D833}" name="Column14039" dataDxfId="2315"/>
    <tableColumn id="14088" xr3:uid="{603A8DC1-E292-4CD1-ABA8-462418505616}" name="Column14040" dataDxfId="2314"/>
    <tableColumn id="14089" xr3:uid="{9C3567D4-A61E-4FE9-B814-83EEE6F83DBB}" name="Column14041" dataDxfId="2313"/>
    <tableColumn id="14090" xr3:uid="{37E58886-B435-414B-A1CC-6853261F30CB}" name="Column14042" dataDxfId="2312"/>
    <tableColumn id="14091" xr3:uid="{E67F357B-8F71-40D8-AB89-CBE70DE054BA}" name="Column14043" dataDxfId="2311"/>
    <tableColumn id="14092" xr3:uid="{7BAC3C19-354A-40EC-BAC6-99D771C98A8A}" name="Column14044" dataDxfId="2310"/>
    <tableColumn id="14093" xr3:uid="{706EC40E-559C-4944-ADE2-0FDF26386359}" name="Column14045" dataDxfId="2309"/>
    <tableColumn id="14094" xr3:uid="{479F0C84-64F0-44FB-A690-BFCDA5B353C8}" name="Column14046" dataDxfId="2308"/>
    <tableColumn id="14095" xr3:uid="{634AEAF1-B8CC-4A73-ABDA-EFECD2843C09}" name="Column14047" dataDxfId="2307"/>
    <tableColumn id="14096" xr3:uid="{4DBC99FD-6834-46A8-A78B-7AECF40D964D}" name="Column14048" dataDxfId="2306"/>
    <tableColumn id="14097" xr3:uid="{4A9754F4-E4D1-4E3D-BFB9-02522F91CC9E}" name="Column14049" dataDxfId="2305"/>
    <tableColumn id="14098" xr3:uid="{2644324A-001A-47F5-81F7-DCCD4A90BA73}" name="Column14050" dataDxfId="2304"/>
    <tableColumn id="14099" xr3:uid="{9F645C75-78B6-4E06-A30E-D3F4BE19848F}" name="Column14051" dataDxfId="2303"/>
    <tableColumn id="14100" xr3:uid="{B3D0FE63-9F3A-4FA9-A3B3-A8A0792641DA}" name="Column14052" dataDxfId="2302"/>
    <tableColumn id="14101" xr3:uid="{D0050F11-3E0C-427B-9E3D-DA30C40DEF2E}" name="Column14053" dataDxfId="2301"/>
    <tableColumn id="14102" xr3:uid="{9AB009CE-3F24-4CB8-97AE-0DC7BDB7AA9E}" name="Column14054" dataDxfId="2300"/>
    <tableColumn id="14103" xr3:uid="{77F52E4E-000E-4F61-9083-F512EF006144}" name="Column14055" dataDxfId="2299"/>
    <tableColumn id="14104" xr3:uid="{5E41720A-F2AE-424B-95AB-68F1427B09B0}" name="Column14056" dataDxfId="2298"/>
    <tableColumn id="14105" xr3:uid="{BF94C639-5756-49A7-9E59-10BFD9A3386A}" name="Column14057" dataDxfId="2297"/>
    <tableColumn id="14106" xr3:uid="{80062061-B0A4-4E0A-ACB8-228BD9CC38FD}" name="Column14058" dataDxfId="2296"/>
    <tableColumn id="14107" xr3:uid="{035AFE3E-CBC6-4B87-97C4-23D82AAC63C2}" name="Column14059" dataDxfId="2295"/>
    <tableColumn id="14108" xr3:uid="{DE590ACD-21E8-4175-BCD7-5D84AE3BC37B}" name="Column14060" dataDxfId="2294"/>
    <tableColumn id="14109" xr3:uid="{48AC6A84-95ED-45A0-A9A1-10B8F4A3CCDC}" name="Column14061" dataDxfId="2293"/>
    <tableColumn id="14110" xr3:uid="{1D23AC0C-2919-4D4C-BDA2-C14A2E6B355B}" name="Column14062" dataDxfId="2292"/>
    <tableColumn id="14111" xr3:uid="{FB0CE078-40CC-4B43-A506-A4B22BD4B58D}" name="Column14063" dataDxfId="2291"/>
    <tableColumn id="14112" xr3:uid="{F1FD6893-A062-4FE4-A2EC-856D35298DC3}" name="Column14064" dataDxfId="2290"/>
    <tableColumn id="14113" xr3:uid="{C4EAC90B-AD50-4472-B749-9907781FD89F}" name="Column14065" dataDxfId="2289"/>
    <tableColumn id="14114" xr3:uid="{AA7806FD-D27D-4DE1-A618-3B16A7596CD8}" name="Column14066" dataDxfId="2288"/>
    <tableColumn id="14115" xr3:uid="{89B5A96B-C657-4896-8CD5-BD1983660CD8}" name="Column14067" dataDxfId="2287"/>
    <tableColumn id="14116" xr3:uid="{4BCF0B4D-9C96-4284-91A9-09B987D7EEE1}" name="Column14068" dataDxfId="2286"/>
    <tableColumn id="14117" xr3:uid="{57D8C125-F1BF-4706-B979-B677DCF1A73B}" name="Column14069" dataDxfId="2285"/>
    <tableColumn id="14118" xr3:uid="{F478102A-73D0-4FB7-9A94-D897688BEC72}" name="Column14070" dataDxfId="2284"/>
    <tableColumn id="14119" xr3:uid="{8A53630D-7ADB-496E-BF22-321F0EAF4AC6}" name="Column14071" dataDxfId="2283"/>
    <tableColumn id="14120" xr3:uid="{364969C7-39A3-45C9-8E20-D5FB3C0B7DD4}" name="Column14072" dataDxfId="2282"/>
    <tableColumn id="14121" xr3:uid="{90BA88BF-0BA8-4910-B01B-A3FDE1A01561}" name="Column14073" dataDxfId="2281"/>
    <tableColumn id="14122" xr3:uid="{02715302-28FE-48E8-98A9-289EF2823188}" name="Column14074" dataDxfId="2280"/>
    <tableColumn id="14123" xr3:uid="{2B1EB51C-8980-42FA-A3B7-7DB7BF319A8E}" name="Column14075" dataDxfId="2279"/>
    <tableColumn id="14124" xr3:uid="{95DE2DB2-3681-424D-9E5E-96AC25021822}" name="Column14076" dataDxfId="2278"/>
    <tableColumn id="14125" xr3:uid="{42AEB501-3C8F-4379-8C91-F05DD673E382}" name="Column14077" dataDxfId="2277"/>
    <tableColumn id="14126" xr3:uid="{4BF3279D-5616-4217-96EB-BC61AD52AF45}" name="Column14078" dataDxfId="2276"/>
    <tableColumn id="14127" xr3:uid="{144F5FC5-9F19-4D3E-A5E0-D2F262FAF532}" name="Column14079" dataDxfId="2275"/>
    <tableColumn id="14128" xr3:uid="{D5A3E610-7335-48EB-9F4D-74D4EE7D64F0}" name="Column14080" dataDxfId="2274"/>
    <tableColumn id="14129" xr3:uid="{8FC7AD49-82EC-4E01-B1CF-51F2B2A8F5BE}" name="Column14081" dataDxfId="2273"/>
    <tableColumn id="14130" xr3:uid="{987784CD-08BC-4416-B00B-181EF1E87CBC}" name="Column14082" dataDxfId="2272"/>
    <tableColumn id="14131" xr3:uid="{D2893192-D7BB-47AA-912E-061B9D7A4C46}" name="Column14083" dataDxfId="2271"/>
    <tableColumn id="14132" xr3:uid="{024E438F-CE99-456C-A408-90D791E7A6CA}" name="Column14084" dataDxfId="2270"/>
    <tableColumn id="14133" xr3:uid="{CD848335-61CD-43D5-B64C-6CF8864EB5C5}" name="Column14085" dataDxfId="2269"/>
    <tableColumn id="14134" xr3:uid="{BC950AAD-0E3D-4133-B743-83D784F5B2BC}" name="Column14086" dataDxfId="2268"/>
    <tableColumn id="14135" xr3:uid="{7E5CEB18-F7FB-4F7A-909E-1F14993124D4}" name="Column14087" dataDxfId="2267"/>
    <tableColumn id="14136" xr3:uid="{4D685241-F851-453D-BE15-D4ADD9F51C78}" name="Column14088" dataDxfId="2266"/>
    <tableColumn id="14137" xr3:uid="{E4B22730-648D-49DB-A477-1DDE6D1BB285}" name="Column14089" dataDxfId="2265"/>
    <tableColumn id="14138" xr3:uid="{D8D9CC0A-9939-48C9-997E-2CD09DFB70A3}" name="Column14090" dataDxfId="2264"/>
    <tableColumn id="14139" xr3:uid="{28635F79-7713-46BD-916D-29B8FC37A986}" name="Column14091" dataDxfId="2263"/>
    <tableColumn id="14140" xr3:uid="{A1BB8D03-2E50-4A9C-A1D4-05992701C1E6}" name="Column14092" dataDxfId="2262"/>
    <tableColumn id="14141" xr3:uid="{265AB545-5A07-4047-B606-7AA9987609CA}" name="Column14093" dataDxfId="2261"/>
    <tableColumn id="14142" xr3:uid="{5B23CC06-BA18-47D4-9EB5-562E0D864B0F}" name="Column14094" dataDxfId="2260"/>
    <tableColumn id="14143" xr3:uid="{6C718C4F-2CD2-45F1-8C72-BF5571D43300}" name="Column14095" dataDxfId="2259"/>
    <tableColumn id="14144" xr3:uid="{BE966583-0AC5-4080-A352-A25C342D32E4}" name="Column14096" dataDxfId="2258"/>
    <tableColumn id="14145" xr3:uid="{1CB75110-17C4-441E-8DBB-E91994AEAA28}" name="Column14097" dataDxfId="2257"/>
    <tableColumn id="14146" xr3:uid="{BB3B4B50-5674-4D15-95A6-D12429174693}" name="Column14098" dataDxfId="2256"/>
    <tableColumn id="14147" xr3:uid="{ACEBED0A-35C6-42EC-9BA2-4D3A5A5CEEB6}" name="Column14099" dataDxfId="2255"/>
    <tableColumn id="14148" xr3:uid="{4B472B60-1753-47F1-8674-A6426FBFB513}" name="Column14100" dataDxfId="2254"/>
    <tableColumn id="14149" xr3:uid="{57D3AB06-1655-41FD-8424-ED5EEF8B9A26}" name="Column14101" dataDxfId="2253"/>
    <tableColumn id="14150" xr3:uid="{BA13E89C-8B04-4365-AA35-A61B2D63FD9C}" name="Column14102" dataDxfId="2252"/>
    <tableColumn id="14151" xr3:uid="{D11D56D7-796A-4111-8FA4-6655160EFC6C}" name="Column14103" dataDxfId="2251"/>
    <tableColumn id="14152" xr3:uid="{EA018D01-C3C0-42C8-977D-452DFA2C58C7}" name="Column14104" dataDxfId="2250"/>
    <tableColumn id="14153" xr3:uid="{152207E1-1704-4324-B876-1E045E646235}" name="Column14105" dataDxfId="2249"/>
    <tableColumn id="14154" xr3:uid="{00D821F0-C5B0-490F-82BD-6E74BFF17862}" name="Column14106" dataDxfId="2248"/>
    <tableColumn id="14155" xr3:uid="{DF0AFF2B-84A7-4D6F-B27C-257926F050F7}" name="Column14107" dataDxfId="2247"/>
    <tableColumn id="14156" xr3:uid="{F716796F-9DF4-493D-98B7-49BF69FE8AC1}" name="Column14108" dataDxfId="2246"/>
    <tableColumn id="14157" xr3:uid="{BEBFC345-22B9-414B-88ED-B9C8ABFECA2F}" name="Column14109" dataDxfId="2245"/>
    <tableColumn id="14158" xr3:uid="{AB6543D5-6C21-4B89-AFE2-C2A8DC4BF209}" name="Column14110" dataDxfId="2244"/>
    <tableColumn id="14159" xr3:uid="{F2277FEC-D58D-4A23-9773-58AC8E3F0BCD}" name="Column14111" dataDxfId="2243"/>
    <tableColumn id="14160" xr3:uid="{96860970-3D78-4BCF-AEE9-D14D73326E76}" name="Column14112" dataDxfId="2242"/>
    <tableColumn id="14161" xr3:uid="{E17E5EB0-3B02-4B49-921D-AC961382247C}" name="Column14113" dataDxfId="2241"/>
    <tableColumn id="14162" xr3:uid="{8488BDBB-F94B-473A-A535-DDDBE1EC6BF8}" name="Column14114" dataDxfId="2240"/>
    <tableColumn id="14163" xr3:uid="{7B5F2B6F-2DE0-4055-8672-F4703DF945B1}" name="Column14115" dataDxfId="2239"/>
    <tableColumn id="14164" xr3:uid="{3E8A2C97-4186-4F14-A676-874CD0ABA2B1}" name="Column14116" dataDxfId="2238"/>
    <tableColumn id="14165" xr3:uid="{8F570BAD-6409-47CB-80D4-B6C21002EFCD}" name="Column14117" dataDxfId="2237"/>
    <tableColumn id="14166" xr3:uid="{4F30F69A-1BCC-419D-AD84-6CC44E4C4745}" name="Column14118" dataDxfId="2236"/>
    <tableColumn id="14167" xr3:uid="{3FF34520-188D-4BCC-AD1E-7501ACE3DD57}" name="Column14119" dataDxfId="2235"/>
    <tableColumn id="14168" xr3:uid="{D6429409-1DF0-4E6A-A3E2-4A88B9967041}" name="Column14120" dataDxfId="2234"/>
    <tableColumn id="14169" xr3:uid="{13F365E9-53D8-482D-92CF-66E473A568F1}" name="Column14121" dataDxfId="2233"/>
    <tableColumn id="14170" xr3:uid="{E7A6618C-8DA3-46D3-92A4-0CF64EDE10F3}" name="Column14122" dataDxfId="2232"/>
    <tableColumn id="14171" xr3:uid="{A9669041-1BA6-4817-8CB2-A2142E0E203B}" name="Column14123" dataDxfId="2231"/>
    <tableColumn id="14172" xr3:uid="{BB118210-EF54-4892-BE67-5AB27B142BFE}" name="Column14124" dataDxfId="2230"/>
    <tableColumn id="14173" xr3:uid="{37497439-215B-4DB2-9620-27F94EF840FD}" name="Column14125" dataDxfId="2229"/>
    <tableColumn id="14174" xr3:uid="{EAC898D4-8CD6-43B3-A544-28CFF47EE74D}" name="Column14126" dataDxfId="2228"/>
    <tableColumn id="14175" xr3:uid="{9AE3AAF0-0435-4EF6-8B2C-C593A947ABB1}" name="Column14127" dataDxfId="2227"/>
    <tableColumn id="14176" xr3:uid="{7CBAFBD1-E5DE-45A2-9953-E2B0032819E1}" name="Column14128" dataDxfId="2226"/>
    <tableColumn id="14177" xr3:uid="{AD31BAC4-2226-415A-8041-E17EFBEC4A53}" name="Column14129" dataDxfId="2225"/>
    <tableColumn id="14178" xr3:uid="{178AD9EC-FF55-4DD5-B2C1-10109B999376}" name="Column14130" dataDxfId="2224"/>
    <tableColumn id="14179" xr3:uid="{81787F8D-0328-41B5-B700-853C40F21767}" name="Column14131" dataDxfId="2223"/>
    <tableColumn id="14180" xr3:uid="{1D8C7125-5BBF-4C24-9D19-B54AAA8194B4}" name="Column14132" dataDxfId="2222"/>
    <tableColumn id="14181" xr3:uid="{48E15E3D-F479-42BD-830F-87567B61693B}" name="Column14133" dataDxfId="2221"/>
    <tableColumn id="14182" xr3:uid="{78BCDF8C-71CC-49F1-9E43-B57C0433A121}" name="Column14134" dataDxfId="2220"/>
    <tableColumn id="14183" xr3:uid="{A51F87D9-F1E0-4ACD-97D3-9884CEDB257C}" name="Column14135" dataDxfId="2219"/>
    <tableColumn id="14184" xr3:uid="{23494B32-65BC-49B4-9160-51A9D553EB09}" name="Column14136" dataDxfId="2218"/>
    <tableColumn id="14185" xr3:uid="{237CF595-92B2-4AAC-B051-0E19121294F0}" name="Column14137" dataDxfId="2217"/>
    <tableColumn id="14186" xr3:uid="{13C33C88-F415-4B0C-A1AC-9FFFA3FD24C7}" name="Column14138" dataDxfId="2216"/>
    <tableColumn id="14187" xr3:uid="{FC2C3F49-3B83-4BA6-957B-DB4BDC86FA5C}" name="Column14139" dataDxfId="2215"/>
    <tableColumn id="14188" xr3:uid="{3D6BC59B-EA69-47F3-9DFC-5253485BB645}" name="Column14140" dataDxfId="2214"/>
    <tableColumn id="14189" xr3:uid="{7D31DF16-06C5-4201-A86E-9BAF7D76C563}" name="Column14141" dataDxfId="2213"/>
    <tableColumn id="14190" xr3:uid="{438D1C6E-1EDD-4232-A976-E49C7FBF6D0C}" name="Column14142" dataDxfId="2212"/>
    <tableColumn id="14191" xr3:uid="{3F14AA3F-80A6-4564-A29B-8D4DFC1D2127}" name="Column14143" dataDxfId="2211"/>
    <tableColumn id="14192" xr3:uid="{3F7D2079-67A3-4B21-BD26-1C755EFF3E7F}" name="Column14144" dataDxfId="2210"/>
    <tableColumn id="14193" xr3:uid="{A3A6F8AB-9323-45AE-BC09-7D2F6BD0A7B5}" name="Column14145" dataDxfId="2209"/>
    <tableColumn id="14194" xr3:uid="{2B2F0661-1E7C-49B3-A3BD-47F40F0C4573}" name="Column14146" dataDxfId="2208"/>
    <tableColumn id="14195" xr3:uid="{9B3BE047-EA6A-441A-A789-7D6D094DFBDD}" name="Column14147" dataDxfId="2207"/>
    <tableColumn id="14196" xr3:uid="{05CA3AD3-17BE-4DD6-A9AD-A49F92651A4C}" name="Column14148" dataDxfId="2206"/>
    <tableColumn id="14197" xr3:uid="{94E7322F-7A0F-4892-A746-D50EBB7C81AD}" name="Column14149" dataDxfId="2205"/>
    <tableColumn id="14198" xr3:uid="{28F8ABF5-1C72-4853-84F5-EAAB18B2F6AB}" name="Column14150" dataDxfId="2204"/>
    <tableColumn id="14199" xr3:uid="{621B9E7D-D1A9-474F-A864-6C7AF50A1F57}" name="Column14151" dataDxfId="2203"/>
    <tableColumn id="14200" xr3:uid="{DDBE379F-75B6-427A-98F3-69A75F4EBF53}" name="Column14152" dataDxfId="2202"/>
    <tableColumn id="14201" xr3:uid="{A7B6B396-5782-4EC5-8B27-A112B84BA937}" name="Column14153" dataDxfId="2201"/>
    <tableColumn id="14202" xr3:uid="{14C2B72A-8C18-4A11-859E-61266958964B}" name="Column14154" dataDxfId="2200"/>
    <tableColumn id="14203" xr3:uid="{A449FEB5-50C2-45B1-BD10-1DB25E5204E4}" name="Column14155" dataDxfId="2199"/>
    <tableColumn id="14204" xr3:uid="{F65696FA-58BB-4532-BB33-5D1262C310FA}" name="Column14156" dataDxfId="2198"/>
    <tableColumn id="14205" xr3:uid="{1EC26C4A-EAA2-4E48-B81D-C9F38625C5C8}" name="Column14157" dataDxfId="2197"/>
    <tableColumn id="14206" xr3:uid="{232A6F38-DD61-47DD-9612-90E9BD1C2F5E}" name="Column14158" dataDxfId="2196"/>
    <tableColumn id="14207" xr3:uid="{C40F9856-803D-4D33-A553-161A22A83D77}" name="Column14159" dataDxfId="2195"/>
    <tableColumn id="14208" xr3:uid="{54DBE99F-BCFE-4B5F-9045-8DD497245BDD}" name="Column14160" dataDxfId="2194"/>
    <tableColumn id="14209" xr3:uid="{609CD13F-1C63-438D-AC50-6E59569BF671}" name="Column14161" dataDxfId="2193"/>
    <tableColumn id="14210" xr3:uid="{1C477ECC-0B19-4C7E-AA68-7DD9A442F2CC}" name="Column14162" dataDxfId="2192"/>
    <tableColumn id="14211" xr3:uid="{CDCAF3D1-ECE3-40D2-9D4C-26C7DCF01559}" name="Column14163" dataDxfId="2191"/>
    <tableColumn id="14212" xr3:uid="{48FED316-615F-447D-993F-6B001FB57013}" name="Column14164" dataDxfId="2190"/>
    <tableColumn id="14213" xr3:uid="{7CFC961C-E09D-4505-8DF1-781CD312287B}" name="Column14165" dataDxfId="2189"/>
    <tableColumn id="14214" xr3:uid="{29982057-9498-4483-B850-28A73174BDB9}" name="Column14166" dataDxfId="2188"/>
    <tableColumn id="14215" xr3:uid="{0332602A-640F-44AA-A7D0-CE95B9A2338F}" name="Column14167" dataDxfId="2187"/>
    <tableColumn id="14216" xr3:uid="{404971DB-2BF4-48DD-8C38-CBDA59DBDF5F}" name="Column14168" dataDxfId="2186"/>
    <tableColumn id="14217" xr3:uid="{98A54CAD-8C6E-4F6D-96AE-8490A492159A}" name="Column14169" dataDxfId="2185"/>
    <tableColumn id="14218" xr3:uid="{A9BC18AB-BD53-47F4-A412-48004CBF5F03}" name="Column14170" dataDxfId="2184"/>
    <tableColumn id="14219" xr3:uid="{38E3F2C2-A4BF-4853-908A-C2A11EEB4812}" name="Column14171" dataDxfId="2183"/>
    <tableColumn id="14220" xr3:uid="{EEDC1606-0BA3-4B17-A296-BE52998139DB}" name="Column14172" dataDxfId="2182"/>
    <tableColumn id="14221" xr3:uid="{08D3B161-5F9F-4E3E-A4D0-5194CFDA9C8D}" name="Column14173" dataDxfId="2181"/>
    <tableColumn id="14222" xr3:uid="{2B446FDF-7779-49DE-A0DB-B765E5C0F59C}" name="Column14174" dataDxfId="2180"/>
    <tableColumn id="14223" xr3:uid="{C6B17C53-6105-4907-90EB-5D42A980231B}" name="Column14175" dataDxfId="2179"/>
    <tableColumn id="14224" xr3:uid="{B0625E31-5821-417A-B4D6-E23915DD1039}" name="Column14176" dataDxfId="2178"/>
    <tableColumn id="14225" xr3:uid="{41956F04-428C-43C4-9586-E4C3AFC03928}" name="Column14177" dataDxfId="2177"/>
    <tableColumn id="14226" xr3:uid="{329DBA11-979E-4BCE-9CA4-D3199AAAF21D}" name="Column14178" dataDxfId="2176"/>
    <tableColumn id="14227" xr3:uid="{AD24AA89-E51E-41E6-9816-1AB4DE57406B}" name="Column14179" dataDxfId="2175"/>
    <tableColumn id="14228" xr3:uid="{3BD4C7BC-DBFE-4746-90C9-F6925F8018FA}" name="Column14180" dataDxfId="2174"/>
    <tableColumn id="14229" xr3:uid="{6AAEFD4D-2811-4E92-A3CE-1C795B2BB22C}" name="Column14181" dataDxfId="2173"/>
    <tableColumn id="14230" xr3:uid="{233B8EA1-9F6D-4EEF-B775-C201926F19E3}" name="Column14182" dataDxfId="2172"/>
    <tableColumn id="14231" xr3:uid="{FC2D8784-F883-47CD-B271-C5EB7F5CB546}" name="Column14183" dataDxfId="2171"/>
    <tableColumn id="14232" xr3:uid="{5D5C4632-63E6-4141-A6CE-2497EAE24DC1}" name="Column14184" dataDxfId="2170"/>
    <tableColumn id="14233" xr3:uid="{75F38FE1-A5A7-4D8D-8DE9-D447C3F86817}" name="Column14185" dataDxfId="2169"/>
    <tableColumn id="14234" xr3:uid="{7C3DC356-A7EE-45C0-8A98-DF853A1DACC9}" name="Column14186" dataDxfId="2168"/>
    <tableColumn id="14235" xr3:uid="{CDCA683C-1C16-4A46-AAA1-DE8BC42C93C9}" name="Column14187" dataDxfId="2167"/>
    <tableColumn id="14236" xr3:uid="{1C2B9C60-5124-41EC-A69A-CC66AA0BCAFB}" name="Column14188" dataDxfId="2166"/>
    <tableColumn id="14237" xr3:uid="{29610C9B-618A-4F09-9147-2621421E46B7}" name="Column14189" dataDxfId="2165"/>
    <tableColumn id="14238" xr3:uid="{C69C159D-08C4-45F1-9BBC-647EDD1186DB}" name="Column14190" dataDxfId="2164"/>
    <tableColumn id="14239" xr3:uid="{20FAF9B7-8BBE-48AA-8B24-432E69EC3058}" name="Column14191" dataDxfId="2163"/>
    <tableColumn id="14240" xr3:uid="{1DC3F0F9-E877-4671-BC35-906D3043E205}" name="Column14192" dataDxfId="2162"/>
    <tableColumn id="14241" xr3:uid="{7811464B-0E6D-48B6-BC4F-33E289D550C6}" name="Column14193" dataDxfId="2161"/>
    <tableColumn id="14242" xr3:uid="{2190B574-5406-4025-8B62-008D906144B9}" name="Column14194" dataDxfId="2160"/>
    <tableColumn id="14243" xr3:uid="{59195878-8821-496D-9409-E6AF7A1C12CB}" name="Column14195" dataDxfId="2159"/>
    <tableColumn id="14244" xr3:uid="{903DB5E4-FD0E-4F83-BF56-009C37DF1B54}" name="Column14196" dataDxfId="2158"/>
    <tableColumn id="14245" xr3:uid="{8308FC22-1C86-43A4-BB8F-2524F2D9FFD3}" name="Column14197" dataDxfId="2157"/>
    <tableColumn id="14246" xr3:uid="{6898332F-7AA4-4CC7-AE84-77D3945E3D3B}" name="Column14198" dataDxfId="2156"/>
    <tableColumn id="14247" xr3:uid="{4612C8F9-65DC-446F-8860-6EDCA0B5CF4B}" name="Column14199" dataDxfId="2155"/>
    <tableColumn id="14248" xr3:uid="{A2E0F10E-A54E-4EB5-98D6-E6D1A9C862D3}" name="Column14200" dataDxfId="2154"/>
    <tableColumn id="14249" xr3:uid="{AC3F010B-996E-4D23-A181-91ACA55B6334}" name="Column14201" dataDxfId="2153"/>
    <tableColumn id="14250" xr3:uid="{EB1EAF58-70F1-46E1-A5CC-7C57EA262C62}" name="Column14202" dataDxfId="2152"/>
    <tableColumn id="14251" xr3:uid="{BEC2FD49-1DCB-435A-AA8C-7081DFE79110}" name="Column14203" dataDxfId="2151"/>
    <tableColumn id="14252" xr3:uid="{E101C163-084B-41E5-A1F7-30D41E6759C6}" name="Column14204" dataDxfId="2150"/>
    <tableColumn id="14253" xr3:uid="{95ED7163-65F6-4477-998D-D1022B54E550}" name="Column14205" dataDxfId="2149"/>
    <tableColumn id="14254" xr3:uid="{F2D040CB-2216-469B-9895-ABD0FCDC386E}" name="Column14206" dataDxfId="2148"/>
    <tableColumn id="14255" xr3:uid="{4ABC597D-59AC-42C2-8C04-095423400DB7}" name="Column14207" dataDxfId="2147"/>
    <tableColumn id="14256" xr3:uid="{C8CE6C60-3521-4B74-BFC4-1467688DE975}" name="Column14208" dataDxfId="2146"/>
    <tableColumn id="14257" xr3:uid="{A7414379-17FA-452A-9D0B-87BA0A098E3E}" name="Column14209" dataDxfId="2145"/>
    <tableColumn id="14258" xr3:uid="{DD96F8EE-6156-44D0-B67A-8755852D7DAC}" name="Column14210" dataDxfId="2144"/>
    <tableColumn id="14259" xr3:uid="{B720AE0D-4B2C-4FC0-AFB4-BEFDB61BB25E}" name="Column14211" dataDxfId="2143"/>
    <tableColumn id="14260" xr3:uid="{F4F0799A-D981-4BF4-84ED-BD09FBD7531F}" name="Column14212" dataDxfId="2142"/>
    <tableColumn id="14261" xr3:uid="{B77886C6-3D4A-416B-A1D0-FA86B9372D7D}" name="Column14213" dataDxfId="2141"/>
    <tableColumn id="14262" xr3:uid="{CCF9D794-1433-48E5-A42B-0BA6BCE87F98}" name="Column14214" dataDxfId="2140"/>
    <tableColumn id="14263" xr3:uid="{36D0F25F-1DEC-46C1-849A-F72B65488773}" name="Column14215" dataDxfId="2139"/>
    <tableColumn id="14264" xr3:uid="{4434BC48-7A8E-48A8-A7B6-47D0F8B7DB18}" name="Column14216" dataDxfId="2138"/>
    <tableColumn id="14265" xr3:uid="{025A17AC-4D54-48F0-9E38-CDEC3C13463E}" name="Column14217" dataDxfId="2137"/>
    <tableColumn id="14266" xr3:uid="{58B30199-7960-478F-BB42-A910B261759B}" name="Column14218" dataDxfId="2136"/>
    <tableColumn id="14267" xr3:uid="{2A5C63CC-4B57-4813-8D60-6499D213D47E}" name="Column14219" dataDxfId="2135"/>
    <tableColumn id="14268" xr3:uid="{B784FB26-53A8-4AEC-92BC-8100C8BB37C1}" name="Column14220" dataDxfId="2134"/>
    <tableColumn id="14269" xr3:uid="{F98EED35-BFEE-4C25-9074-AC63BFFDB6EC}" name="Column14221" dataDxfId="2133"/>
    <tableColumn id="14270" xr3:uid="{93BB819B-FA1F-4E9A-995D-31AB62A8B588}" name="Column14222" dataDxfId="2132"/>
    <tableColumn id="14271" xr3:uid="{547BBCA7-40EF-4CA0-AC61-EC328D3FB962}" name="Column14223" dataDxfId="2131"/>
    <tableColumn id="14272" xr3:uid="{F4C95796-2F35-46FC-8329-558A79792426}" name="Column14224" dataDxfId="2130"/>
    <tableColumn id="14273" xr3:uid="{92418739-929E-414E-B7EF-98447A084556}" name="Column14225" dataDxfId="2129"/>
    <tableColumn id="14274" xr3:uid="{85FB41C4-5B29-4FDE-9B38-E0D2FA1D6011}" name="Column14226" dataDxfId="2128"/>
    <tableColumn id="14275" xr3:uid="{6FE9BFF9-6E45-4B24-A66C-BA8F8F84103D}" name="Column14227" dataDxfId="2127"/>
    <tableColumn id="14276" xr3:uid="{320C57B3-7345-4FF6-AD5F-85B635D9A9CC}" name="Column14228" dataDxfId="2126"/>
    <tableColumn id="14277" xr3:uid="{CEDC3A35-0B64-464C-A2A8-7DC43BBB9715}" name="Column14229" dataDxfId="2125"/>
    <tableColumn id="14278" xr3:uid="{37C6CE3E-6BD1-42CA-8840-1FEDEDE48C7D}" name="Column14230" dataDxfId="2124"/>
    <tableColumn id="14279" xr3:uid="{94185914-A150-43DC-98FD-1BA349766A85}" name="Column14231" dataDxfId="2123"/>
    <tableColumn id="14280" xr3:uid="{3A361D63-3C67-49D7-941C-0980B0340804}" name="Column14232" dataDxfId="2122"/>
    <tableColumn id="14281" xr3:uid="{E2CCECE4-DC63-4817-9EDE-02B8796192F0}" name="Column14233" dataDxfId="2121"/>
    <tableColumn id="14282" xr3:uid="{843F5546-E65D-4DB6-8B47-2DB3261326B3}" name="Column14234" dataDxfId="2120"/>
    <tableColumn id="14283" xr3:uid="{A109C99E-3D6F-4EC9-AC85-11376B3052DF}" name="Column14235" dataDxfId="2119"/>
    <tableColumn id="14284" xr3:uid="{40B54632-1C93-4222-A5EA-97A5010E641A}" name="Column14236" dataDxfId="2118"/>
    <tableColumn id="14285" xr3:uid="{A4D5F698-ED5B-4588-94D0-C1A3470A97DA}" name="Column14237" dataDxfId="2117"/>
    <tableColumn id="14286" xr3:uid="{1987D501-07B9-4705-A17E-59ACBBF37E13}" name="Column14238" dataDxfId="2116"/>
    <tableColumn id="14287" xr3:uid="{D3101396-1974-453D-9252-8ABEDB618D07}" name="Column14239" dataDxfId="2115"/>
    <tableColumn id="14288" xr3:uid="{4908AF71-94BE-477C-A9BF-B2C19491E549}" name="Column14240" dataDxfId="2114"/>
    <tableColumn id="14289" xr3:uid="{2F849F04-3C42-4ACA-B7E4-AB79F3FCEB38}" name="Column14241" dataDxfId="2113"/>
    <tableColumn id="14290" xr3:uid="{DBE79999-93BB-408F-A7FE-3554ECE957B8}" name="Column14242" dataDxfId="2112"/>
    <tableColumn id="14291" xr3:uid="{CD56CAE1-0215-4A87-891A-3F69AD2AB0D9}" name="Column14243" dataDxfId="2111"/>
    <tableColumn id="14292" xr3:uid="{7B9BB093-1F79-4907-AD98-A539CE02696C}" name="Column14244" dataDxfId="2110"/>
    <tableColumn id="14293" xr3:uid="{186CCC20-3C0D-46E5-9C43-7963D8D2C707}" name="Column14245" dataDxfId="2109"/>
    <tableColumn id="14294" xr3:uid="{29429F86-8FB5-4A4C-96D9-4E55BC99AAD6}" name="Column14246" dataDxfId="2108"/>
    <tableColumn id="14295" xr3:uid="{AD2A68B6-4B48-4BAA-B2DA-458EDA1F678F}" name="Column14247" dataDxfId="2107"/>
    <tableColumn id="14296" xr3:uid="{56645C24-6608-4E1A-8A9B-595D9F18DD20}" name="Column14248" dataDxfId="2106"/>
    <tableColumn id="14297" xr3:uid="{8AE5F73C-8A85-47AA-84DF-B986C81B8EB8}" name="Column14249" dataDxfId="2105"/>
    <tableColumn id="14298" xr3:uid="{4F542D14-335B-45D0-8188-6A4C41A530B9}" name="Column14250" dataDxfId="2104"/>
    <tableColumn id="14299" xr3:uid="{43B98789-1CD2-4612-B2CC-417E57169D55}" name="Column14251" dataDxfId="2103"/>
    <tableColumn id="14300" xr3:uid="{D80184BB-916F-4372-8D91-C79FF3163C70}" name="Column14252" dataDxfId="2102"/>
    <tableColumn id="14301" xr3:uid="{5CF825A5-43B1-4D1D-8665-CCCD37BC1833}" name="Column14253" dataDxfId="2101"/>
    <tableColumn id="14302" xr3:uid="{5896B048-31B5-40C9-A851-822AEEF7D507}" name="Column14254" dataDxfId="2100"/>
    <tableColumn id="14303" xr3:uid="{276ADB09-C5B9-41E6-BF2B-44D5FAA9EDBB}" name="Column14255" dataDxfId="2099"/>
    <tableColumn id="14304" xr3:uid="{F14DF326-F627-4330-B704-E270AC1AF6F7}" name="Column14256" dataDxfId="2098"/>
    <tableColumn id="14305" xr3:uid="{8E13BB25-043F-4318-8C1A-D218E52B38F8}" name="Column14257" dataDxfId="2097"/>
    <tableColumn id="14306" xr3:uid="{1111BEC5-92CA-4851-B0CA-049EC8EA5236}" name="Column14258" dataDxfId="2096"/>
    <tableColumn id="14307" xr3:uid="{FFBA53DA-E0DC-4C26-807B-6F30ABE8B6FA}" name="Column14259" dataDxfId="2095"/>
    <tableColumn id="14308" xr3:uid="{55A847EA-39D6-4143-BFDA-C52A63C790DD}" name="Column14260" dataDxfId="2094"/>
    <tableColumn id="14309" xr3:uid="{3B64DCB3-5B23-4216-AE96-E8A37939C2E2}" name="Column14261" dataDxfId="2093"/>
    <tableColumn id="14310" xr3:uid="{885B934C-24DA-4982-8553-C028AB46E76A}" name="Column14262" dataDxfId="2092"/>
    <tableColumn id="14311" xr3:uid="{3BF811F4-3F59-4EF4-9086-1BD22DF76231}" name="Column14263" dataDxfId="2091"/>
    <tableColumn id="14312" xr3:uid="{0F72DCEF-45F9-4ACD-BBED-D7DAFCADB933}" name="Column14264" dataDxfId="2090"/>
    <tableColumn id="14313" xr3:uid="{7BDCAD77-569A-431D-BEF4-55EBEF6BECD0}" name="Column14265" dataDxfId="2089"/>
    <tableColumn id="14314" xr3:uid="{A24325DE-112C-4F83-B786-F70525403ACF}" name="Column14266" dataDxfId="2088"/>
    <tableColumn id="14315" xr3:uid="{FFCDB6A3-77EF-4E7A-819E-5D2567FDA3B0}" name="Column14267" dataDxfId="2087"/>
    <tableColumn id="14316" xr3:uid="{8AB3948A-4DE4-45FA-AB6F-B6B1775EE5C4}" name="Column14268" dataDxfId="2086"/>
    <tableColumn id="14317" xr3:uid="{B2C845C6-C464-45ED-BA99-1247FE5B813C}" name="Column14269" dataDxfId="2085"/>
    <tableColumn id="14318" xr3:uid="{C7111EBC-9C8F-4973-B7E3-3DFC5946109B}" name="Column14270" dataDxfId="2084"/>
    <tableColumn id="14319" xr3:uid="{F7B8108B-79D3-452C-95AE-D36EE4E77428}" name="Column14271" dataDxfId="2083"/>
    <tableColumn id="14320" xr3:uid="{B02105CC-2A69-4D49-B783-AA955909CF65}" name="Column14272" dataDxfId="2082"/>
    <tableColumn id="14321" xr3:uid="{05652B0B-FF06-4D65-81A7-E395B1F38CDA}" name="Column14273" dataDxfId="2081"/>
    <tableColumn id="14322" xr3:uid="{7F89DE0E-7FA6-45D7-84F0-4909B62C393C}" name="Column14274" dataDxfId="2080"/>
    <tableColumn id="14323" xr3:uid="{98B5D81B-EB41-40E4-AD0A-4662797E49A7}" name="Column14275" dataDxfId="2079"/>
    <tableColumn id="14324" xr3:uid="{7CC46817-FA81-4DCF-A2C0-8C92F23587F9}" name="Column14276" dataDxfId="2078"/>
    <tableColumn id="14325" xr3:uid="{B63A0CC5-6186-4002-8CDF-AE975FFD5ECC}" name="Column14277" dataDxfId="2077"/>
    <tableColumn id="14326" xr3:uid="{0AF23F95-3EAC-4E2F-8085-22A39B436229}" name="Column14278" dataDxfId="2076"/>
    <tableColumn id="14327" xr3:uid="{41C0A2DB-C9D8-4B49-B094-E6BD907D00B5}" name="Column14279" dataDxfId="2075"/>
    <tableColumn id="14328" xr3:uid="{A690376A-5393-4A26-91CF-DC3C6417F562}" name="Column14280" dataDxfId="2074"/>
    <tableColumn id="14329" xr3:uid="{C180C2F3-1E34-4F86-8F77-ABAB29AE3569}" name="Column14281" dataDxfId="2073"/>
    <tableColumn id="14330" xr3:uid="{F371D994-6B99-4DA9-A050-8C59959191F8}" name="Column14282" dataDxfId="2072"/>
    <tableColumn id="14331" xr3:uid="{3E10BE63-37F7-41CC-A117-6FC52B0277C0}" name="Column14283" dataDxfId="2071"/>
    <tableColumn id="14332" xr3:uid="{82207CCC-22F8-4E11-A2DB-F3676DB80BC0}" name="Column14284" dataDxfId="2070"/>
    <tableColumn id="14333" xr3:uid="{99E945A8-FF6A-439C-A2E9-5ADD9809BB39}" name="Column14285" dataDxfId="2069"/>
    <tableColumn id="14334" xr3:uid="{ADA948A3-1B9A-46C4-84CA-BF3F74BB7C16}" name="Column14286" dataDxfId="2068"/>
    <tableColumn id="14335" xr3:uid="{074D1224-3B3F-42A3-B246-21908B421E9C}" name="Column14287" dataDxfId="2067"/>
    <tableColumn id="14336" xr3:uid="{01462D94-AA37-44A8-A219-FFA60682D252}" name="Column14288" dataDxfId="2066"/>
    <tableColumn id="14337" xr3:uid="{7705F587-0160-4CD3-9E8D-6B51D9F340CA}" name="Column14289" dataDxfId="2065"/>
    <tableColumn id="14338" xr3:uid="{E62D7D61-FA94-4C7D-B8E7-0AECB6EB3B96}" name="Column14290" dataDxfId="2064"/>
    <tableColumn id="14339" xr3:uid="{D9335C89-51A6-41F6-AFAC-E3D7C99530EC}" name="Column14291" dataDxfId="2063"/>
    <tableColumn id="14340" xr3:uid="{7E771BE1-09F4-4449-926B-43F33FE5C4CF}" name="Column14292" dataDxfId="2062"/>
    <tableColumn id="14341" xr3:uid="{5A7655EC-51C5-47AD-AD5A-53208B7195A0}" name="Column14293" dataDxfId="2061"/>
    <tableColumn id="14342" xr3:uid="{4C2C7AD2-9FC2-4446-A675-3071C6EE3E30}" name="Column14294" dataDxfId="2060"/>
    <tableColumn id="14343" xr3:uid="{F31D73A6-25E7-4A8C-A754-0D4CD5042E7D}" name="Column14295" dataDxfId="2059"/>
    <tableColumn id="14344" xr3:uid="{07560DAF-2F39-4BC8-B41B-CE42A7CAA8A4}" name="Column14296" dataDxfId="2058"/>
    <tableColumn id="14345" xr3:uid="{DBAE835B-105A-4110-BB57-2ED34442DD42}" name="Column14297" dataDxfId="2057"/>
    <tableColumn id="14346" xr3:uid="{8A91BA04-30D3-459B-A064-4A8BCB32BE66}" name="Column14298" dataDxfId="2056"/>
    <tableColumn id="14347" xr3:uid="{C95DA31B-DF49-4D66-AD38-078459BDC33E}" name="Column14299" dataDxfId="2055"/>
    <tableColumn id="14348" xr3:uid="{011CDA72-E36E-46E4-89B1-A0C04DC625AA}" name="Column14300" dataDxfId="2054"/>
    <tableColumn id="14349" xr3:uid="{869CD6AA-A20A-45D4-9AB0-6428C0F86EB9}" name="Column14301" dataDxfId="2053"/>
    <tableColumn id="14350" xr3:uid="{5857EB90-F879-4FA0-9EF5-E8C9CD10F493}" name="Column14302" dataDxfId="2052"/>
    <tableColumn id="14351" xr3:uid="{E89B1DED-6ABB-4690-9E68-DF89031D85D7}" name="Column14303" dataDxfId="2051"/>
    <tableColumn id="14352" xr3:uid="{84B6A11D-934F-41A9-A58C-4F4F45D25ED8}" name="Column14304" dataDxfId="2050"/>
    <tableColumn id="14353" xr3:uid="{989499BE-5560-4B1C-BAA8-C7C95506064F}" name="Column14305" dataDxfId="2049"/>
    <tableColumn id="14354" xr3:uid="{67761971-F5FE-442A-8C3D-6078C6765BF1}" name="Column14306" dataDxfId="2048"/>
    <tableColumn id="14355" xr3:uid="{1423C645-3D92-46DC-8275-149B894C7B65}" name="Column14307" dataDxfId="2047"/>
    <tableColumn id="14356" xr3:uid="{84E7177E-6B37-4EC6-9EB1-0E1629DA2E79}" name="Column14308" dataDxfId="2046"/>
    <tableColumn id="14357" xr3:uid="{A5C2DD84-2E60-480B-9C73-4D221AE9724A}" name="Column14309" dataDxfId="2045"/>
    <tableColumn id="14358" xr3:uid="{ABC39F3C-BD75-410C-8E43-8A62AC922B2B}" name="Column14310" dataDxfId="2044"/>
    <tableColumn id="14359" xr3:uid="{35604392-A21E-49EB-912C-74B07375564A}" name="Column14311" dataDxfId="2043"/>
    <tableColumn id="14360" xr3:uid="{4B44EC81-1B85-4B35-A85E-9D3224720662}" name="Column14312" dataDxfId="2042"/>
    <tableColumn id="14361" xr3:uid="{FCCF7396-1BD3-424A-82F2-A844EC92AB01}" name="Column14313" dataDxfId="2041"/>
    <tableColumn id="14362" xr3:uid="{4AA61F1D-17B6-4B1B-9984-C66587D3040D}" name="Column14314" dataDxfId="2040"/>
    <tableColumn id="14363" xr3:uid="{E7BB1DD9-22CA-442A-8BDF-040822CCDDA9}" name="Column14315" dataDxfId="2039"/>
    <tableColumn id="14364" xr3:uid="{77F9E3CB-124F-4391-A220-0B25E30D766D}" name="Column14316" dataDxfId="2038"/>
    <tableColumn id="14365" xr3:uid="{E14C6A69-80BE-4695-82E7-587A16F2B6CA}" name="Column14317" dataDxfId="2037"/>
    <tableColumn id="14366" xr3:uid="{7731861C-AFEA-40AD-8FA0-C66CE60C9270}" name="Column14318" dataDxfId="2036"/>
    <tableColumn id="14367" xr3:uid="{DD4B6A33-B572-497C-A84D-347809FEE6CD}" name="Column14319" dataDxfId="2035"/>
    <tableColumn id="14368" xr3:uid="{0502C741-CE84-49B9-BCE5-24EDA4D6F774}" name="Column14320" dataDxfId="2034"/>
    <tableColumn id="14369" xr3:uid="{85696A99-3CE6-4954-8A65-B07EC7B00D05}" name="Column14321" dataDxfId="2033"/>
    <tableColumn id="14370" xr3:uid="{50C01762-BFA5-4803-9A44-7F7CDA57CB23}" name="Column14322" dataDxfId="2032"/>
    <tableColumn id="14371" xr3:uid="{EC7369E2-211C-453F-9A21-25A73C80D33A}" name="Column14323" dataDxfId="2031"/>
    <tableColumn id="14372" xr3:uid="{20229D7B-F00A-474C-88AE-EE072C538318}" name="Column14324" dataDxfId="2030"/>
    <tableColumn id="14373" xr3:uid="{516F2A84-6B01-4101-89D1-761268A4E525}" name="Column14325" dataDxfId="2029"/>
    <tableColumn id="14374" xr3:uid="{4076F40B-CC3E-4041-906B-4F504A1DAF3F}" name="Column14326" dataDxfId="2028"/>
    <tableColumn id="14375" xr3:uid="{AD93AD57-A7CE-4D76-A672-402026810878}" name="Column14327" dataDxfId="2027"/>
    <tableColumn id="14376" xr3:uid="{97117747-F9DB-4DEC-9411-E36B02962B40}" name="Column14328" dataDxfId="2026"/>
    <tableColumn id="14377" xr3:uid="{4E77A414-21FD-4770-B6AF-FC63F802EDA4}" name="Column14329" dataDxfId="2025"/>
    <tableColumn id="14378" xr3:uid="{760486B3-C304-4A4F-8212-5FF92B70499A}" name="Column14330" dataDxfId="2024"/>
    <tableColumn id="14379" xr3:uid="{F98172DA-0877-4D38-B15A-0631AFB12702}" name="Column14331" dataDxfId="2023"/>
    <tableColumn id="14380" xr3:uid="{99F9EE14-9DC2-42DF-BD92-79EA755A5533}" name="Column14332" dataDxfId="2022"/>
    <tableColumn id="14381" xr3:uid="{ED6AD99D-AEA9-40C2-8354-B915884FF000}" name="Column14333" dataDxfId="2021"/>
    <tableColumn id="14382" xr3:uid="{6D185CEF-B691-459A-9C44-AA23C21AA4A2}" name="Column14334" dataDxfId="2020"/>
    <tableColumn id="14383" xr3:uid="{A6CBF61C-075F-4978-8AA2-7CF4144B6CD4}" name="Column14335" dataDxfId="2019"/>
    <tableColumn id="14384" xr3:uid="{255B3673-5941-4031-A60B-A9F7BD558FEF}" name="Column14336" dataDxfId="2018"/>
    <tableColumn id="14385" xr3:uid="{D9872211-D216-4026-8A4B-EA7A36DD4CA0}" name="Column14337" dataDxfId="2017"/>
    <tableColumn id="14386" xr3:uid="{EA7E8CCA-52F9-42DD-949C-099879DFFF1C}" name="Column14338" dataDxfId="2016"/>
    <tableColumn id="14387" xr3:uid="{0679901F-F0D7-427C-B679-040CAFAF9365}" name="Column14339" dataDxfId="2015"/>
    <tableColumn id="14388" xr3:uid="{66DABF1D-DEFC-40FB-96C0-C673B362C1BF}" name="Column14340" dataDxfId="2014"/>
    <tableColumn id="14389" xr3:uid="{FDD95D04-818D-4B18-91EF-7438A03641CB}" name="Column14341" dataDxfId="2013"/>
    <tableColumn id="14390" xr3:uid="{6EC89EDC-C98A-4542-B479-B91969367FDA}" name="Column14342" dataDxfId="2012"/>
    <tableColumn id="14391" xr3:uid="{97D990EB-DD3E-47E7-AADE-DD12F14774F5}" name="Column14343" dataDxfId="2011"/>
    <tableColumn id="14392" xr3:uid="{F16C8B24-947E-4B62-838C-CD8C99B172DE}" name="Column14344" dataDxfId="2010"/>
    <tableColumn id="14393" xr3:uid="{EE495FC5-2428-4703-BE03-31BC983ECDC3}" name="Column14345" dataDxfId="2009"/>
    <tableColumn id="14394" xr3:uid="{7D91D520-C8D7-4D58-A2B0-1E94702E5E3E}" name="Column14346" dataDxfId="2008"/>
    <tableColumn id="14395" xr3:uid="{1FEA65BD-E2BE-4BA9-B009-358460F06031}" name="Column14347" dataDxfId="2007"/>
    <tableColumn id="14396" xr3:uid="{5DF8E551-5601-4DFF-84AE-5A4E36460CE4}" name="Column14348" dataDxfId="2006"/>
    <tableColumn id="14397" xr3:uid="{F84B59FF-D288-4661-87C4-7DC923DEE440}" name="Column14349" dataDxfId="2005"/>
    <tableColumn id="14398" xr3:uid="{F702D46F-9862-4461-9026-84553DEB8D2A}" name="Column14350" dataDxfId="2004"/>
    <tableColumn id="14399" xr3:uid="{A9C3FAD8-F63B-4ADB-A328-4C9620F69E64}" name="Column14351" dataDxfId="2003"/>
    <tableColumn id="14400" xr3:uid="{BACA7B40-3C8F-4799-88E1-C3C8ACD4E1E1}" name="Column14352" dataDxfId="2002"/>
    <tableColumn id="14401" xr3:uid="{6F092BD4-874D-4CE6-9909-685C2AA6E12D}" name="Column14353" dataDxfId="2001"/>
    <tableColumn id="14402" xr3:uid="{CF326689-EE0C-4B98-B13F-B8D6E5F1E664}" name="Column14354" dataDxfId="2000"/>
    <tableColumn id="14403" xr3:uid="{98AC6B7A-3E24-4B54-BA47-9334A7E52643}" name="Column14355" dataDxfId="1999"/>
    <tableColumn id="14404" xr3:uid="{8F698893-F7BA-46CA-BDEA-3D3E72288810}" name="Column14356" dataDxfId="1998"/>
    <tableColumn id="14405" xr3:uid="{98A1698A-D994-459C-BC9D-2545BE206279}" name="Column14357" dataDxfId="1997"/>
    <tableColumn id="14406" xr3:uid="{3D8F0A18-8C59-4D0A-B63B-3B46958D1115}" name="Column14358" dataDxfId="1996"/>
    <tableColumn id="14407" xr3:uid="{406D78DD-9ADC-428F-9AD4-4F88EF663318}" name="Column14359" dataDxfId="1995"/>
    <tableColumn id="14408" xr3:uid="{D84D1235-C9C7-4FEC-ABB8-B6DA47D68B66}" name="Column14360" dataDxfId="1994"/>
    <tableColumn id="14409" xr3:uid="{551C2DAC-D8A6-4263-A5E9-EC677D2A4604}" name="Column14361" dataDxfId="1993"/>
    <tableColumn id="14410" xr3:uid="{C103F091-6B92-4E93-85F0-A3A52AE29329}" name="Column14362" dataDxfId="1992"/>
    <tableColumn id="14411" xr3:uid="{ECC96862-7C62-49B9-83EE-AA53F37E07BD}" name="Column14363" dataDxfId="1991"/>
    <tableColumn id="14412" xr3:uid="{0CE8A0E6-7B20-4CC9-96FD-2EEAFAD811C1}" name="Column14364" dataDxfId="1990"/>
    <tableColumn id="14413" xr3:uid="{E97BA13A-8F64-4DD5-BDEC-327B8EF4F946}" name="Column14365" dataDxfId="1989"/>
    <tableColumn id="14414" xr3:uid="{3728A02D-7A22-4EF4-8795-858705172452}" name="Column14366" dataDxfId="1988"/>
    <tableColumn id="14415" xr3:uid="{3DDA6C83-3E18-4CE6-9301-4489752B5217}" name="Column14367" dataDxfId="1987"/>
    <tableColumn id="14416" xr3:uid="{E8756911-D142-418B-8724-474FA130C1CF}" name="Column14368" dataDxfId="1986"/>
    <tableColumn id="14417" xr3:uid="{F9BA6335-D2B8-49C5-8E2F-645E631DECED}" name="Column14369" dataDxfId="1985"/>
    <tableColumn id="14418" xr3:uid="{7232447C-9B38-43FF-AECD-01025D9BEF1C}" name="Column14370" dataDxfId="1984"/>
    <tableColumn id="14419" xr3:uid="{5E441A7D-2A1C-4845-AD65-453439137AA7}" name="Column14371" dataDxfId="1983"/>
    <tableColumn id="14420" xr3:uid="{557BE3A8-E8B7-48D1-93C2-308132B3409A}" name="Column14372" dataDxfId="1982"/>
    <tableColumn id="14421" xr3:uid="{458A2BB4-0F1E-41A3-A044-AE0070E55C65}" name="Column14373" dataDxfId="1981"/>
    <tableColumn id="14422" xr3:uid="{5BFF7D79-0971-4708-8E8E-B27DE13D8580}" name="Column14374" dataDxfId="1980"/>
    <tableColumn id="14423" xr3:uid="{087282C1-DDBA-4F63-8EC4-F3C28A36102C}" name="Column14375" dataDxfId="1979"/>
    <tableColumn id="14424" xr3:uid="{57BDC944-41FD-4A03-ABB0-ADFCB19C4560}" name="Column14376" dataDxfId="1978"/>
    <tableColumn id="14425" xr3:uid="{B82C8E80-7F60-46A3-9ADD-514702D9CDC0}" name="Column14377" dataDxfId="1977"/>
    <tableColumn id="14426" xr3:uid="{F2DDAAFB-F736-4692-8307-433BB29E9D3B}" name="Column14378" dataDxfId="1976"/>
    <tableColumn id="14427" xr3:uid="{EB87CC71-F3B8-481C-B02C-F973DFE0DD49}" name="Column14379" dataDxfId="1975"/>
    <tableColumn id="14428" xr3:uid="{FE8823CF-8C5B-4037-B784-06503D933FE6}" name="Column14380" dataDxfId="1974"/>
    <tableColumn id="14429" xr3:uid="{9B27E84F-3BE9-4C87-B539-8F40B03E70C5}" name="Column14381" dataDxfId="1973"/>
    <tableColumn id="14430" xr3:uid="{A6DFD1E5-482E-4C91-967E-C575FD5F214F}" name="Column14382" dataDxfId="1972"/>
    <tableColumn id="14431" xr3:uid="{F7F4044B-B6CE-4E76-AF08-1B8A503079C7}" name="Column14383" dataDxfId="1971"/>
    <tableColumn id="14432" xr3:uid="{74DE82BF-A312-4938-B1E2-943E65315147}" name="Column14384" dataDxfId="1970"/>
    <tableColumn id="14433" xr3:uid="{976C9F87-33E9-4BAE-945C-A550553AC9AB}" name="Column14385" dataDxfId="1969"/>
    <tableColumn id="14434" xr3:uid="{3D0082D6-DF2C-42C6-A061-A3EB85E567B4}" name="Column14386" dataDxfId="1968"/>
    <tableColumn id="14435" xr3:uid="{80BD85BE-CF51-4A1B-8C81-BF281A7FD775}" name="Column14387" dataDxfId="1967"/>
    <tableColumn id="14436" xr3:uid="{B157F7A0-0B2F-4CC8-98C4-8F00B88E4C4C}" name="Column14388" dataDxfId="1966"/>
    <tableColumn id="14437" xr3:uid="{796173D1-31E1-43B2-B276-45BC071F63F4}" name="Column14389" dataDxfId="1965"/>
    <tableColumn id="14438" xr3:uid="{33628E2F-BC70-4E52-BABC-95C50E86B2F9}" name="Column14390" dataDxfId="1964"/>
    <tableColumn id="14439" xr3:uid="{05633EF9-DD74-40DF-9487-D30887ACEDF9}" name="Column14391" dataDxfId="1963"/>
    <tableColumn id="14440" xr3:uid="{C4EC5294-6BF5-4816-882C-31A905434301}" name="Column14392" dataDxfId="1962"/>
    <tableColumn id="14441" xr3:uid="{19121956-75EA-49A1-8385-ECD60C109D39}" name="Column14393" dataDxfId="1961"/>
    <tableColumn id="14442" xr3:uid="{80291EA7-53B1-407D-8B4D-DBF731BADD33}" name="Column14394" dataDxfId="1960"/>
    <tableColumn id="14443" xr3:uid="{696011F6-C34E-4D99-9B74-F4E4B7AC29C1}" name="Column14395" dataDxfId="1959"/>
    <tableColumn id="14444" xr3:uid="{64F36D56-5AA1-4922-B56C-09EBA07E81E0}" name="Column14396" dataDxfId="1958"/>
    <tableColumn id="14445" xr3:uid="{6DFCFB62-CA9D-42FA-91B1-E7777688BA29}" name="Column14397" dataDxfId="1957"/>
    <tableColumn id="14446" xr3:uid="{629426BB-CEC7-49F3-9EE8-8573D3C82BBA}" name="Column14398" dataDxfId="1956"/>
    <tableColumn id="14447" xr3:uid="{A43332AA-E8AF-4F19-AA2A-5EEB6BF1A0D0}" name="Column14399" dataDxfId="1955"/>
    <tableColumn id="14448" xr3:uid="{6DCDCD01-0D91-4CE9-8E48-96E757225038}" name="Column14400" dataDxfId="1954"/>
    <tableColumn id="14449" xr3:uid="{FC3AB1AB-09F0-4071-BA1E-71B6C3C6C003}" name="Column14401" dataDxfId="1953"/>
    <tableColumn id="14450" xr3:uid="{0682579F-626E-408D-9E94-37170D01E012}" name="Column14402" dataDxfId="1952"/>
    <tableColumn id="14451" xr3:uid="{71CFC04E-4081-4BF1-88F9-428C82F9B9B7}" name="Column14403" dataDxfId="1951"/>
    <tableColumn id="14452" xr3:uid="{EB5E2B1B-918A-4C96-874F-0A996AA771AC}" name="Column14404" dataDxfId="1950"/>
    <tableColumn id="14453" xr3:uid="{EC1168FD-F825-42AE-A65C-939D634EC705}" name="Column14405" dataDxfId="1949"/>
    <tableColumn id="14454" xr3:uid="{BEB25331-BE7D-43E7-974C-BF171A366B64}" name="Column14406" dataDxfId="1948"/>
    <tableColumn id="14455" xr3:uid="{3B37CEF3-A8C3-4FF3-8CE4-4CA77E47C430}" name="Column14407" dataDxfId="1947"/>
    <tableColumn id="14456" xr3:uid="{522262EA-2420-4EEA-A8D8-17EF051B485E}" name="Column14408" dataDxfId="1946"/>
    <tableColumn id="14457" xr3:uid="{B8B62547-2627-4A2A-AD49-9117CDC003C5}" name="Column14409" dataDxfId="1945"/>
    <tableColumn id="14458" xr3:uid="{6D196000-71DC-42D1-AA54-0C8FCCDDF5C2}" name="Column14410" dataDxfId="1944"/>
    <tableColumn id="14459" xr3:uid="{479F8816-139D-4839-8BD6-3F5D6C913B1F}" name="Column14411" dataDxfId="1943"/>
    <tableColumn id="14460" xr3:uid="{2C10F2A5-D847-4A0C-856F-03603D5F56F1}" name="Column14412" dataDxfId="1942"/>
    <tableColumn id="14461" xr3:uid="{C9297F8F-DC4C-4750-88E3-4BC646B63F23}" name="Column14413" dataDxfId="1941"/>
    <tableColumn id="14462" xr3:uid="{74CC6D9E-1A6E-4BD3-A340-C6605E4DF180}" name="Column14414" dataDxfId="1940"/>
    <tableColumn id="14463" xr3:uid="{9E9A0242-9200-4746-9AFF-80F36638AC4C}" name="Column14415" dataDxfId="1939"/>
    <tableColumn id="14464" xr3:uid="{7089DCB3-FDD3-43B6-A8EE-35BF1FEFDD62}" name="Column14416" dataDxfId="1938"/>
    <tableColumn id="14465" xr3:uid="{D53F46B4-E6EC-4AA0-B680-D667721273BE}" name="Column14417" dataDxfId="1937"/>
    <tableColumn id="14466" xr3:uid="{E205C356-C4C1-4D9D-931C-09823CB6200D}" name="Column14418" dataDxfId="1936"/>
    <tableColumn id="14467" xr3:uid="{5B27C4FF-E1FA-4EA2-AC2A-2ADDAFDE4FC0}" name="Column14419" dataDxfId="1935"/>
    <tableColumn id="14468" xr3:uid="{99BC2B61-F91E-460F-9E4C-C46B2E6067B3}" name="Column14420" dataDxfId="1934"/>
    <tableColumn id="14469" xr3:uid="{1FDAB66D-D36A-48E0-8B16-92DC7AA01CD6}" name="Column14421" dataDxfId="1933"/>
    <tableColumn id="14470" xr3:uid="{1E275B57-1BA2-41E4-84C8-F5110A93954B}" name="Column14422" dataDxfId="1932"/>
    <tableColumn id="14471" xr3:uid="{807468EA-4461-4459-9CCB-6F4ACA7E05C2}" name="Column14423" dataDxfId="1931"/>
    <tableColumn id="14472" xr3:uid="{5621A083-CB07-411F-AA4F-4C9B60CD00E2}" name="Column14424" dataDxfId="1930"/>
    <tableColumn id="14473" xr3:uid="{4BC44D68-D093-4A01-8836-64EAAF1F132A}" name="Column14425" dataDxfId="1929"/>
    <tableColumn id="14474" xr3:uid="{1E3A5A0B-279A-4808-9E3D-02BE116443FB}" name="Column14426" dataDxfId="1928"/>
    <tableColumn id="14475" xr3:uid="{20503B74-3778-4383-953C-205CC205D4A4}" name="Column14427" dataDxfId="1927"/>
    <tableColumn id="14476" xr3:uid="{B59A8A90-F1ED-4C5E-ACA0-240F40F61C74}" name="Column14428" dataDxfId="1926"/>
    <tableColumn id="14477" xr3:uid="{C6CE4296-D487-47CD-B2D0-7074678572BA}" name="Column14429" dataDxfId="1925"/>
    <tableColumn id="14478" xr3:uid="{F884FE13-9E51-42CA-9809-238A87F981F0}" name="Column14430" dataDxfId="1924"/>
    <tableColumn id="14479" xr3:uid="{41E8C6AF-09BF-4ED8-93F1-0DC3F2069966}" name="Column14431" dataDxfId="1923"/>
    <tableColumn id="14480" xr3:uid="{20530C21-409E-4110-8BE7-810B48ECBE03}" name="Column14432" dataDxfId="1922"/>
    <tableColumn id="14481" xr3:uid="{F27AB7A8-8EFD-42B1-871A-B77F39C27F45}" name="Column14433" dataDxfId="1921"/>
    <tableColumn id="14482" xr3:uid="{C68F5B54-12B3-4692-AB57-50B3D8B8FC52}" name="Column14434" dataDxfId="1920"/>
    <tableColumn id="14483" xr3:uid="{4EFCE05A-CAD0-483A-B753-994CB54FFBE9}" name="Column14435" dataDxfId="1919"/>
    <tableColumn id="14484" xr3:uid="{E9C49B69-A23E-4572-9B40-7557086F9277}" name="Column14436" dataDxfId="1918"/>
    <tableColumn id="14485" xr3:uid="{54E8D068-642C-478A-98ED-020753980292}" name="Column14437" dataDxfId="1917"/>
    <tableColumn id="14486" xr3:uid="{B08E00C4-ECFD-482A-AAE7-D0236FD4E70E}" name="Column14438" dataDxfId="1916"/>
    <tableColumn id="14487" xr3:uid="{CF01D118-BD5D-4E45-848E-6A2F544FB197}" name="Column14439" dataDxfId="1915"/>
    <tableColumn id="14488" xr3:uid="{3401AB6B-1DEC-45FC-B3B2-A1F66FB60195}" name="Column14440" dataDxfId="1914"/>
    <tableColumn id="14489" xr3:uid="{E14D7EBA-F811-4449-A912-4090E09AE176}" name="Column14441" dataDxfId="1913"/>
    <tableColumn id="14490" xr3:uid="{F61CECFC-9303-4782-81FF-518C560FDE95}" name="Column14442" dataDxfId="1912"/>
    <tableColumn id="14491" xr3:uid="{E61C35C3-7708-4409-9BFE-1FB214281B85}" name="Column14443" dataDxfId="1911"/>
    <tableColumn id="14492" xr3:uid="{3A958F65-D84A-430D-8ADA-1ED2732EDCBA}" name="Column14444" dataDxfId="1910"/>
    <tableColumn id="14493" xr3:uid="{2CA051BE-5797-4820-A964-C4E54FD62EF0}" name="Column14445" dataDxfId="1909"/>
    <tableColumn id="14494" xr3:uid="{FEDF31A0-58F2-4D5E-B418-C53D8DF25074}" name="Column14446" dataDxfId="1908"/>
    <tableColumn id="14495" xr3:uid="{F2439DD5-4FD9-46D7-82F5-1A13DE77DA42}" name="Column14447" dataDxfId="1907"/>
    <tableColumn id="14496" xr3:uid="{C17759D3-4052-4180-BE39-B8374B8BBB56}" name="Column14448" dataDxfId="1906"/>
    <tableColumn id="14497" xr3:uid="{E0909F5C-6797-46A8-8C23-5318B5BEE677}" name="Column14449" dataDxfId="1905"/>
    <tableColumn id="14498" xr3:uid="{52E9ED70-3153-4104-A378-F903748A37C1}" name="Column14450" dataDxfId="1904"/>
    <tableColumn id="14499" xr3:uid="{C603CD53-756A-4C5F-A5F6-BD0DFE212C04}" name="Column14451" dataDxfId="1903"/>
    <tableColumn id="14500" xr3:uid="{AA493ACC-745D-4964-9536-1DF33055D08E}" name="Column14452" dataDxfId="1902"/>
    <tableColumn id="14501" xr3:uid="{25BE0F41-C18B-4EA4-91D7-AB6716B172D6}" name="Column14453" dataDxfId="1901"/>
    <tableColumn id="14502" xr3:uid="{A4AAC248-ADE0-4E1B-AC4A-1E6D3D92E4CA}" name="Column14454" dataDxfId="1900"/>
    <tableColumn id="14503" xr3:uid="{E53421BF-0DAD-4156-8BEA-8D0887270BDD}" name="Column14455" dataDxfId="1899"/>
    <tableColumn id="14504" xr3:uid="{F2CBF187-3DDE-4C69-8F70-A44FA294D4E2}" name="Column14456" dataDxfId="1898"/>
    <tableColumn id="14505" xr3:uid="{6C22595F-D6B9-42C4-B80F-BCECBFA76EAE}" name="Column14457" dataDxfId="1897"/>
    <tableColumn id="14506" xr3:uid="{FEE92487-E621-4F95-9E21-6ABC9BB9AA52}" name="Column14458" dataDxfId="1896"/>
    <tableColumn id="14507" xr3:uid="{DEE61798-E09C-449D-AE50-20C06AE7E774}" name="Column14459" dataDxfId="1895"/>
    <tableColumn id="14508" xr3:uid="{618F1903-8FBD-4C00-ABF7-490EDCFCF00D}" name="Column14460" dataDxfId="1894"/>
    <tableColumn id="14509" xr3:uid="{6EF97DE5-106D-45B6-8801-FDA26E0EB153}" name="Column14461" dataDxfId="1893"/>
    <tableColumn id="14510" xr3:uid="{9A5AF990-F031-42B4-9408-7C398901735A}" name="Column14462" dataDxfId="1892"/>
    <tableColumn id="14511" xr3:uid="{4E84A880-35C0-486E-81C5-30425E65F8C3}" name="Column14463" dataDxfId="1891"/>
    <tableColumn id="14512" xr3:uid="{819BF594-A3D1-4E59-B4BE-8E57EA0B65D5}" name="Column14464" dataDxfId="1890"/>
    <tableColumn id="14513" xr3:uid="{9E4B02AB-198C-4BF9-9DA8-F7771FCF280E}" name="Column14465" dataDxfId="1889"/>
    <tableColumn id="14514" xr3:uid="{CCA5E999-1801-448F-8906-732ADD729BA3}" name="Column14466" dataDxfId="1888"/>
    <tableColumn id="14515" xr3:uid="{8D3D2426-F161-4EC1-BD8F-EC07603515FE}" name="Column14467" dataDxfId="1887"/>
    <tableColumn id="14516" xr3:uid="{C79072F4-87E7-4DFA-8C84-67C15FCCB579}" name="Column14468" dataDxfId="1886"/>
    <tableColumn id="14517" xr3:uid="{21A7B476-8C07-4C61-9E35-771287EAFCDA}" name="Column14469" dataDxfId="1885"/>
    <tableColumn id="14518" xr3:uid="{E228F947-8400-41FA-B771-B9B0F3517EC3}" name="Column14470" dataDxfId="1884"/>
    <tableColumn id="14519" xr3:uid="{6EEF694C-E3D4-40B9-BDC3-8FEBBE2E941D}" name="Column14471" dataDxfId="1883"/>
    <tableColumn id="14520" xr3:uid="{06911EB7-92EF-489B-8236-3A5B71C18347}" name="Column14472" dataDxfId="1882"/>
    <tableColumn id="14521" xr3:uid="{B2F2CFB9-7052-4CCA-B860-7A259FE2254D}" name="Column14473" dataDxfId="1881"/>
    <tableColumn id="14522" xr3:uid="{E314EAF2-7CA3-404B-A494-D467DCC01ED1}" name="Column14474" dataDxfId="1880"/>
    <tableColumn id="14523" xr3:uid="{2F931423-9831-43BF-8D8B-B3867FE07EC2}" name="Column14475" dataDxfId="1879"/>
    <tableColumn id="14524" xr3:uid="{DCA6807F-11A1-4154-9187-0B8175AC09FB}" name="Column14476" dataDxfId="1878"/>
    <tableColumn id="14525" xr3:uid="{06BEFE1E-C659-4788-A00A-6CFCEFFF145E}" name="Column14477" dataDxfId="1877"/>
    <tableColumn id="14526" xr3:uid="{CF1D025A-3819-478C-B0B9-801D57424BB1}" name="Column14478" dataDxfId="1876"/>
    <tableColumn id="14527" xr3:uid="{B7D71381-88B1-4704-84A8-0D942F0879F9}" name="Column14479" dataDxfId="1875"/>
    <tableColumn id="14528" xr3:uid="{4634EDDC-EDEE-4D5C-8C1D-77F883C1197E}" name="Column14480" dataDxfId="1874"/>
    <tableColumn id="14529" xr3:uid="{5DC9823A-BCB5-4A50-B89B-5EC0761FB68D}" name="Column14481" dataDxfId="1873"/>
    <tableColumn id="14530" xr3:uid="{1A73F849-2042-4B60-BF0B-C7CE6CCDF368}" name="Column14482" dataDxfId="1872"/>
    <tableColumn id="14531" xr3:uid="{4B819CE5-8FB4-4788-BC98-B1B9E7CE7057}" name="Column14483" dataDxfId="1871"/>
    <tableColumn id="14532" xr3:uid="{247D9402-637A-48B7-81C5-7DB91251B301}" name="Column14484" dataDxfId="1870"/>
    <tableColumn id="14533" xr3:uid="{BF336BD8-B1E3-4254-AA23-4E8F95DAD432}" name="Column14485" dataDxfId="1869"/>
    <tableColumn id="14534" xr3:uid="{462D4455-010A-4721-AB09-38B50F03F3F3}" name="Column14486" dataDxfId="1868"/>
    <tableColumn id="14535" xr3:uid="{C692816A-C578-4D0A-8FBD-D5E7C664766C}" name="Column14487" dataDxfId="1867"/>
    <tableColumn id="14536" xr3:uid="{EDB2DE8D-4559-4C2E-9CE3-472C08661DAE}" name="Column14488" dataDxfId="1866"/>
    <tableColumn id="14537" xr3:uid="{3081FF72-405F-47ED-9917-7A94C12B5239}" name="Column14489" dataDxfId="1865"/>
    <tableColumn id="14538" xr3:uid="{59A2D95B-3CD0-4A9D-B353-83E0F3F52AD3}" name="Column14490" dataDxfId="1864"/>
    <tableColumn id="14539" xr3:uid="{DA36A081-795A-4E6F-BF48-35869D68C22A}" name="Column14491" dataDxfId="1863"/>
    <tableColumn id="14540" xr3:uid="{3E6F7AE1-1B4C-4590-BB0A-BFE657D0A6A1}" name="Column14492" dataDxfId="1862"/>
    <tableColumn id="14541" xr3:uid="{64D5BA1E-E152-4424-B08A-FF2A94A9512A}" name="Column14493" dataDxfId="1861"/>
    <tableColumn id="14542" xr3:uid="{882066BF-F414-4420-AC00-434DE0EB8653}" name="Column14494" dataDxfId="1860"/>
    <tableColumn id="14543" xr3:uid="{2B656DE4-8098-433F-80E1-86AB7DF4D4E3}" name="Column14495" dataDxfId="1859"/>
    <tableColumn id="14544" xr3:uid="{8A04B351-EF23-4857-A042-20D0249A2E4A}" name="Column14496" dataDxfId="1858"/>
    <tableColumn id="14545" xr3:uid="{EA74ADE4-57E9-4793-B47A-0BC13406C11B}" name="Column14497" dataDxfId="1857"/>
    <tableColumn id="14546" xr3:uid="{62AF243A-2104-4483-93F0-BED0BC90A3ED}" name="Column14498" dataDxfId="1856"/>
    <tableColumn id="14547" xr3:uid="{2D56970D-9148-46FE-BC99-2FDBC89BACAA}" name="Column14499" dataDxfId="1855"/>
    <tableColumn id="14548" xr3:uid="{AFD1D7BE-CF84-4D5C-81FE-19D846277DF7}" name="Column14500" dataDxfId="1854"/>
    <tableColumn id="14549" xr3:uid="{431DC009-8B0F-40E0-A708-29C5C6B0EAD1}" name="Column14501" dataDxfId="1853"/>
    <tableColumn id="14550" xr3:uid="{0071A35E-59F7-4973-9460-2555AEE8E4C2}" name="Column14502" dataDxfId="1852"/>
    <tableColumn id="14551" xr3:uid="{D2AA57CF-1843-4822-8265-B9CAA891D0E8}" name="Column14503" dataDxfId="1851"/>
    <tableColumn id="14552" xr3:uid="{D94EA7B0-F1CA-4756-A0B6-1D7147B10CC9}" name="Column14504" dataDxfId="1850"/>
    <tableColumn id="14553" xr3:uid="{621504E6-BD33-45AE-A1C5-CF5A93719055}" name="Column14505" dataDxfId="1849"/>
    <tableColumn id="14554" xr3:uid="{D23C75D2-C397-43D5-BEC7-CCCFF6340BD2}" name="Column14506" dataDxfId="1848"/>
    <tableColumn id="14555" xr3:uid="{859C84E7-FEB4-436A-B2BA-E113B2B9EFDB}" name="Column14507" dataDxfId="1847"/>
    <tableColumn id="14556" xr3:uid="{8D1278D1-D7FA-472E-B7A5-CD4E885046CB}" name="Column14508" dataDxfId="1846"/>
    <tableColumn id="14557" xr3:uid="{BD3F8CB4-7472-427C-A298-2D36D59FC2A9}" name="Column14509" dataDxfId="1845"/>
    <tableColumn id="14558" xr3:uid="{3F6E5B25-4A39-448A-8392-A4A254A2A32B}" name="Column14510" dataDxfId="1844"/>
    <tableColumn id="14559" xr3:uid="{7FA5F9FB-481D-4A4F-AC2C-89D6C818818E}" name="Column14511" dataDxfId="1843"/>
    <tableColumn id="14560" xr3:uid="{D09CB7B3-3F1A-4AD9-93F2-A9A6F0F3EB78}" name="Column14512" dataDxfId="1842"/>
    <tableColumn id="14561" xr3:uid="{E9230A7F-B261-42BA-B980-01ADACB10EAC}" name="Column14513" dataDxfId="1841"/>
    <tableColumn id="14562" xr3:uid="{39B703CF-B3BF-49AA-9519-EAD19B156931}" name="Column14514" dataDxfId="1840"/>
    <tableColumn id="14563" xr3:uid="{CB051C47-56D6-4655-B140-8B1EEC573D0D}" name="Column14515" dataDxfId="1839"/>
    <tableColumn id="14564" xr3:uid="{1C850A4C-B6F5-4E1E-9721-7763EA45679B}" name="Column14516" dataDxfId="1838"/>
    <tableColumn id="14565" xr3:uid="{A4B98D5C-82A9-42FF-BAB4-ABC75B110E83}" name="Column14517" dataDxfId="1837"/>
    <tableColumn id="14566" xr3:uid="{8F64A15D-55A7-4D21-A5AF-2F2CAD2AFAF0}" name="Column14518" dataDxfId="1836"/>
    <tableColumn id="14567" xr3:uid="{2409103A-D4D6-474A-AF99-48DB549ED6C9}" name="Column14519" dataDxfId="1835"/>
    <tableColumn id="14568" xr3:uid="{2F7326B8-525F-4BFF-88F1-1AB7D6359B1D}" name="Column14520" dataDxfId="1834"/>
    <tableColumn id="14569" xr3:uid="{3D96714F-CA57-4254-A5A2-0B1CDDD2A1BC}" name="Column14521" dataDxfId="1833"/>
    <tableColumn id="14570" xr3:uid="{A5CCDFD7-E9A6-4677-AE1D-EBE7CD8A2C28}" name="Column14522" dataDxfId="1832"/>
    <tableColumn id="14571" xr3:uid="{9677D1DD-8F67-4283-B0D9-31B7E4D37E99}" name="Column14523" dataDxfId="1831"/>
    <tableColumn id="14572" xr3:uid="{634E9CEF-A3D7-44DD-AF54-628BB6F75768}" name="Column14524" dataDxfId="1830"/>
    <tableColumn id="14573" xr3:uid="{A2DFE04F-1FAE-476C-AC24-21121F0C1290}" name="Column14525" dataDxfId="1829"/>
    <tableColumn id="14574" xr3:uid="{20CE3D87-2B22-4823-B72A-FAC66D534607}" name="Column14526" dataDxfId="1828"/>
    <tableColumn id="14575" xr3:uid="{74572143-F0CA-4154-A93A-5F1CDC56C921}" name="Column14527" dataDxfId="1827"/>
    <tableColumn id="14576" xr3:uid="{06C8B704-3A36-48F4-B275-B94C434C1ED6}" name="Column14528" dataDxfId="1826"/>
    <tableColumn id="14577" xr3:uid="{0BEBC1FC-0FF7-460B-9A15-536937F85A38}" name="Column14529" dataDxfId="1825"/>
    <tableColumn id="14578" xr3:uid="{213956D7-1EE2-45F9-9C36-8A22CFC182A6}" name="Column14530" dataDxfId="1824"/>
    <tableColumn id="14579" xr3:uid="{057D1013-E51A-40CA-A323-1C0F62E48F1B}" name="Column14531" dataDxfId="1823"/>
    <tableColumn id="14580" xr3:uid="{6458E581-0693-4CBE-A207-F5FB68A39559}" name="Column14532" dataDxfId="1822"/>
    <tableColumn id="14581" xr3:uid="{B4504668-1C53-401A-9A7D-1D3E97FD9C35}" name="Column14533" dataDxfId="1821"/>
    <tableColumn id="14582" xr3:uid="{06DF7B3A-8334-4A99-95BE-2441BE488904}" name="Column14534" dataDxfId="1820"/>
    <tableColumn id="14583" xr3:uid="{601AD51B-39E6-41DE-AF4B-7CFE84FE8E35}" name="Column14535" dataDxfId="1819"/>
    <tableColumn id="14584" xr3:uid="{60ADB2B1-5544-43F0-B31C-FD1D24B56888}" name="Column14536" dataDxfId="1818"/>
    <tableColumn id="14585" xr3:uid="{6D6C28CE-9D39-41A8-A864-B23E3F938A1D}" name="Column14537" dataDxfId="1817"/>
    <tableColumn id="14586" xr3:uid="{53332A43-1B57-4F31-8B7B-AA9FC586FA68}" name="Column14538" dataDxfId="1816"/>
    <tableColumn id="14587" xr3:uid="{5C27E57F-6174-4C05-AC9D-2A50EDF7E5B0}" name="Column14539" dataDxfId="1815"/>
    <tableColumn id="14588" xr3:uid="{F9E44C4D-F55D-48CE-BFEF-2115D71F7299}" name="Column14540" dataDxfId="1814"/>
    <tableColumn id="14589" xr3:uid="{41E6601A-BCB8-4C1A-A5B1-0C562DF7F148}" name="Column14541" dataDxfId="1813"/>
    <tableColumn id="14590" xr3:uid="{05BE2A58-A86D-413F-9F51-93A93F8512C7}" name="Column14542" dataDxfId="1812"/>
    <tableColumn id="14591" xr3:uid="{82E26D12-7DE0-4913-A5A4-15C4CF4CD221}" name="Column14543" dataDxfId="1811"/>
    <tableColumn id="14592" xr3:uid="{CCE6E591-6D9A-454C-B0CA-FE4A3730956C}" name="Column14544" dataDxfId="1810"/>
    <tableColumn id="14593" xr3:uid="{ADC5D99B-920F-4EAA-A017-28D341724D3F}" name="Column14545" dataDxfId="1809"/>
    <tableColumn id="14594" xr3:uid="{7E359B75-80E7-4C84-9D50-340DA68F77DA}" name="Column14546" dataDxfId="1808"/>
    <tableColumn id="14595" xr3:uid="{B57FF5F4-5DA7-4FB1-ACD6-3ABF72C31728}" name="Column14547" dataDxfId="1807"/>
    <tableColumn id="14596" xr3:uid="{A3C8F661-8630-4A9B-A249-CD5256B0F0F8}" name="Column14548" dataDxfId="1806"/>
    <tableColumn id="14597" xr3:uid="{C4DE9E25-5A48-4CFF-B6E1-CB0D2EC85662}" name="Column14549" dataDxfId="1805"/>
    <tableColumn id="14598" xr3:uid="{C4613C2E-A923-4887-ACAD-5E758ADF5106}" name="Column14550" dataDxfId="1804"/>
    <tableColumn id="14599" xr3:uid="{67AE4C26-2797-40D1-8F75-CE44EBD4B7DD}" name="Column14551" dataDxfId="1803"/>
    <tableColumn id="14600" xr3:uid="{96322807-4CAF-4BAA-9A53-9A00F618F73E}" name="Column14552" dataDxfId="1802"/>
    <tableColumn id="14601" xr3:uid="{D708F468-1558-4BD8-B516-850D688217BF}" name="Column14553" dataDxfId="1801"/>
    <tableColumn id="14602" xr3:uid="{3FBE0A39-28F5-4663-9DAB-E2F332EB750A}" name="Column14554" dataDxfId="1800"/>
    <tableColumn id="14603" xr3:uid="{21FE9234-9457-4AB1-916C-C564765E068A}" name="Column14555" dataDxfId="1799"/>
    <tableColumn id="14604" xr3:uid="{350DC0CD-6796-478C-BA46-C65B0D37D5C7}" name="Column14556" dataDxfId="1798"/>
    <tableColumn id="14605" xr3:uid="{6DB7162B-77BA-4C82-ACD6-38C0BD5F3CA3}" name="Column14557" dataDxfId="1797"/>
    <tableColumn id="14606" xr3:uid="{3E326D7F-ACAE-44D9-93A1-A8A2E33ED6D9}" name="Column14558" dataDxfId="1796"/>
    <tableColumn id="14607" xr3:uid="{B7811A08-FC85-40D5-A877-32766AE20D58}" name="Column14559" dataDxfId="1795"/>
    <tableColumn id="14608" xr3:uid="{009FABCC-E885-45ED-90E9-920ACA6FD502}" name="Column14560" dataDxfId="1794"/>
    <tableColumn id="14609" xr3:uid="{059233AD-D18A-43C9-A22F-F46F275196FE}" name="Column14561" dataDxfId="1793"/>
    <tableColumn id="14610" xr3:uid="{ED7C3693-7F6A-4ADF-A434-48B3D325D339}" name="Column14562" dataDxfId="1792"/>
    <tableColumn id="14611" xr3:uid="{3E7CBE63-EB05-45CA-99EE-6D6F7CD5666C}" name="Column14563" dataDxfId="1791"/>
    <tableColumn id="14612" xr3:uid="{3C194270-35F0-47B7-BE18-C4D8CBB5AA15}" name="Column14564" dataDxfId="1790"/>
    <tableColumn id="14613" xr3:uid="{79E36D92-6006-40AB-97D8-4B3329C569D0}" name="Column14565" dataDxfId="1789"/>
    <tableColumn id="14614" xr3:uid="{DA939C95-455B-439D-82EA-177DAF48F1A0}" name="Column14566" dataDxfId="1788"/>
    <tableColumn id="14615" xr3:uid="{439F571D-CD3F-4D40-96E6-7D7328B209C5}" name="Column14567" dataDxfId="1787"/>
    <tableColumn id="14616" xr3:uid="{4A22BE4B-31FC-4254-A502-EFB8D2F586B4}" name="Column14568" dataDxfId="1786"/>
    <tableColumn id="14617" xr3:uid="{6629AAE7-69EB-4A46-9453-D0C5592BCC2D}" name="Column14569" dataDxfId="1785"/>
    <tableColumn id="14618" xr3:uid="{6C7CDBC4-4040-4482-B4D9-74AC44CEFC47}" name="Column14570" dataDxfId="1784"/>
    <tableColumn id="14619" xr3:uid="{6F9FEAFD-4689-4A35-90FE-1DECAA2B8528}" name="Column14571" dataDxfId="1783"/>
    <tableColumn id="14620" xr3:uid="{A348E706-A1F9-4106-8EFB-2099235E7590}" name="Column14572" dataDxfId="1782"/>
    <tableColumn id="14621" xr3:uid="{4476BEE5-EEC7-4E5B-A9BE-5B030FF3B518}" name="Column14573" dataDxfId="1781"/>
    <tableColumn id="14622" xr3:uid="{7424DE27-F57A-4651-8672-BF4FDF952339}" name="Column14574" dataDxfId="1780"/>
    <tableColumn id="14623" xr3:uid="{D0F6CFB3-941D-4C3B-9140-5B867199D1E9}" name="Column14575" dataDxfId="1779"/>
    <tableColumn id="14624" xr3:uid="{67657DE6-3CD4-43C6-98A5-8183BD1E215E}" name="Column14576" dataDxfId="1778"/>
    <tableColumn id="14625" xr3:uid="{8AEE5B3D-F269-4515-8628-FA2164CD38C8}" name="Column14577" dataDxfId="1777"/>
    <tableColumn id="14626" xr3:uid="{836A43A3-EE8A-4FFD-BD7F-D639E6F83C93}" name="Column14578" dataDxfId="1776"/>
    <tableColumn id="14627" xr3:uid="{82205BAC-8A61-4A8E-82B4-84ABF80E8A5D}" name="Column14579" dataDxfId="1775"/>
    <tableColumn id="14628" xr3:uid="{C0872556-1896-41E6-8146-9309BA6DC3B8}" name="Column14580" dataDxfId="1774"/>
    <tableColumn id="14629" xr3:uid="{69B6A839-018C-4ED3-9B97-73E28519C52F}" name="Column14581" dataDxfId="1773"/>
    <tableColumn id="14630" xr3:uid="{81FCA006-733A-47DE-8D59-57542DAB803E}" name="Column14582" dataDxfId="1772"/>
    <tableColumn id="14631" xr3:uid="{CBC5F390-549E-4CF7-B153-3D3470059F85}" name="Column14583" dataDxfId="1771"/>
    <tableColumn id="14632" xr3:uid="{CEC9623E-5183-4BCB-95CE-24B073E0EC15}" name="Column14584" dataDxfId="1770"/>
    <tableColumn id="14633" xr3:uid="{5A86BEAB-0DBA-499F-965D-10EFDC82CF92}" name="Column14585" dataDxfId="1769"/>
    <tableColumn id="14634" xr3:uid="{DED65617-7943-4D87-B868-DC5CB58F6DAE}" name="Column14586" dataDxfId="1768"/>
    <tableColumn id="14635" xr3:uid="{C69C78C4-D1B8-4418-B136-9E09BFFAAAB8}" name="Column14587" dataDxfId="1767"/>
    <tableColumn id="14636" xr3:uid="{76561D28-41D6-4F8A-A8E8-C06E9C0247BA}" name="Column14588" dataDxfId="1766"/>
    <tableColumn id="14637" xr3:uid="{F68B35AB-42CF-4653-8CEA-F21EA2C441E5}" name="Column14589" dataDxfId="1765"/>
    <tableColumn id="14638" xr3:uid="{1D6A903A-3AD8-4E84-A6DC-0BF58BEB19EB}" name="Column14590" dataDxfId="1764"/>
    <tableColumn id="14639" xr3:uid="{CA57FF0A-D38F-43F7-A067-44D60FAA741C}" name="Column14591" dataDxfId="1763"/>
    <tableColumn id="14640" xr3:uid="{44D46F5B-5326-47EA-8C87-5E331C1E616D}" name="Column14592" dataDxfId="1762"/>
    <tableColumn id="14641" xr3:uid="{AD095EFA-9D01-40F1-8D6C-FFD48F61AC1F}" name="Column14593" dataDxfId="1761"/>
    <tableColumn id="14642" xr3:uid="{701197BF-999C-46F1-B174-B7A1EF008066}" name="Column14594" dataDxfId="1760"/>
    <tableColumn id="14643" xr3:uid="{56BBA90D-5EFD-43DC-8C6C-9FDC224EEAA0}" name="Column14595" dataDxfId="1759"/>
    <tableColumn id="14644" xr3:uid="{5CDE1C1D-2FDB-420E-B033-10E35876B161}" name="Column14596" dataDxfId="1758"/>
    <tableColumn id="14645" xr3:uid="{7CCF8610-6D05-469B-97B2-0D291A7E5E0D}" name="Column14597" dataDxfId="1757"/>
    <tableColumn id="14646" xr3:uid="{668E3FF4-876C-4524-AF74-C9971535F6F0}" name="Column14598" dataDxfId="1756"/>
    <tableColumn id="14647" xr3:uid="{E359E5FA-B3A0-4FB4-8A11-1643D3152900}" name="Column14599" dataDxfId="1755"/>
    <tableColumn id="14648" xr3:uid="{4669916F-315C-4C4F-8756-91725248F5D7}" name="Column14600" dataDxfId="1754"/>
    <tableColumn id="14649" xr3:uid="{C1810A9A-CC61-4885-823D-4A764DED290E}" name="Column14601" dataDxfId="1753"/>
    <tableColumn id="14650" xr3:uid="{D6FA158B-B5A8-4181-A1B7-17418DCDDD0A}" name="Column14602" dataDxfId="1752"/>
    <tableColumn id="14651" xr3:uid="{E8832530-7260-4534-A56E-838654FC6108}" name="Column14603" dataDxfId="1751"/>
    <tableColumn id="14652" xr3:uid="{87112524-79B7-43C2-8615-A408ABFCCF9D}" name="Column14604" dataDxfId="1750"/>
    <tableColumn id="14653" xr3:uid="{26DE2B62-EFB7-4E68-BE6D-45DAC111F157}" name="Column14605" dataDxfId="1749"/>
    <tableColumn id="14654" xr3:uid="{EBC7B455-DA6F-4616-B799-337B806D3990}" name="Column14606" dataDxfId="1748"/>
    <tableColumn id="14655" xr3:uid="{D472C139-C6FE-4E53-8FDB-FA9EE8B3FF25}" name="Column14607" dataDxfId="1747"/>
    <tableColumn id="14656" xr3:uid="{A2E10D2C-F8A6-4B2A-80B7-F0CAD2B93AC4}" name="Column14608" dataDxfId="1746"/>
    <tableColumn id="14657" xr3:uid="{07C7E688-A961-475C-B540-FEA21A7E1227}" name="Column14609" dataDxfId="1745"/>
    <tableColumn id="14658" xr3:uid="{321C62D9-EDAE-43E2-84CF-05C5D913E392}" name="Column14610" dataDxfId="1744"/>
    <tableColumn id="14659" xr3:uid="{D07F7F12-327E-4A1C-99C7-9C59061D9271}" name="Column14611" dataDxfId="1743"/>
    <tableColumn id="14660" xr3:uid="{B01FCC5E-E08A-4AE3-A20A-9787DEF7D572}" name="Column14612" dataDxfId="1742"/>
    <tableColumn id="14661" xr3:uid="{33AD67FE-BF94-423D-92BA-AC29A8DB660A}" name="Column14613" dataDxfId="1741"/>
    <tableColumn id="14662" xr3:uid="{8EBDE316-1296-41A6-BDDE-4D13B9301E49}" name="Column14614" dataDxfId="1740"/>
    <tableColumn id="14663" xr3:uid="{6255FBFF-D6B8-404F-ACBB-989EAB335109}" name="Column14615" dataDxfId="1739"/>
    <tableColumn id="14664" xr3:uid="{CF83CA8F-EF13-41A9-A77B-545D49FB218C}" name="Column14616" dataDxfId="1738"/>
    <tableColumn id="14665" xr3:uid="{2ACD0B04-C0FE-4016-A732-926A07F2F1F6}" name="Column14617" dataDxfId="1737"/>
    <tableColumn id="14666" xr3:uid="{7B6C9E95-756A-4EC2-B6C1-5DB4B5E8D1DC}" name="Column14618" dataDxfId="1736"/>
    <tableColumn id="14667" xr3:uid="{BE67F230-D48D-4D01-AA6C-3906446A9F1C}" name="Column14619" dataDxfId="1735"/>
    <tableColumn id="14668" xr3:uid="{4F1FD4FA-9EA0-42CC-A403-9E2A45C49997}" name="Column14620" dataDxfId="1734"/>
    <tableColumn id="14669" xr3:uid="{73367EBA-3974-456D-A338-E0CD71C4AD94}" name="Column14621" dataDxfId="1733"/>
    <tableColumn id="14670" xr3:uid="{E863FA61-9B27-415D-BEA3-B3689A857DE5}" name="Column14622" dataDxfId="1732"/>
    <tableColumn id="14671" xr3:uid="{EE5569D3-7F83-45A0-902D-3BC6B5FD6400}" name="Column14623" dataDxfId="1731"/>
    <tableColumn id="14672" xr3:uid="{06370077-2066-4F29-A42A-5C696A6B8A55}" name="Column14624" dataDxfId="1730"/>
    <tableColumn id="14673" xr3:uid="{A33A378C-8C62-4DFE-BC0B-132333B86D7B}" name="Column14625" dataDxfId="1729"/>
    <tableColumn id="14674" xr3:uid="{F5A95896-49D0-4D3C-BAB2-DDCE5FA8CEB7}" name="Column14626" dataDxfId="1728"/>
    <tableColumn id="14675" xr3:uid="{2B3DE54C-C69F-46A8-862D-5182F88C4435}" name="Column14627" dataDxfId="1727"/>
    <tableColumn id="14676" xr3:uid="{5ED7A6FE-5733-485C-B1A1-551B9569CE21}" name="Column14628" dataDxfId="1726"/>
    <tableColumn id="14677" xr3:uid="{7DD5E400-BE1C-4C99-84E7-A0648B97E732}" name="Column14629" dataDxfId="1725"/>
    <tableColumn id="14678" xr3:uid="{31D00DA8-94D5-4C09-9043-F55FCA0D010C}" name="Column14630" dataDxfId="1724"/>
    <tableColumn id="14679" xr3:uid="{73018BC3-1762-4850-B9E0-92DE50992835}" name="Column14631" dataDxfId="1723"/>
    <tableColumn id="14680" xr3:uid="{05EC3ED6-253C-446A-B918-6D6AD186BCBA}" name="Column14632" dataDxfId="1722"/>
    <tableColumn id="14681" xr3:uid="{108AB830-BACA-4BA0-AFA8-E96E31B090A9}" name="Column14633" dataDxfId="1721"/>
    <tableColumn id="14682" xr3:uid="{D47C758C-BDE1-4EE0-86D3-2619A7A2ABE8}" name="Column14634" dataDxfId="1720"/>
    <tableColumn id="14683" xr3:uid="{34871190-690F-4173-A059-73932B6B5590}" name="Column14635" dataDxfId="1719"/>
    <tableColumn id="14684" xr3:uid="{B2CDBF72-E099-405B-A634-4F5AEB4B6088}" name="Column14636" dataDxfId="1718"/>
    <tableColumn id="14685" xr3:uid="{6D823A9C-53CE-4106-9966-D4D314CB973C}" name="Column14637" dataDxfId="1717"/>
    <tableColumn id="14686" xr3:uid="{E6AE8BE2-9ED2-449F-A327-3959DF747FD8}" name="Column14638" dataDxfId="1716"/>
    <tableColumn id="14687" xr3:uid="{7B743CCF-41A6-4CBD-92D6-EA368DD8394D}" name="Column14639" dataDxfId="1715"/>
    <tableColumn id="14688" xr3:uid="{60CAC575-667C-412B-ABCB-9CB98614D324}" name="Column14640" dataDxfId="1714"/>
    <tableColumn id="14689" xr3:uid="{7BCE1A91-6BD7-4B13-8A75-3BBAA4CE185D}" name="Column14641" dataDxfId="1713"/>
    <tableColumn id="14690" xr3:uid="{395F7162-0E90-42A6-A2BD-259062E86AF7}" name="Column14642" dataDxfId="1712"/>
    <tableColumn id="14691" xr3:uid="{A9761044-21CB-4ACB-B5E5-B81E221BCAE8}" name="Column14643" dataDxfId="1711"/>
    <tableColumn id="14692" xr3:uid="{F5799219-8614-418E-A19D-A1FC3B37F62D}" name="Column14644" dataDxfId="1710"/>
    <tableColumn id="14693" xr3:uid="{C3F3BE14-7BDF-4F23-A9D5-73FEDCE95098}" name="Column14645" dataDxfId="1709"/>
    <tableColumn id="14694" xr3:uid="{303966CD-9E16-44F2-8D33-BDF788BD4E53}" name="Column14646" dataDxfId="1708"/>
    <tableColumn id="14695" xr3:uid="{1D6AFBC4-D34C-4872-AF0A-116E092DD0C3}" name="Column14647" dataDxfId="1707"/>
    <tableColumn id="14696" xr3:uid="{1F9FCDB7-0F82-415D-A124-0E031DEE34FF}" name="Column14648" dataDxfId="1706"/>
    <tableColumn id="14697" xr3:uid="{AA08BEB7-11F6-473B-A39C-BBA3F1940266}" name="Column14649" dataDxfId="1705"/>
    <tableColumn id="14698" xr3:uid="{D7D8662D-977F-48F4-9F58-5E3958A5ED45}" name="Column14650" dataDxfId="1704"/>
    <tableColumn id="14699" xr3:uid="{5FC74F7F-EE7F-4CE6-8983-501DF8A05529}" name="Column14651" dataDxfId="1703"/>
    <tableColumn id="14700" xr3:uid="{AFF18551-2146-4AFD-AD78-EA04AECD99F4}" name="Column14652" dataDxfId="1702"/>
    <tableColumn id="14701" xr3:uid="{27D8FBF3-8CF3-473A-A946-E449018EF46E}" name="Column14653" dataDxfId="1701"/>
    <tableColumn id="14702" xr3:uid="{D656F817-911F-4857-9B63-62DD19489E91}" name="Column14654" dataDxfId="1700"/>
    <tableColumn id="14703" xr3:uid="{6902CEAE-BC6F-4074-9E0C-7CE3BC4ABA37}" name="Column14655" dataDxfId="1699"/>
    <tableColumn id="14704" xr3:uid="{9D147C80-39A9-4D23-B09B-A6C1CD48E037}" name="Column14656" dataDxfId="1698"/>
    <tableColumn id="14705" xr3:uid="{6EB3F56D-4EE7-4793-9176-E2D161208599}" name="Column14657" dataDxfId="1697"/>
    <tableColumn id="14706" xr3:uid="{58909429-0201-494C-8E67-2BA30A44DADC}" name="Column14658" dataDxfId="1696"/>
    <tableColumn id="14707" xr3:uid="{DF9936EC-AADA-4206-A8C9-0F6AA9A14962}" name="Column14659" dataDxfId="1695"/>
    <tableColumn id="14708" xr3:uid="{DF271CFE-FACE-4EAE-AB6A-E3837755643F}" name="Column14660" dataDxfId="1694"/>
    <tableColumn id="14709" xr3:uid="{574A0AFE-DAEE-4AB9-904B-13C8DA296C83}" name="Column14661" dataDxfId="1693"/>
    <tableColumn id="14710" xr3:uid="{0B5F11F4-3786-4E68-ACDE-7685B7C8542E}" name="Column14662" dataDxfId="1692"/>
    <tableColumn id="14711" xr3:uid="{26447E2F-4EF8-483D-B226-45E1B1EF6B6D}" name="Column14663" dataDxfId="1691"/>
    <tableColumn id="14712" xr3:uid="{3CBB443C-ED2B-4459-808B-5D774E26438A}" name="Column14664" dataDxfId="1690"/>
    <tableColumn id="14713" xr3:uid="{6628CC12-2B2E-41CD-A949-2464F6F8E5B7}" name="Column14665" dataDxfId="1689"/>
    <tableColumn id="14714" xr3:uid="{5E274B53-2957-420F-BE98-2A4CD1551711}" name="Column14666" dataDxfId="1688"/>
    <tableColumn id="14715" xr3:uid="{C1179820-C001-40D0-A4C5-B3BC1182E26D}" name="Column14667" dataDxfId="1687"/>
    <tableColumn id="14716" xr3:uid="{F63BAAC0-3E0D-42D4-BC39-94C5BAE77FAB}" name="Column14668" dataDxfId="1686"/>
    <tableColumn id="14717" xr3:uid="{DECF8FF2-E741-4F7E-A3B2-AD33223B16AD}" name="Column14669" dataDxfId="1685"/>
    <tableColumn id="14718" xr3:uid="{88FD3F72-87A5-4A60-B0AC-14132B4EB9F2}" name="Column14670" dataDxfId="1684"/>
    <tableColumn id="14719" xr3:uid="{4A55A07D-BBC4-4B87-99F4-C3E962BBD57E}" name="Column14671" dataDxfId="1683"/>
    <tableColumn id="14720" xr3:uid="{97FE0915-EDEF-4875-9D7C-A194DBCE25A2}" name="Column14672" dataDxfId="1682"/>
    <tableColumn id="14721" xr3:uid="{A41E6F5A-66EB-4464-B5FF-4F3DA4CC73C7}" name="Column14673" dataDxfId="1681"/>
    <tableColumn id="14722" xr3:uid="{29E9CCBE-F05C-4F63-A05C-A4AB2266B6A3}" name="Column14674" dataDxfId="1680"/>
    <tableColumn id="14723" xr3:uid="{F99A3D11-1431-4853-A706-003DE9185F7B}" name="Column14675" dataDxfId="1679"/>
    <tableColumn id="14724" xr3:uid="{B79FA4FE-673E-43C6-9EB9-21BADC69A427}" name="Column14676" dataDxfId="1678"/>
    <tableColumn id="14725" xr3:uid="{84F921DC-DA72-43FA-A081-B74481D2ECC7}" name="Column14677" dataDxfId="1677"/>
    <tableColumn id="14726" xr3:uid="{F3671FE0-74CF-4F01-B50C-6CB3ED4CBCCB}" name="Column14678" dataDxfId="1676"/>
    <tableColumn id="14727" xr3:uid="{95338B71-C9D7-4AE2-935D-4E6A7558BF7A}" name="Column14679" dataDxfId="1675"/>
    <tableColumn id="14728" xr3:uid="{590B8AFE-246D-419C-ACE6-6393945E8D06}" name="Column14680" dataDxfId="1674"/>
    <tableColumn id="14729" xr3:uid="{8F7C8191-F50E-4042-AEC5-2EA512EF51B9}" name="Column14681" dataDxfId="1673"/>
    <tableColumn id="14730" xr3:uid="{1779E0F3-1CF6-4866-AD49-B149985557F2}" name="Column14682" dataDxfId="1672"/>
    <tableColumn id="14731" xr3:uid="{D8D40C25-E53A-4E60-95CA-F2CAD6739B39}" name="Column14683" dataDxfId="1671"/>
    <tableColumn id="14732" xr3:uid="{A82DD45A-8309-4696-80D3-EDDB9FB9B68C}" name="Column14684" dataDxfId="1670"/>
    <tableColumn id="14733" xr3:uid="{1F89F576-FC02-42A3-8E46-633F5744286D}" name="Column14685" dataDxfId="1669"/>
    <tableColumn id="14734" xr3:uid="{2A7A6E36-A4E8-4D49-ABC5-DB29E798E875}" name="Column14686" dataDxfId="1668"/>
    <tableColumn id="14735" xr3:uid="{44900B11-85B9-46ED-A4E8-14C3C2C8452E}" name="Column14687" dataDxfId="1667"/>
    <tableColumn id="14736" xr3:uid="{1751146E-7492-497D-8051-49EDFC38D4EF}" name="Column14688" dataDxfId="1666"/>
    <tableColumn id="14737" xr3:uid="{F16A8671-CFD0-40AE-A436-219C4F685EE2}" name="Column14689" dataDxfId="1665"/>
    <tableColumn id="14738" xr3:uid="{AC19150B-ED22-42AA-9DA0-08D9D4356040}" name="Column14690" dataDxfId="1664"/>
    <tableColumn id="14739" xr3:uid="{8E73F721-6E47-4173-A9DE-88036B03D011}" name="Column14691" dataDxfId="1663"/>
    <tableColumn id="14740" xr3:uid="{32873630-9B0A-4C37-B029-23AA7F76004A}" name="Column14692" dataDxfId="1662"/>
    <tableColumn id="14741" xr3:uid="{F02F6FA9-69F7-4D1C-8299-09A278C66BCF}" name="Column14693" dataDxfId="1661"/>
    <tableColumn id="14742" xr3:uid="{16B59D9F-7332-4DA0-A6FA-C6D91DA99D52}" name="Column14694" dataDxfId="1660"/>
    <tableColumn id="14743" xr3:uid="{27B952AA-1F1E-43E2-AFDD-E01FF08DA2F8}" name="Column14695" dataDxfId="1659"/>
    <tableColumn id="14744" xr3:uid="{946DA59D-69EB-4C12-9135-595F2237F88F}" name="Column14696" dataDxfId="1658"/>
    <tableColumn id="14745" xr3:uid="{8FF4E812-24FB-41AB-9DDD-EE4F814BE06A}" name="Column14697" dataDxfId="1657"/>
    <tableColumn id="14746" xr3:uid="{125086D0-E22F-4555-A622-1936A1BC2BA5}" name="Column14698" dataDxfId="1656"/>
    <tableColumn id="14747" xr3:uid="{35004D0F-BC86-4737-9F1F-EA966B9F5EAA}" name="Column14699" dataDxfId="1655"/>
    <tableColumn id="14748" xr3:uid="{A2FC200B-DB06-41E0-B0D3-4D7206AB60AA}" name="Column14700" dataDxfId="1654"/>
    <tableColumn id="14749" xr3:uid="{C114AF6D-3C31-497F-B27F-EEF6FF6B5DFA}" name="Column14701" dataDxfId="1653"/>
    <tableColumn id="14750" xr3:uid="{38B6F937-41EB-4C38-8F38-3AAF6F670702}" name="Column14702" dataDxfId="1652"/>
    <tableColumn id="14751" xr3:uid="{FEEC49AB-D3BF-45A9-9650-B5D82B0CDA8A}" name="Column14703" dataDxfId="1651"/>
    <tableColumn id="14752" xr3:uid="{BABD299C-5560-4E73-A725-05A093EC11BD}" name="Column14704" dataDxfId="1650"/>
    <tableColumn id="14753" xr3:uid="{4C7DBDA8-CF16-490D-9138-628EA0C16208}" name="Column14705" dataDxfId="1649"/>
    <tableColumn id="14754" xr3:uid="{050F1D00-700A-40EB-BAF8-E79F3832893D}" name="Column14706" dataDxfId="1648"/>
    <tableColumn id="14755" xr3:uid="{E6F7D8A5-9916-4922-A9C7-A3C3875201DB}" name="Column14707" dataDxfId="1647"/>
    <tableColumn id="14756" xr3:uid="{9B1167E0-62FC-4133-8372-07DE5567D767}" name="Column14708" dataDxfId="1646"/>
    <tableColumn id="14757" xr3:uid="{132833ED-4B9A-447F-994E-9CF8F60BEC33}" name="Column14709" dataDxfId="1645"/>
    <tableColumn id="14758" xr3:uid="{4EDEC4A3-617D-49F7-A366-0506CC2CA6E9}" name="Column14710" dataDxfId="1644"/>
    <tableColumn id="14759" xr3:uid="{B8256986-DF09-4871-9482-41E3F3C04A3F}" name="Column14711" dataDxfId="1643"/>
    <tableColumn id="14760" xr3:uid="{26598F5C-78A9-419C-A646-06DAE9E8F15E}" name="Column14712" dataDxfId="1642"/>
    <tableColumn id="14761" xr3:uid="{593FAD9B-A9AF-4D74-B923-1FEDA02E63DC}" name="Column14713" dataDxfId="1641"/>
    <tableColumn id="14762" xr3:uid="{A89C9034-B5DC-4302-B5CB-A84E3748A6B3}" name="Column14714" dataDxfId="1640"/>
    <tableColumn id="14763" xr3:uid="{05B6CAC6-81E4-45B9-BDC0-63205A1EAD7B}" name="Column14715" dataDxfId="1639"/>
    <tableColumn id="14764" xr3:uid="{436580D5-8B46-471F-B237-03B4FA3A0A5D}" name="Column14716" dataDxfId="1638"/>
    <tableColumn id="14765" xr3:uid="{08FB0E33-E3B0-42AC-A3EB-95DEDE1211DB}" name="Column14717" dataDxfId="1637"/>
    <tableColumn id="14766" xr3:uid="{0C7DEE9A-BF9C-4932-86DE-60DA93C9653C}" name="Column14718" dataDxfId="1636"/>
    <tableColumn id="14767" xr3:uid="{41749ADC-835D-4C84-8E22-3B7A1CDF5C16}" name="Column14719" dataDxfId="1635"/>
    <tableColumn id="14768" xr3:uid="{34363673-A116-41CF-A355-A267876D0845}" name="Column14720" dataDxfId="1634"/>
    <tableColumn id="14769" xr3:uid="{2B8E8000-D765-4DF8-B328-BBE54EF026C8}" name="Column14721" dataDxfId="1633"/>
    <tableColumn id="14770" xr3:uid="{AF6DEF47-F39A-438E-849C-5D0CF12CDD52}" name="Column14722" dataDxfId="1632"/>
    <tableColumn id="14771" xr3:uid="{66FBD2AF-0926-4406-B9F5-D74F8F5335B7}" name="Column14723" dataDxfId="1631"/>
    <tableColumn id="14772" xr3:uid="{4DBC44BB-C8CD-40A6-B237-FA1C36613336}" name="Column14724" dataDxfId="1630"/>
    <tableColumn id="14773" xr3:uid="{771B1C30-6CFD-4B5D-A03B-A0662C1B14DA}" name="Column14725" dataDxfId="1629"/>
    <tableColumn id="14774" xr3:uid="{890B27DE-0EB7-488D-A56C-DE22880133D1}" name="Column14726" dataDxfId="1628"/>
    <tableColumn id="14775" xr3:uid="{52A523F6-2F02-4040-A089-B2C38E367D24}" name="Column14727" dataDxfId="1627"/>
    <tableColumn id="14776" xr3:uid="{95A2100A-1F45-42CF-A5AF-D5D82187622E}" name="Column14728" dataDxfId="1626"/>
    <tableColumn id="14777" xr3:uid="{E0371E3B-87DF-478F-AEC2-60A0403E39A0}" name="Column14729" dataDxfId="1625"/>
    <tableColumn id="14778" xr3:uid="{F5573152-3F16-46F5-8EF9-5F8836DD7167}" name="Column14730" dataDxfId="1624"/>
    <tableColumn id="14779" xr3:uid="{03C0524B-2797-4745-8E88-5399789CFCD4}" name="Column14731" dataDxfId="1623"/>
    <tableColumn id="14780" xr3:uid="{36A3DF06-79F1-4657-96F3-94AF6EB7FCA1}" name="Column14732" dataDxfId="1622"/>
    <tableColumn id="14781" xr3:uid="{C3653BC8-0CA8-4C5F-8270-F3F36D97758A}" name="Column14733" dataDxfId="1621"/>
    <tableColumn id="14782" xr3:uid="{FE2CFCAB-5FAD-4D2D-957C-BEAF76E18BDE}" name="Column14734" dataDxfId="1620"/>
    <tableColumn id="14783" xr3:uid="{1AA196AF-9CB3-483D-9734-0D76D28F8BC3}" name="Column14735" dataDxfId="1619"/>
    <tableColumn id="14784" xr3:uid="{52034885-236A-4AD0-9478-C38C13FDCA66}" name="Column14736" dataDxfId="1618"/>
    <tableColumn id="14785" xr3:uid="{251B51C1-CB04-4483-AF61-F9D5236B528C}" name="Column14737" dataDxfId="1617"/>
    <tableColumn id="14786" xr3:uid="{F506BE26-3FF6-4FAC-B145-413A030CE6FA}" name="Column14738" dataDxfId="1616"/>
    <tableColumn id="14787" xr3:uid="{B8A86486-0021-42EF-ABA1-3B1C4893501E}" name="Column14739" dataDxfId="1615"/>
    <tableColumn id="14788" xr3:uid="{CACB7EFC-0472-4B61-B145-347CC4319441}" name="Column14740" dataDxfId="1614"/>
    <tableColumn id="14789" xr3:uid="{CAA65407-6A64-4366-9576-FA1B281FADF9}" name="Column14741" dataDxfId="1613"/>
    <tableColumn id="14790" xr3:uid="{3E41D8DD-54C8-48BD-BF9A-FFBB269F154E}" name="Column14742" dataDxfId="1612"/>
    <tableColumn id="14791" xr3:uid="{2AE8B46F-0BB0-412F-AB21-D1D52CE02161}" name="Column14743" dataDxfId="1611"/>
    <tableColumn id="14792" xr3:uid="{A0CDB9D3-0E37-4E07-89CF-82CDFC61FEC7}" name="Column14744" dataDxfId="1610"/>
    <tableColumn id="14793" xr3:uid="{CFAA1AE2-6D25-46DC-B933-03D9022435E1}" name="Column14745" dataDxfId="1609"/>
    <tableColumn id="14794" xr3:uid="{8314FF94-A9DF-48C6-9D21-8ADAD22AD109}" name="Column14746" dataDxfId="1608"/>
    <tableColumn id="14795" xr3:uid="{A878E09C-4F2D-417E-8121-E64105BA7D5B}" name="Column14747" dataDxfId="1607"/>
    <tableColumn id="14796" xr3:uid="{42859D9C-8E19-4798-80DC-B2C5DA526E5B}" name="Column14748" dataDxfId="1606"/>
    <tableColumn id="14797" xr3:uid="{F7840813-4177-4FF0-898B-FC251A406E8F}" name="Column14749" dataDxfId="1605"/>
    <tableColumn id="14798" xr3:uid="{8FE6629C-1B14-48A2-B59A-8B6E3F1C33AD}" name="Column14750" dataDxfId="1604"/>
    <tableColumn id="14799" xr3:uid="{3036052F-C536-4882-87AD-F7122296FCE3}" name="Column14751" dataDxfId="1603"/>
    <tableColumn id="14800" xr3:uid="{E3F542AE-E4E5-40C0-A6DE-434AC72EC750}" name="Column14752" dataDxfId="1602"/>
    <tableColumn id="14801" xr3:uid="{1F76DC1E-C805-4B7C-B5A0-80C8BB989B56}" name="Column14753" dataDxfId="1601"/>
    <tableColumn id="14802" xr3:uid="{047B514B-2C10-494B-A4A2-E75B2C4C0654}" name="Column14754" dataDxfId="1600"/>
    <tableColumn id="14803" xr3:uid="{E8533990-5A2E-444D-8FF6-A329AE224530}" name="Column14755" dataDxfId="1599"/>
    <tableColumn id="14804" xr3:uid="{28CA3EE9-4026-49D4-A1B1-216A0F54FD3E}" name="Column14756" dataDxfId="1598"/>
    <tableColumn id="14805" xr3:uid="{04D0259A-DA46-4148-BBA3-FC2A2E5BEF7B}" name="Column14757" dataDxfId="1597"/>
    <tableColumn id="14806" xr3:uid="{5BC860FF-2EAD-44E1-8D3A-1C4CF80601C7}" name="Column14758" dataDxfId="1596"/>
    <tableColumn id="14807" xr3:uid="{1A546704-C5A4-4E62-91BC-90BE95191218}" name="Column14759" dataDxfId="1595"/>
    <tableColumn id="14808" xr3:uid="{EDA11A7D-5AAF-4E93-B6E9-C22FA6CD9494}" name="Column14760" dataDxfId="1594"/>
    <tableColumn id="14809" xr3:uid="{405F7132-E531-4DA4-A34F-AD6E01DD6ABB}" name="Column14761" dataDxfId="1593"/>
    <tableColumn id="14810" xr3:uid="{703584D9-EA11-4737-BC22-91A686B3E224}" name="Column14762" dataDxfId="1592"/>
    <tableColumn id="14811" xr3:uid="{6842E59C-6EEC-493B-A38A-85711FA5E596}" name="Column14763" dataDxfId="1591"/>
    <tableColumn id="14812" xr3:uid="{04D1AF3B-73F7-42E6-A1B0-4D26936D093F}" name="Column14764" dataDxfId="1590"/>
    <tableColumn id="14813" xr3:uid="{97EF571F-E899-4640-8B68-19455A95B793}" name="Column14765" dataDxfId="1589"/>
    <tableColumn id="14814" xr3:uid="{4F1977AE-0082-466C-A85B-27F437D68337}" name="Column14766" dataDxfId="1588"/>
    <tableColumn id="14815" xr3:uid="{B5DC3BA7-7888-4647-8D81-F7E56E099020}" name="Column14767" dataDxfId="1587"/>
    <tableColumn id="14816" xr3:uid="{C1492CC1-C2B2-4815-9B06-C9F254D361CC}" name="Column14768" dataDxfId="1586"/>
    <tableColumn id="14817" xr3:uid="{2783FAC7-C3DE-4B0B-9602-C4F3B7CA8486}" name="Column14769" dataDxfId="1585"/>
    <tableColumn id="14818" xr3:uid="{D20B404E-44F1-4A81-9338-B1CEF28AF67B}" name="Column14770" dataDxfId="1584"/>
    <tableColumn id="14819" xr3:uid="{1F5E7766-F6D8-49B2-AE9F-3F58BAA08CF4}" name="Column14771" dataDxfId="1583"/>
    <tableColumn id="14820" xr3:uid="{318C5276-46FC-44DA-9F34-BF4F341CBB9B}" name="Column14772" dataDxfId="1582"/>
    <tableColumn id="14821" xr3:uid="{2B91326C-6D80-474B-9B54-FE7956C4F8AD}" name="Column14773" dataDxfId="1581"/>
    <tableColumn id="14822" xr3:uid="{C0572337-4DA9-49DE-925A-E60637957125}" name="Column14774" dataDxfId="1580"/>
    <tableColumn id="14823" xr3:uid="{996C3889-5F2B-4699-BDB4-2BB67DB224C8}" name="Column14775" dataDxfId="1579"/>
    <tableColumn id="14824" xr3:uid="{7566A79F-3FD4-4C85-9623-5F83DEFD20E8}" name="Column14776" dataDxfId="1578"/>
    <tableColumn id="14825" xr3:uid="{4A3D869B-A114-433C-893B-6BA804FA02DE}" name="Column14777" dataDxfId="1577"/>
    <tableColumn id="14826" xr3:uid="{04143E94-1BFA-43C6-BC94-47482151BCEF}" name="Column14778" dataDxfId="1576"/>
    <tableColumn id="14827" xr3:uid="{86ABD48A-6EDA-43ED-841E-96D61D4FD708}" name="Column14779" dataDxfId="1575"/>
    <tableColumn id="14828" xr3:uid="{2065AFEB-D955-41AB-9A38-7D3A95A5A6AA}" name="Column14780" dataDxfId="1574"/>
    <tableColumn id="14829" xr3:uid="{FBE6F326-37F8-4E7E-A58F-CA7D09A57C07}" name="Column14781" dataDxfId="1573"/>
    <tableColumn id="14830" xr3:uid="{B5F3DD32-C9D9-4F91-8758-4459C98DF837}" name="Column14782" dataDxfId="1572"/>
    <tableColumn id="14831" xr3:uid="{951D09A8-917F-40F5-9A00-4A72A4A82D05}" name="Column14783" dataDxfId="1571"/>
    <tableColumn id="14832" xr3:uid="{8873E558-4B99-4A9F-9B11-0E312E8F3AA6}" name="Column14784" dataDxfId="1570"/>
    <tableColumn id="14833" xr3:uid="{FC0C538B-62C1-49E8-BEE6-27DA33FD9F60}" name="Column14785" dataDxfId="1569"/>
    <tableColumn id="14834" xr3:uid="{DD388F7B-5346-4575-86A2-9F49A0E3F041}" name="Column14786" dataDxfId="1568"/>
    <tableColumn id="14835" xr3:uid="{496353B6-3B04-47EC-87D9-9A63901D2CBB}" name="Column14787" dataDxfId="1567"/>
    <tableColumn id="14836" xr3:uid="{7AEFEF47-35E3-43A9-AB3B-3543B3423A80}" name="Column14788" dataDxfId="1566"/>
    <tableColumn id="14837" xr3:uid="{F57778C9-A896-4BB7-954A-65888109F2B9}" name="Column14789" dataDxfId="1565"/>
    <tableColumn id="14838" xr3:uid="{89A64A41-507B-49D9-90E5-2577559C945B}" name="Column14790" dataDxfId="1564"/>
    <tableColumn id="14839" xr3:uid="{086EC5CC-DABA-4A0F-971E-CF5EC7E4961D}" name="Column14791" dataDxfId="1563"/>
    <tableColumn id="14840" xr3:uid="{616F9BEB-7D81-4363-9840-11469484188F}" name="Column14792" dataDxfId="1562"/>
    <tableColumn id="14841" xr3:uid="{9F68E838-894D-4CFE-A532-55C5750DAF98}" name="Column14793" dataDxfId="1561"/>
    <tableColumn id="14842" xr3:uid="{3B04E40A-94D4-41EA-917D-DEFE08E459A9}" name="Column14794" dataDxfId="1560"/>
    <tableColumn id="14843" xr3:uid="{ECD2316B-F88C-4787-91CB-413E025D2CBE}" name="Column14795" dataDxfId="1559"/>
    <tableColumn id="14844" xr3:uid="{2D11373F-6826-421F-A66D-4597E2EC7158}" name="Column14796" dataDxfId="1558"/>
    <tableColumn id="14845" xr3:uid="{260F696B-C781-4DA0-9F42-F5658E81018D}" name="Column14797" dataDxfId="1557"/>
    <tableColumn id="14846" xr3:uid="{B73B8C12-CBCA-457B-A31B-06C3F080391F}" name="Column14798" dataDxfId="1556"/>
    <tableColumn id="14847" xr3:uid="{9ECDD884-6200-44E9-9EA1-53B1549829C0}" name="Column14799" dataDxfId="1555"/>
    <tableColumn id="14848" xr3:uid="{76A7494D-FEC1-4F1E-B04D-D25DD4D3EC01}" name="Column14800" dataDxfId="1554"/>
    <tableColumn id="14849" xr3:uid="{73BDAC75-C724-41BE-BA9E-BF3A21929486}" name="Column14801" dataDxfId="1553"/>
    <tableColumn id="14850" xr3:uid="{A25BB12D-C1B3-4E95-8C18-8E232AE49800}" name="Column14802" dataDxfId="1552"/>
    <tableColumn id="14851" xr3:uid="{022DC674-B22A-44C4-996B-B29C862E1EB1}" name="Column14803" dataDxfId="1551"/>
    <tableColumn id="14852" xr3:uid="{2792E42D-1C19-4201-B9FD-8717170FEF37}" name="Column14804" dataDxfId="1550"/>
    <tableColumn id="14853" xr3:uid="{36830661-4404-4E28-B68E-506CD5375014}" name="Column14805" dataDxfId="1549"/>
    <tableColumn id="14854" xr3:uid="{17CFA560-09BA-403A-9479-5E7A28183765}" name="Column14806" dataDxfId="1548"/>
    <tableColumn id="14855" xr3:uid="{D3343FB7-9597-48AD-9393-44BCC08A4758}" name="Column14807" dataDxfId="1547"/>
    <tableColumn id="14856" xr3:uid="{8D5838D1-EACD-4500-8F27-98E7C1911211}" name="Column14808" dataDxfId="1546"/>
    <tableColumn id="14857" xr3:uid="{4BD53FF9-132A-4567-B04F-C8B4C81D8B97}" name="Column14809" dataDxfId="1545"/>
    <tableColumn id="14858" xr3:uid="{D45D70F9-1118-4329-8611-1E78C910F617}" name="Column14810" dataDxfId="1544"/>
    <tableColumn id="14859" xr3:uid="{AC0CF9E0-30A6-4AA6-AB09-49E69017C06D}" name="Column14811" dataDxfId="1543"/>
    <tableColumn id="14860" xr3:uid="{A920074C-8399-4570-BA7F-E6F02CD592E6}" name="Column14812" dataDxfId="1542"/>
    <tableColumn id="14861" xr3:uid="{3B4246CD-4BB6-4BF1-80BE-6AB575FA6936}" name="Column14813" dataDxfId="1541"/>
    <tableColumn id="14862" xr3:uid="{13E0B071-15A4-4782-925D-C0EAF22434B7}" name="Column14814" dataDxfId="1540"/>
    <tableColumn id="14863" xr3:uid="{6A41AA20-5912-40A4-A6F3-C1444471C7A7}" name="Column14815" dataDxfId="1539"/>
    <tableColumn id="14864" xr3:uid="{D0C2F0BB-1218-486F-83CB-074A6C5CC685}" name="Column14816" dataDxfId="1538"/>
    <tableColumn id="14865" xr3:uid="{ED28D240-78C2-40B9-910A-D3E97741EB54}" name="Column14817" dataDxfId="1537"/>
    <tableColumn id="14866" xr3:uid="{0126C3F3-2C66-4CF6-898A-21E14CC9BEEE}" name="Column14818" dataDxfId="1536"/>
    <tableColumn id="14867" xr3:uid="{6467AD59-8A65-411B-BBD8-267F82822E2E}" name="Column14819" dataDxfId="1535"/>
    <tableColumn id="14868" xr3:uid="{773B699A-316B-4D96-A785-3A7E9D7B08E8}" name="Column14820" dataDxfId="1534"/>
    <tableColumn id="14869" xr3:uid="{9CFF8BEC-C08F-4512-B30F-39BB3F786C2C}" name="Column14821" dataDxfId="1533"/>
    <tableColumn id="14870" xr3:uid="{FC233B69-E909-47E9-A408-7312CDDB7626}" name="Column14822" dataDxfId="1532"/>
    <tableColumn id="14871" xr3:uid="{FE69ACC2-AF21-4A8D-B063-31931E75E8E1}" name="Column14823" dataDxfId="1531"/>
    <tableColumn id="14872" xr3:uid="{096B4740-3EB6-4855-BEEB-987F94937318}" name="Column14824" dataDxfId="1530"/>
    <tableColumn id="14873" xr3:uid="{0FEF757C-6DAB-4DF2-80FB-CB9C5FB664B4}" name="Column14825" dataDxfId="1529"/>
    <tableColumn id="14874" xr3:uid="{18F3C200-3C58-41CD-A890-1DDBBBB94EDC}" name="Column14826" dataDxfId="1528"/>
    <tableColumn id="14875" xr3:uid="{71FD2699-4CD9-4C90-8916-166F2E1545E3}" name="Column14827" dataDxfId="1527"/>
    <tableColumn id="14876" xr3:uid="{F4EA9E14-3C29-43AD-9A9B-D46BFAF43A36}" name="Column14828" dataDxfId="1526"/>
    <tableColumn id="14877" xr3:uid="{B1625DC8-2DBA-4E4E-9663-349268BF8E21}" name="Column14829" dataDxfId="1525"/>
    <tableColumn id="14878" xr3:uid="{6F029E6E-4690-4E5A-B394-BF28596BA0C5}" name="Column14830" dataDxfId="1524"/>
    <tableColumn id="14879" xr3:uid="{3CE9B642-7788-4996-B15D-69490AD62B7D}" name="Column14831" dataDxfId="1523"/>
    <tableColumn id="14880" xr3:uid="{8661FC1B-ECF0-4803-8073-9A4A89D46BB9}" name="Column14832" dataDxfId="1522"/>
    <tableColumn id="14881" xr3:uid="{1A220212-B2FB-4AD7-AA17-2CCB8A62C948}" name="Column14833" dataDxfId="1521"/>
    <tableColumn id="14882" xr3:uid="{74628B31-43A6-4C6A-9912-E570608D1152}" name="Column14834" dataDxfId="1520"/>
    <tableColumn id="14883" xr3:uid="{AC2C3C24-C55E-4967-8D79-286B9CFD8BCE}" name="Column14835" dataDxfId="1519"/>
    <tableColumn id="14884" xr3:uid="{4B281BFA-2BDD-4928-BB8F-3468FBA0DA9D}" name="Column14836" dataDxfId="1518"/>
    <tableColumn id="14885" xr3:uid="{E78A3390-048D-4886-8F54-6ED1FA763318}" name="Column14837" dataDxfId="1517"/>
    <tableColumn id="14886" xr3:uid="{79682C99-3447-4F8D-ADB1-2D52101641A9}" name="Column14838" dataDxfId="1516"/>
    <tableColumn id="14887" xr3:uid="{046DF39F-4650-414B-BEC1-A7D3C48C461C}" name="Column14839" dataDxfId="1515"/>
    <tableColumn id="14888" xr3:uid="{77F53F81-5F94-4365-A7B4-56BB44D0A272}" name="Column14840" dataDxfId="1514"/>
    <tableColumn id="14889" xr3:uid="{C1C5E1EA-F59F-412A-BC89-E9B784A543C9}" name="Column14841" dataDxfId="1513"/>
    <tableColumn id="14890" xr3:uid="{30792C88-7965-4FA7-BE8C-F44ECEE32B0A}" name="Column14842" dataDxfId="1512"/>
    <tableColumn id="14891" xr3:uid="{66BFD343-5AC5-4DB3-B9CD-666397DE6804}" name="Column14843" dataDxfId="1511"/>
    <tableColumn id="14892" xr3:uid="{A7D10EBE-2A6A-4D62-9956-996CABFDC8FF}" name="Column14844" dataDxfId="1510"/>
    <tableColumn id="14893" xr3:uid="{4BFF0670-E1D6-4257-9424-3B762DF5DE05}" name="Column14845" dataDxfId="1509"/>
    <tableColumn id="14894" xr3:uid="{C8D89F2F-3DB3-4247-8BC3-C3726A1A0385}" name="Column14846" dataDxfId="1508"/>
    <tableColumn id="14895" xr3:uid="{E8B88EAF-E270-4B05-8755-2B56CB949676}" name="Column14847" dataDxfId="1507"/>
    <tableColumn id="14896" xr3:uid="{7230F14C-D78C-414D-9B77-F861FE1913F9}" name="Column14848" dataDxfId="1506"/>
    <tableColumn id="14897" xr3:uid="{C3D1A464-3E18-489C-84E9-48B162A1B777}" name="Column14849" dataDxfId="1505"/>
    <tableColumn id="14898" xr3:uid="{1C6E8BB3-9EFE-43A1-AA77-CA5F789293D4}" name="Column14850" dataDxfId="1504"/>
    <tableColumn id="14899" xr3:uid="{A0DC9D33-6EF3-4732-BA66-C506B7F0EF9F}" name="Column14851" dataDxfId="1503"/>
    <tableColumn id="14900" xr3:uid="{774A6A0E-312E-413E-9408-02B3AC7902F4}" name="Column14852" dataDxfId="1502"/>
    <tableColumn id="14901" xr3:uid="{680668B0-9D24-4EA2-AD77-1E24456141B6}" name="Column14853" dataDxfId="1501"/>
    <tableColumn id="14902" xr3:uid="{A3646665-738D-412A-84E9-07BDBB25915C}" name="Column14854" dataDxfId="1500"/>
    <tableColumn id="14903" xr3:uid="{43200920-507E-466E-A2FA-D74E5162C0CB}" name="Column14855" dataDxfId="1499"/>
    <tableColumn id="14904" xr3:uid="{E896A30E-21A1-4081-90C0-F4C3745B82B4}" name="Column14856" dataDxfId="1498"/>
    <tableColumn id="14905" xr3:uid="{BF005CA4-7C7D-4D84-B749-4EAC584FDD06}" name="Column14857" dataDxfId="1497"/>
    <tableColumn id="14906" xr3:uid="{110AED04-C3D4-4972-874E-223D45F0734D}" name="Column14858" dataDxfId="1496"/>
    <tableColumn id="14907" xr3:uid="{38F2A618-F90E-4C40-9B4B-EF86075A5B10}" name="Column14859" dataDxfId="1495"/>
    <tableColumn id="14908" xr3:uid="{A8DB8D0B-DC0F-413F-A57C-0B00081A755A}" name="Column14860" dataDxfId="1494"/>
    <tableColumn id="14909" xr3:uid="{D185794D-4531-42CA-BAC5-FF22D88ABD9C}" name="Column14861" dataDxfId="1493"/>
    <tableColumn id="14910" xr3:uid="{0D21441C-E6AD-44F4-9665-9AA76C08E075}" name="Column14862" dataDxfId="1492"/>
    <tableColumn id="14911" xr3:uid="{0F1019FC-C62F-4816-B074-441DB5ED08F4}" name="Column14863" dataDxfId="1491"/>
    <tableColumn id="14912" xr3:uid="{B62FA4FD-A4C8-4ECE-949C-8273ADFA1E56}" name="Column14864" dataDxfId="1490"/>
    <tableColumn id="14913" xr3:uid="{2AE2B7BF-9872-403C-8257-F13CA68B17E6}" name="Column14865" dataDxfId="1489"/>
    <tableColumn id="14914" xr3:uid="{A824C2B5-3855-4215-A6F1-32B79D7D352F}" name="Column14866" dataDxfId="1488"/>
    <tableColumn id="14915" xr3:uid="{0C7E1B90-A1F6-4C07-B85E-B55B8F76DDDF}" name="Column14867" dataDxfId="1487"/>
    <tableColumn id="14916" xr3:uid="{CB1210B2-62E4-4EEA-B22C-C1A2B2EAE0F4}" name="Column14868" dataDxfId="1486"/>
    <tableColumn id="14917" xr3:uid="{65954C92-F9EF-4470-BA61-07187DC4FEAC}" name="Column14869" dataDxfId="1485"/>
    <tableColumn id="14918" xr3:uid="{B05C2C11-932B-471A-A001-A6C313586D51}" name="Column14870" dataDxfId="1484"/>
    <tableColumn id="14919" xr3:uid="{B192CE00-0BEC-4F3D-AAF4-37D371F2EEB8}" name="Column14871" dataDxfId="1483"/>
    <tableColumn id="14920" xr3:uid="{A7C30686-83F5-45F0-BE67-8DFE93EFD128}" name="Column14872" dataDxfId="1482"/>
    <tableColumn id="14921" xr3:uid="{EE4D9E2A-2934-43FC-89C9-8028504A155A}" name="Column14873" dataDxfId="1481"/>
    <tableColumn id="14922" xr3:uid="{9257B420-9BDC-4E2C-BB62-B3C0109121DA}" name="Column14874" dataDxfId="1480"/>
    <tableColumn id="14923" xr3:uid="{B0FD4710-B820-422C-94A0-570826CD5664}" name="Column14875" dataDxfId="1479"/>
    <tableColumn id="14924" xr3:uid="{65F8BC77-4103-4FDC-8618-418854B9E01D}" name="Column14876" dataDxfId="1478"/>
    <tableColumn id="14925" xr3:uid="{94944F74-8AF7-4BF8-9152-B506C8C1C719}" name="Column14877" dataDxfId="1477"/>
    <tableColumn id="14926" xr3:uid="{0D96284B-2EC4-474C-B7EC-B466CE67CE61}" name="Column14878" dataDxfId="1476"/>
    <tableColumn id="14927" xr3:uid="{DE22E138-272D-43B4-901C-10C643638F95}" name="Column14879" dataDxfId="1475"/>
    <tableColumn id="14928" xr3:uid="{A2117AD4-F4AA-4B38-91BB-B26B9BE0D570}" name="Column14880" dataDxfId="1474"/>
    <tableColumn id="14929" xr3:uid="{2F029A03-804B-4156-8F9C-FFA2F4609DC7}" name="Column14881" dataDxfId="1473"/>
    <tableColumn id="14930" xr3:uid="{68700909-74CB-47FA-8204-F5535ABD5F4C}" name="Column14882" dataDxfId="1472"/>
    <tableColumn id="14931" xr3:uid="{10D89F08-1B90-4714-81BA-A1D4B112D8C6}" name="Column14883" dataDxfId="1471"/>
    <tableColumn id="14932" xr3:uid="{32B3C8F5-25E4-4835-BB5C-AD0A85110E06}" name="Column14884" dataDxfId="1470"/>
    <tableColumn id="14933" xr3:uid="{5C0C74E4-1EE8-45C6-849E-F58EC454E724}" name="Column14885" dataDxfId="1469"/>
    <tableColumn id="14934" xr3:uid="{96B3A126-6D31-421D-A37A-B2402ACF1573}" name="Column14886" dataDxfId="1468"/>
    <tableColumn id="14935" xr3:uid="{909B0A25-5A48-4D5A-A10E-90230F12E012}" name="Column14887" dataDxfId="1467"/>
    <tableColumn id="14936" xr3:uid="{8FBEBEE9-AE30-4F15-99EB-2498B8DACE89}" name="Column14888" dataDxfId="1466"/>
    <tableColumn id="14937" xr3:uid="{67E14106-10D4-480E-B0D4-A4F46F406CDA}" name="Column14889" dataDxfId="1465"/>
    <tableColumn id="14938" xr3:uid="{D9EDF2EA-1DE9-463D-B41E-6C5BD732A0E2}" name="Column14890" dataDxfId="1464"/>
    <tableColumn id="14939" xr3:uid="{3F87B074-4CCB-4E06-8570-C81279F33821}" name="Column14891" dataDxfId="1463"/>
    <tableColumn id="14940" xr3:uid="{DF11FE75-A378-4D24-8E27-4B65B7057498}" name="Column14892" dataDxfId="1462"/>
    <tableColumn id="14941" xr3:uid="{FDF74920-9B38-4DE5-9526-2B923A859B6E}" name="Column14893" dataDxfId="1461"/>
    <tableColumn id="14942" xr3:uid="{9E92035A-82BB-4BEF-ABBD-168F29370730}" name="Column14894" dataDxfId="1460"/>
    <tableColumn id="14943" xr3:uid="{733756A8-07AF-4C26-B7E4-6D1356F56F2E}" name="Column14895" dataDxfId="1459"/>
    <tableColumn id="14944" xr3:uid="{3C89AE15-8B9D-4961-8568-2AB0D08500C2}" name="Column14896" dataDxfId="1458"/>
    <tableColumn id="14945" xr3:uid="{720CCD84-73C6-43D2-98B6-764459989428}" name="Column14897" dataDxfId="1457"/>
    <tableColumn id="14946" xr3:uid="{FCA0967E-63E8-480C-BF75-BF090E0801C8}" name="Column14898" dataDxfId="1456"/>
    <tableColumn id="14947" xr3:uid="{6FCC6D2D-3246-408B-863E-934278F3BCCF}" name="Column14899" dataDxfId="1455"/>
    <tableColumn id="14948" xr3:uid="{2174B8A8-5225-4FBB-AE30-EFBF34A38951}" name="Column14900" dataDxfId="1454"/>
    <tableColumn id="14949" xr3:uid="{F9A1BE8C-90E3-4AF2-A379-B767341776A3}" name="Column14901" dataDxfId="1453"/>
    <tableColumn id="14950" xr3:uid="{6AA8A808-9FC3-4F59-85B3-067BD908360B}" name="Column14902" dataDxfId="1452"/>
    <tableColumn id="14951" xr3:uid="{72D58A18-163A-47DB-8F30-D63440498880}" name="Column14903" dataDxfId="1451"/>
    <tableColumn id="14952" xr3:uid="{BC9C0231-D95B-4453-A32C-3FE9F2852017}" name="Column14904" dataDxfId="1450"/>
    <tableColumn id="14953" xr3:uid="{86A5F2A6-5083-405A-97C7-251C5B2848CD}" name="Column14905" dataDxfId="1449"/>
    <tableColumn id="14954" xr3:uid="{C653FE84-37C0-4734-953B-12F3C60D9195}" name="Column14906" dataDxfId="1448"/>
    <tableColumn id="14955" xr3:uid="{F605A84A-47CB-45D2-941E-1AD419EAF9A5}" name="Column14907" dataDxfId="1447"/>
    <tableColumn id="14956" xr3:uid="{2F619409-B0E2-4AF5-9031-3DB030A5D2E8}" name="Column14908" dataDxfId="1446"/>
    <tableColumn id="14957" xr3:uid="{6B37CE39-AA6E-4F67-BBB8-1C15DE756DC4}" name="Column14909" dataDxfId="1445"/>
    <tableColumn id="14958" xr3:uid="{4B277725-43BA-49A1-8362-64A155F6BE02}" name="Column14910" dataDxfId="1444"/>
    <tableColumn id="14959" xr3:uid="{42C7CD73-A556-4652-AE54-094D1552D9EA}" name="Column14911" dataDxfId="1443"/>
    <tableColumn id="14960" xr3:uid="{FB0EC55A-C27F-4837-915F-47852013428D}" name="Column14912" dataDxfId="1442"/>
    <tableColumn id="14961" xr3:uid="{950977A3-A553-498F-98B4-C526AB900A9C}" name="Column14913" dataDxfId="1441"/>
    <tableColumn id="14962" xr3:uid="{D5221DD3-F6BF-45D0-8FFA-28423D641708}" name="Column14914" dataDxfId="1440"/>
    <tableColumn id="14963" xr3:uid="{432D3173-E600-4CE4-94E5-17FFB957D989}" name="Column14915" dataDxfId="1439"/>
    <tableColumn id="14964" xr3:uid="{3FD4AB91-A906-427B-9740-37D66432E91C}" name="Column14916" dataDxfId="1438"/>
    <tableColumn id="14965" xr3:uid="{141CA0F9-2303-4B57-9023-491D5DDBEBED}" name="Column14917" dataDxfId="1437"/>
    <tableColumn id="14966" xr3:uid="{D3B7424D-AA70-4044-B8FD-47F15DC66FD1}" name="Column14918" dataDxfId="1436"/>
    <tableColumn id="14967" xr3:uid="{6000BB89-1D27-42CE-B1ED-75A267A9D667}" name="Column14919" dataDxfId="1435"/>
    <tableColumn id="14968" xr3:uid="{64581656-E774-4C4B-A76D-0DFC959BE32D}" name="Column14920" dataDxfId="1434"/>
    <tableColumn id="14969" xr3:uid="{5ED7C246-4672-476D-892E-27C334614C3B}" name="Column14921" dataDxfId="1433"/>
    <tableColumn id="14970" xr3:uid="{E250ABF1-CC53-40D5-9976-1D9E4F8F1C96}" name="Column14922" dataDxfId="1432"/>
    <tableColumn id="14971" xr3:uid="{3911D815-07A1-4382-8DC3-AFBC6A9C953A}" name="Column14923" dataDxfId="1431"/>
    <tableColumn id="14972" xr3:uid="{D66103D4-3A85-4A60-928A-4F22BA107272}" name="Column14924" dataDxfId="1430"/>
    <tableColumn id="14973" xr3:uid="{49FC1542-CAC2-42A6-AC8D-679BF73D755A}" name="Column14925" dataDxfId="1429"/>
    <tableColumn id="14974" xr3:uid="{A125C2E6-FD72-4349-B997-312FC1FD3996}" name="Column14926" dataDxfId="1428"/>
    <tableColumn id="14975" xr3:uid="{84568371-517D-482B-8F2E-70E5D5F8BC7A}" name="Column14927" dataDxfId="1427"/>
    <tableColumn id="14976" xr3:uid="{C86BE9DE-D7C7-4EC6-B010-FA5735104A93}" name="Column14928" dataDxfId="1426"/>
    <tableColumn id="14977" xr3:uid="{1962D174-7918-45AF-9B2B-0426C756D1C4}" name="Column14929" dataDxfId="1425"/>
    <tableColumn id="14978" xr3:uid="{B3609859-4BA0-4AC3-BE93-6DB14F9D72D2}" name="Column14930" dataDxfId="1424"/>
    <tableColumn id="14979" xr3:uid="{D16CEDBD-6F33-4971-BEF8-7ADD050E494E}" name="Column14931" dataDxfId="1423"/>
    <tableColumn id="14980" xr3:uid="{EA995F1F-4BFD-4E2E-BCDD-D870C41B43A4}" name="Column14932" dataDxfId="1422"/>
    <tableColumn id="14981" xr3:uid="{E9842001-9F3F-4414-846C-7C44C10BEFF4}" name="Column14933" dataDxfId="1421"/>
    <tableColumn id="14982" xr3:uid="{3AC15D5B-ED04-4142-A61B-C5B06220F674}" name="Column14934" dataDxfId="1420"/>
    <tableColumn id="14983" xr3:uid="{10E03F14-80EC-4493-8EE1-F06FFF10BF69}" name="Column14935" dataDxfId="1419"/>
    <tableColumn id="14984" xr3:uid="{1F69F68E-A0B0-4C40-9B79-DFBEB52101CD}" name="Column14936" dataDxfId="1418"/>
    <tableColumn id="14985" xr3:uid="{DAD2438B-4947-44B9-9120-DEED677DB0FA}" name="Column14937" dataDxfId="1417"/>
    <tableColumn id="14986" xr3:uid="{A70F0374-86E8-455D-9C7D-5579C453E591}" name="Column14938" dataDxfId="1416"/>
    <tableColumn id="14987" xr3:uid="{9C572DFC-79E3-4731-AFE6-D1EDC653184D}" name="Column14939" dataDxfId="1415"/>
    <tableColumn id="14988" xr3:uid="{91186436-7191-4D96-9B79-7D7D8D41F1F6}" name="Column14940" dataDxfId="1414"/>
    <tableColumn id="14989" xr3:uid="{E9C16621-B5BB-4869-BECF-349A0A838AFE}" name="Column14941" dataDxfId="1413"/>
    <tableColumn id="14990" xr3:uid="{BC182B7B-885C-4CEA-A7C7-531D6CA1F9C6}" name="Column14942" dataDxfId="1412"/>
    <tableColumn id="14991" xr3:uid="{77C20524-73EB-471A-AFE9-F9289A8B26F4}" name="Column14943" dataDxfId="1411"/>
    <tableColumn id="14992" xr3:uid="{FFC60523-2483-4DC9-A155-CE7860100743}" name="Column14944" dataDxfId="1410"/>
    <tableColumn id="14993" xr3:uid="{1EB841C5-EED0-46ED-9CA6-F23DAA0ED1F8}" name="Column14945" dataDxfId="1409"/>
    <tableColumn id="14994" xr3:uid="{FFE90C86-868C-49BB-9452-B809282EE8C1}" name="Column14946" dataDxfId="1408"/>
    <tableColumn id="14995" xr3:uid="{C15F636E-76A8-44F3-BDFA-A213A4ACBF84}" name="Column14947" dataDxfId="1407"/>
    <tableColumn id="14996" xr3:uid="{E902F675-8C53-4BA0-A1B1-BB0B0671149B}" name="Column14948" dataDxfId="1406"/>
    <tableColumn id="14997" xr3:uid="{36C29F34-24F0-46F3-B54D-F0D26C097DC2}" name="Column14949" dataDxfId="1405"/>
    <tableColumn id="14998" xr3:uid="{5D468FCA-B22A-4B2F-A052-7A6A24CF15AB}" name="Column14950" dataDxfId="1404"/>
    <tableColumn id="14999" xr3:uid="{F53D4405-1D21-46F0-986E-32E96D4ED7A1}" name="Column14951" dataDxfId="1403"/>
    <tableColumn id="15000" xr3:uid="{E642A189-8086-4972-B0D6-51317A69B934}" name="Column14952" dataDxfId="1402"/>
    <tableColumn id="15001" xr3:uid="{D8A082E2-D1C6-4220-A851-6812AE55ED9F}" name="Column14953" dataDxfId="1401"/>
    <tableColumn id="15002" xr3:uid="{6077E147-217E-4A3E-948D-38EBA28FB338}" name="Column14954" dataDxfId="1400"/>
    <tableColumn id="15003" xr3:uid="{15FD1B86-6843-4946-BD3C-F016A58CC720}" name="Column14955" dataDxfId="1399"/>
    <tableColumn id="15004" xr3:uid="{D9D86A5A-5EE5-4CC5-BB0C-2F76D2722C3A}" name="Column14956" dataDxfId="1398"/>
    <tableColumn id="15005" xr3:uid="{6E666954-1EC4-478F-90A5-C40C3CA976B4}" name="Column14957" dataDxfId="1397"/>
    <tableColumn id="15006" xr3:uid="{E458A28C-CA25-4FF2-B805-C2CB82847163}" name="Column14958" dataDxfId="1396"/>
    <tableColumn id="15007" xr3:uid="{F3D21773-739F-4EE9-924A-140B36EEDA46}" name="Column14959" dataDxfId="1395"/>
    <tableColumn id="15008" xr3:uid="{CB6FC01B-A6E2-4E62-85A7-9EBD02EF6318}" name="Column14960" dataDxfId="1394"/>
    <tableColumn id="15009" xr3:uid="{9F99A682-AB9E-4A46-9579-13C2ED2183F9}" name="Column14961" dataDxfId="1393"/>
    <tableColumn id="15010" xr3:uid="{0507B0A4-C95E-484C-9640-CF38D44D0BDB}" name="Column14962" dataDxfId="1392"/>
    <tableColumn id="15011" xr3:uid="{329AA9B8-8429-4D04-9192-92ED9B330D3A}" name="Column14963" dataDxfId="1391"/>
    <tableColumn id="15012" xr3:uid="{A35F840C-6446-4B75-994A-A2E21562EA32}" name="Column14964" dataDxfId="1390"/>
    <tableColumn id="15013" xr3:uid="{372214FE-A0D4-4167-9A89-10C4319DEC4E}" name="Column14965" dataDxfId="1389"/>
    <tableColumn id="15014" xr3:uid="{6679ACD9-9BE7-40EB-A937-9CF47AC8353D}" name="Column14966" dataDxfId="1388"/>
    <tableColumn id="15015" xr3:uid="{23FE2A9D-2316-4A25-9E06-CD91BB0E7441}" name="Column14967" dataDxfId="1387"/>
    <tableColumn id="15016" xr3:uid="{E3E4F36F-EEBD-483F-B3C7-0559C4BA3E81}" name="Column14968" dataDxfId="1386"/>
    <tableColumn id="15017" xr3:uid="{877C1145-57E9-435B-97F2-98238A969E39}" name="Column14969" dataDxfId="1385"/>
    <tableColumn id="15018" xr3:uid="{AD729775-BEB0-4BC6-AA11-1BAF0517CCB2}" name="Column14970" dataDxfId="1384"/>
    <tableColumn id="15019" xr3:uid="{7E127134-8C7F-47EA-9EA7-9A185A1FD5D5}" name="Column14971" dataDxfId="1383"/>
    <tableColumn id="15020" xr3:uid="{355484D9-B7B7-4781-97EC-7FCA2461DCF7}" name="Column14972" dataDxfId="1382"/>
    <tableColumn id="15021" xr3:uid="{A4018DD6-9B6F-49F4-A46C-77DB6A2781B6}" name="Column14973" dataDxfId="1381"/>
    <tableColumn id="15022" xr3:uid="{0C8C0765-0A3B-472C-B064-46AD3946951A}" name="Column14974" dataDxfId="1380"/>
    <tableColumn id="15023" xr3:uid="{AB66FD31-C396-455C-B1B0-42CAB6E59E25}" name="Column14975" dataDxfId="1379"/>
    <tableColumn id="15024" xr3:uid="{2E780EC7-E538-45DC-9641-84BA1A0EBE08}" name="Column14976" dataDxfId="1378"/>
    <tableColumn id="15025" xr3:uid="{4F7509A6-5FBD-470F-AF08-BDDF454AADC7}" name="Column14977" dataDxfId="1377"/>
    <tableColumn id="15026" xr3:uid="{EFF2E9DC-9D2D-40AD-B319-C2901F6D2CA5}" name="Column14978" dataDxfId="1376"/>
    <tableColumn id="15027" xr3:uid="{B1A53BDE-3E38-4E13-9FFC-83E6F276903A}" name="Column14979" dataDxfId="1375"/>
    <tableColumn id="15028" xr3:uid="{7988A1D9-C4A3-469A-9308-47D12FF484FA}" name="Column14980" dataDxfId="1374"/>
    <tableColumn id="15029" xr3:uid="{914CE258-26B6-428F-8968-F3455B24838E}" name="Column14981" dataDxfId="1373"/>
    <tableColumn id="15030" xr3:uid="{F5AF64FA-7C91-4616-A56F-99B7697CFA94}" name="Column14982" dataDxfId="1372"/>
    <tableColumn id="15031" xr3:uid="{9B754F57-CD39-47F0-BE92-0BD7745BC6E1}" name="Column14983" dataDxfId="1371"/>
    <tableColumn id="15032" xr3:uid="{687F14D7-6FA9-4023-AE5D-51ABC850C93A}" name="Column14984" dataDxfId="1370"/>
    <tableColumn id="15033" xr3:uid="{230FB758-D404-45FA-9B25-61418971FBC2}" name="Column14985" dataDxfId="1369"/>
    <tableColumn id="15034" xr3:uid="{70839B74-73B9-4DF7-99A6-C6FD947FEE68}" name="Column14986" dataDxfId="1368"/>
    <tableColumn id="15035" xr3:uid="{22D8EF86-57C5-4B6B-AD80-8B1DBAEFB101}" name="Column14987" dataDxfId="1367"/>
    <tableColumn id="15036" xr3:uid="{8E5570F7-2ED4-40A7-9BB5-77D14075A9BE}" name="Column14988" dataDxfId="1366"/>
    <tableColumn id="15037" xr3:uid="{2F8C2326-F46E-47A7-91BD-4934290D676A}" name="Column14989" dataDxfId="1365"/>
    <tableColumn id="15038" xr3:uid="{7E6B7FBD-75A5-460B-BDCC-369F9266C1A7}" name="Column14990" dataDxfId="1364"/>
    <tableColumn id="15039" xr3:uid="{32034615-61E6-4E16-BEE0-E49DB071863F}" name="Column14991" dataDxfId="1363"/>
    <tableColumn id="15040" xr3:uid="{8E1465D9-4DA2-4CBF-B13E-E17BCDA9315D}" name="Column14992" dataDxfId="1362"/>
    <tableColumn id="15041" xr3:uid="{7101358F-4D4B-44D7-94DC-5F9529425ED9}" name="Column14993" dataDxfId="1361"/>
    <tableColumn id="15042" xr3:uid="{832581AF-C0B5-4523-9C79-FE3C20D33047}" name="Column14994" dataDxfId="1360"/>
    <tableColumn id="15043" xr3:uid="{0383758B-4B3A-423B-ABC5-C50B71036579}" name="Column14995" dataDxfId="1359"/>
    <tableColumn id="15044" xr3:uid="{6830C2B9-63F5-46FF-8712-8D890112BF6D}" name="Column14996" dataDxfId="1358"/>
    <tableColumn id="15045" xr3:uid="{AF029C59-C2C1-4AF2-9E78-EC27D7568C63}" name="Column14997" dataDxfId="1357"/>
    <tableColumn id="15046" xr3:uid="{B35F68F5-069A-42F6-9074-4B09D0373531}" name="Column14998" dataDxfId="1356"/>
    <tableColumn id="15047" xr3:uid="{DBB13995-109F-4A37-B82F-457585CA0A1D}" name="Column14999" dataDxfId="1355"/>
    <tableColumn id="15048" xr3:uid="{E12C454F-79B9-4ECA-B3A6-91AD659F6828}" name="Column15000" dataDxfId="1354"/>
    <tableColumn id="15049" xr3:uid="{7AFF3C95-A8A3-409B-B608-047815DF7D6F}" name="Column15001" dataDxfId="1353"/>
    <tableColumn id="15050" xr3:uid="{86E8C2B2-417D-4740-922A-C5981E17DC98}" name="Column15002" dataDxfId="1352"/>
    <tableColumn id="15051" xr3:uid="{75AB5EA0-698A-4022-AC26-D2DE54999DA5}" name="Column15003" dataDxfId="1351"/>
    <tableColumn id="15052" xr3:uid="{3E7A89C9-5FBC-4C59-9EC5-8DCF9B975777}" name="Column15004" dataDxfId="1350"/>
    <tableColumn id="15053" xr3:uid="{0411F65D-F4E4-41D4-9A57-AFA2A5F36E30}" name="Column15005" dataDxfId="1349"/>
    <tableColumn id="15054" xr3:uid="{5984DB77-1AFA-4312-9CF6-9FF5610E66E5}" name="Column15006" dataDxfId="1348"/>
    <tableColumn id="15055" xr3:uid="{6BCB85B5-B579-440B-BDC3-142F3E4E46D2}" name="Column15007" dataDxfId="1347"/>
    <tableColumn id="15056" xr3:uid="{0F0DF991-A3A2-4221-8524-899EC2702F99}" name="Column15008" dataDxfId="1346"/>
    <tableColumn id="15057" xr3:uid="{E47B3517-996A-4665-B193-13238A1E6579}" name="Column15009" dataDxfId="1345"/>
    <tableColumn id="15058" xr3:uid="{B0BFEB34-63AF-4AEF-8D14-25F2AF80DCE5}" name="Column15010" dataDxfId="1344"/>
    <tableColumn id="15059" xr3:uid="{D8A5198E-C2C9-4CB4-A1F4-A43F76C89E13}" name="Column15011" dataDxfId="1343"/>
    <tableColumn id="15060" xr3:uid="{95A430CE-BC97-4544-ACD9-EBA7CA86BEC4}" name="Column15012" dataDxfId="1342"/>
    <tableColumn id="15061" xr3:uid="{5136BA25-7C45-4798-8A45-7C1EA6A8F6B4}" name="Column15013" dataDxfId="1341"/>
    <tableColumn id="15062" xr3:uid="{B2B7BBEF-484D-41D9-8C56-5B800A23155B}" name="Column15014" dataDxfId="1340"/>
    <tableColumn id="15063" xr3:uid="{2C2F2180-8C26-428A-B503-20E8414AB16A}" name="Column15015" dataDxfId="1339"/>
    <tableColumn id="15064" xr3:uid="{2C33E2BC-07D4-4619-951C-AFA62982F653}" name="Column15016" dataDxfId="1338"/>
    <tableColumn id="15065" xr3:uid="{84086358-932E-42EE-8EFB-F7C2F0DBA517}" name="Column15017" dataDxfId="1337"/>
    <tableColumn id="15066" xr3:uid="{D005329B-AEE1-43BD-A77A-06F9DEEEBBE1}" name="Column15018" dataDxfId="1336"/>
    <tableColumn id="15067" xr3:uid="{02FCFDA5-D881-4E9A-8266-0F83C9BF5A51}" name="Column15019" dataDxfId="1335"/>
    <tableColumn id="15068" xr3:uid="{E6A170DA-F5D4-4377-B5DF-EE7C58E44B39}" name="Column15020" dataDxfId="1334"/>
    <tableColumn id="15069" xr3:uid="{46C97520-664E-44CA-ABF8-6D35C2AC1942}" name="Column15021" dataDxfId="1333"/>
    <tableColumn id="15070" xr3:uid="{C8B89E86-2E1E-4590-AAEF-FE83B9418442}" name="Column15022" dataDxfId="1332"/>
    <tableColumn id="15071" xr3:uid="{F4EBB1B9-A72D-438B-A0D0-D1DF06E10340}" name="Column15023" dataDxfId="1331"/>
    <tableColumn id="15072" xr3:uid="{3A6FD7A6-1466-4CF9-8BEB-CBF3E2BAA129}" name="Column15024" dataDxfId="1330"/>
    <tableColumn id="15073" xr3:uid="{ED7656DB-0BEB-4E5C-8C60-06EF34A8D90E}" name="Column15025" dataDxfId="1329"/>
    <tableColumn id="15074" xr3:uid="{709CF7B0-0BC9-4F3A-872C-FE51204EEF4A}" name="Column15026" dataDxfId="1328"/>
    <tableColumn id="15075" xr3:uid="{5237256F-AA01-4A4D-A8EE-CB910F7FB18C}" name="Column15027" dataDxfId="1327"/>
    <tableColumn id="15076" xr3:uid="{9D745D8F-0F11-4728-9A7C-BFD04E1C3BDF}" name="Column15028" dataDxfId="1326"/>
    <tableColumn id="15077" xr3:uid="{B296B896-186A-496C-AC47-A98174984CB2}" name="Column15029" dataDxfId="1325"/>
    <tableColumn id="15078" xr3:uid="{C14BE2AA-E7DD-4666-BF36-B0AE9B67E242}" name="Column15030" dataDxfId="1324"/>
    <tableColumn id="15079" xr3:uid="{8E3FB301-C09F-46FC-B05D-13C54BB9EE3F}" name="Column15031" dataDxfId="1323"/>
    <tableColumn id="15080" xr3:uid="{5068CC35-A064-4520-BEDC-C5B6582819AF}" name="Column15032" dataDxfId="1322"/>
    <tableColumn id="15081" xr3:uid="{E22C97FC-5CD0-455E-83A6-B32908C52159}" name="Column15033" dataDxfId="1321"/>
    <tableColumn id="15082" xr3:uid="{AB5A3EA2-B4E0-4CA1-B9F8-941F793B2958}" name="Column15034" dataDxfId="1320"/>
    <tableColumn id="15083" xr3:uid="{3765F83F-6B33-4A56-9F9F-9BD83E28A884}" name="Column15035" dataDxfId="1319"/>
    <tableColumn id="15084" xr3:uid="{B17B8B06-77B6-4186-8B66-F9946E0DE638}" name="Column15036" dataDxfId="1318"/>
    <tableColumn id="15085" xr3:uid="{9194F513-B893-48DC-80BC-7EF4811584A2}" name="Column15037" dataDxfId="1317"/>
    <tableColumn id="15086" xr3:uid="{0CC54BB4-E180-481A-8ECD-5C5BE174533F}" name="Column15038" dataDxfId="1316"/>
    <tableColumn id="15087" xr3:uid="{12E07EA8-19B8-4139-8712-FC00FE15DDE5}" name="Column15039" dataDxfId="1315"/>
    <tableColumn id="15088" xr3:uid="{57A03E40-188E-4A85-9AC4-CF40BDA8BD83}" name="Column15040" dataDxfId="1314"/>
    <tableColumn id="15089" xr3:uid="{4586E33A-25A5-449A-9243-3F8042E3CC1A}" name="Column15041" dataDxfId="1313"/>
    <tableColumn id="15090" xr3:uid="{6E743468-5B18-45E0-BA90-BE21642FE6AD}" name="Column15042" dataDxfId="1312"/>
    <tableColumn id="15091" xr3:uid="{0353DFDC-F725-4108-960F-ECCAEA1E0BBB}" name="Column15043" dataDxfId="1311"/>
    <tableColumn id="15092" xr3:uid="{BF4991D3-51B6-4E45-AB6A-0C29CAD5D802}" name="Column15044" dataDxfId="1310"/>
    <tableColumn id="15093" xr3:uid="{D88788CA-4BA0-4726-91D1-664427951567}" name="Column15045" dataDxfId="1309"/>
    <tableColumn id="15094" xr3:uid="{2C3896E2-98A4-4151-A4D7-BE320137E000}" name="Column15046" dataDxfId="1308"/>
    <tableColumn id="15095" xr3:uid="{E55DED25-4843-4203-967C-467D1E78C070}" name="Column15047" dataDxfId="1307"/>
    <tableColumn id="15096" xr3:uid="{3E582C41-8440-4BAA-960D-CEE27178D45A}" name="Column15048" dataDxfId="1306"/>
    <tableColumn id="15097" xr3:uid="{3E7E8457-B96B-464C-ADDA-60B4D7EFF5AA}" name="Column15049" dataDxfId="1305"/>
    <tableColumn id="15098" xr3:uid="{0851C0F7-34FC-417A-A1CA-E7347F1CAEB5}" name="Column15050" dataDxfId="1304"/>
    <tableColumn id="15099" xr3:uid="{59B0EC81-02A7-44B4-A100-890AE969F9EE}" name="Column15051" dataDxfId="1303"/>
    <tableColumn id="15100" xr3:uid="{17001BF4-25CF-4801-BFBD-E6AF0FA2E586}" name="Column15052" dataDxfId="1302"/>
    <tableColumn id="15101" xr3:uid="{55D5B5D6-FAED-43F1-BB63-DB4817EC9F2A}" name="Column15053" dataDxfId="1301"/>
    <tableColumn id="15102" xr3:uid="{5B35CB91-DB1F-41E1-BF55-F626B7F3D9B3}" name="Column15054" dataDxfId="1300"/>
    <tableColumn id="15103" xr3:uid="{A9BB0C10-BC75-4FA2-A0C6-CA863B89724F}" name="Column15055" dataDxfId="1299"/>
    <tableColumn id="15104" xr3:uid="{BC638077-847A-4AE3-AAF7-CAC39643FDFF}" name="Column15056" dataDxfId="1298"/>
    <tableColumn id="15105" xr3:uid="{8F32A0A6-B6E1-416D-A793-323F3BB83DDA}" name="Column15057" dataDxfId="1297"/>
    <tableColumn id="15106" xr3:uid="{179B35EC-0940-431F-9026-10F655BB05F0}" name="Column15058" dataDxfId="1296"/>
    <tableColumn id="15107" xr3:uid="{CD25ADEE-B48B-4786-94BB-A7AEB51C4DA6}" name="Column15059" dataDxfId="1295"/>
    <tableColumn id="15108" xr3:uid="{806B791F-0702-404D-B572-7839CBBCAF20}" name="Column15060" dataDxfId="1294"/>
    <tableColumn id="15109" xr3:uid="{6EF239C1-D70A-49EC-A102-64F99B299D44}" name="Column15061" dataDxfId="1293"/>
    <tableColumn id="15110" xr3:uid="{26EF1D42-80F6-400F-B369-7C0114D58EA4}" name="Column15062" dataDxfId="1292"/>
    <tableColumn id="15111" xr3:uid="{72BA1CDC-177D-40A1-A1B4-F5FD57ACA9D4}" name="Column15063" dataDxfId="1291"/>
    <tableColumn id="15112" xr3:uid="{9F84812B-6F9F-488E-ADC0-990684ED0117}" name="Column15064" dataDxfId="1290"/>
    <tableColumn id="15113" xr3:uid="{F1970A3E-A9AE-499F-BEFA-7FE0BDD4C364}" name="Column15065" dataDxfId="1289"/>
    <tableColumn id="15114" xr3:uid="{2C0543C7-01BA-4A16-B829-058E380897B5}" name="Column15066" dataDxfId="1288"/>
    <tableColumn id="15115" xr3:uid="{BE5B3FF0-030F-445C-AEB9-41967B3B6A07}" name="Column15067" dataDxfId="1287"/>
    <tableColumn id="15116" xr3:uid="{B73D3ED6-858B-419A-B963-764CFE37F79F}" name="Column15068" dataDxfId="1286"/>
    <tableColumn id="15117" xr3:uid="{6BB7C586-09DC-4C4B-8B3B-6F6FB506E1AF}" name="Column15069" dataDxfId="1285"/>
    <tableColumn id="15118" xr3:uid="{FAA62EB5-C6D8-4284-8FF3-5B360984D305}" name="Column15070" dataDxfId="1284"/>
    <tableColumn id="15119" xr3:uid="{27FE1B40-2326-4BC1-81FD-9C7B80C69DE8}" name="Column15071" dataDxfId="1283"/>
    <tableColumn id="15120" xr3:uid="{C100942A-DA14-405A-8D5C-DDAAB56138CB}" name="Column15072" dataDxfId="1282"/>
    <tableColumn id="15121" xr3:uid="{5970FBAF-63F2-4477-A388-51D278BE62E5}" name="Column15073" dataDxfId="1281"/>
    <tableColumn id="15122" xr3:uid="{7CF17071-12C8-49F0-B0F5-8A8AF4E1E77A}" name="Column15074" dataDxfId="1280"/>
    <tableColumn id="15123" xr3:uid="{102767A8-DCAC-4528-B28A-050C8E1FEA7C}" name="Column15075" dataDxfId="1279"/>
    <tableColumn id="15124" xr3:uid="{CCBA460A-70F1-4BD3-AD5A-C6A374BE867B}" name="Column15076" dataDxfId="1278"/>
    <tableColumn id="15125" xr3:uid="{D3CAD960-96F9-4B41-8B47-142B227F4267}" name="Column15077" dataDxfId="1277"/>
    <tableColumn id="15126" xr3:uid="{9F6338E7-9E6B-4918-90A8-1936CDBAFFCB}" name="Column15078" dataDxfId="1276"/>
    <tableColumn id="15127" xr3:uid="{DEF50937-A6C3-4E59-9750-DC4B18ECB694}" name="Column15079" dataDxfId="1275"/>
    <tableColumn id="15128" xr3:uid="{8D5AB33B-45D8-480D-B1B3-733D33DC8616}" name="Column15080" dataDxfId="1274"/>
    <tableColumn id="15129" xr3:uid="{C575504C-5084-4667-8A4F-21D0E9AB5749}" name="Column15081" dataDxfId="1273"/>
    <tableColumn id="15130" xr3:uid="{EAEE396F-C04A-4B1B-B692-44A7E5370157}" name="Column15082" dataDxfId="1272"/>
    <tableColumn id="15131" xr3:uid="{C40679DC-D5E5-4E8E-A03F-4BCD544C0711}" name="Column15083" dataDxfId="1271"/>
    <tableColumn id="15132" xr3:uid="{A197EF75-A3B6-4744-B0F2-1287DAF71DA3}" name="Column15084" dataDxfId="1270"/>
    <tableColumn id="15133" xr3:uid="{7F75D08F-BFE1-4AA7-8927-757D1864ED9E}" name="Column15085" dataDxfId="1269"/>
    <tableColumn id="15134" xr3:uid="{6A113D4C-ED2F-48A8-BB67-47289ADA6C6A}" name="Column15086" dataDxfId="1268"/>
    <tableColumn id="15135" xr3:uid="{65C027F8-EE87-469A-9292-CB27A9675550}" name="Column15087" dataDxfId="1267"/>
    <tableColumn id="15136" xr3:uid="{B9F41A35-630B-4470-A51D-BBCB183BF43C}" name="Column15088" dataDxfId="1266"/>
    <tableColumn id="15137" xr3:uid="{9BFEF915-76BE-453D-ACCE-2107616C4AB7}" name="Column15089" dataDxfId="1265"/>
    <tableColumn id="15138" xr3:uid="{3D3A408C-17A5-4655-9BF3-335875883084}" name="Column15090" dataDxfId="1264"/>
    <tableColumn id="15139" xr3:uid="{A8667FF2-29A1-44E3-9EF4-E48EDAEA259E}" name="Column15091" dataDxfId="1263"/>
    <tableColumn id="15140" xr3:uid="{7CAA9011-ECE4-4D22-A91E-F548704EF7E0}" name="Column15092" dataDxfId="1262"/>
    <tableColumn id="15141" xr3:uid="{10EC2D13-9C16-4C1C-8815-CE998055BDCD}" name="Column15093" dataDxfId="1261"/>
    <tableColumn id="15142" xr3:uid="{D06CEEA1-9968-48E7-A4E7-DEB3B52BEE69}" name="Column15094" dataDxfId="1260"/>
    <tableColumn id="15143" xr3:uid="{2C146A75-32DA-4624-898D-1B7F8FCBC4D2}" name="Column15095" dataDxfId="1259"/>
    <tableColumn id="15144" xr3:uid="{3F9778DB-73E4-4A20-9FF1-587E8232E8AC}" name="Column15096" dataDxfId="1258"/>
    <tableColumn id="15145" xr3:uid="{1303280D-E677-4123-8C47-B60B6F0F790C}" name="Column15097" dataDxfId="1257"/>
    <tableColumn id="15146" xr3:uid="{53E10367-02DA-4BEB-B7CF-ACA9DE2DEA25}" name="Column15098" dataDxfId="1256"/>
    <tableColumn id="15147" xr3:uid="{24AF38AF-4657-484D-95A0-A8EB25C9CD7E}" name="Column15099" dataDxfId="1255"/>
    <tableColumn id="15148" xr3:uid="{7A306CAD-775A-48CE-99F7-2B2128538868}" name="Column15100" dataDxfId="1254"/>
    <tableColumn id="15149" xr3:uid="{7265E487-89A5-4D7F-ADBF-A02C371BF2F8}" name="Column15101" dataDxfId="1253"/>
    <tableColumn id="15150" xr3:uid="{96D7BEDF-7C19-4C48-8A09-FCA205F2100A}" name="Column15102" dataDxfId="1252"/>
    <tableColumn id="15151" xr3:uid="{7C33576E-B31E-4A5E-971B-6CF22DF3F053}" name="Column15103" dataDxfId="1251"/>
    <tableColumn id="15152" xr3:uid="{2CD40979-2F2E-45C6-8723-445769044462}" name="Column15104" dataDxfId="1250"/>
    <tableColumn id="15153" xr3:uid="{5EC8C5B3-7E64-464D-99B3-3DA894A45FB8}" name="Column15105" dataDxfId="1249"/>
    <tableColumn id="15154" xr3:uid="{44FCC63B-86DE-41BE-911D-CC791425C00F}" name="Column15106" dataDxfId="1248"/>
    <tableColumn id="15155" xr3:uid="{FBA76350-0DB2-4864-8A65-5467E3ECC4E7}" name="Column15107" dataDxfId="1247"/>
    <tableColumn id="15156" xr3:uid="{E2653920-C700-43BE-A6AD-B9C0A404720E}" name="Column15108" dataDxfId="1246"/>
    <tableColumn id="15157" xr3:uid="{3CA0765A-4018-4EC6-9554-BD6A17B1C3AE}" name="Column15109" dataDxfId="1245"/>
    <tableColumn id="15158" xr3:uid="{FB3C19EB-0CD6-4F9C-A868-A206B73A0BA5}" name="Column15110" dataDxfId="1244"/>
    <tableColumn id="15159" xr3:uid="{65AC495D-5BF8-42EA-896E-BD124979AA9C}" name="Column15111" dataDxfId="1243"/>
    <tableColumn id="15160" xr3:uid="{E63F1591-A637-490F-AD94-B74CD4343137}" name="Column15112" dataDxfId="1242"/>
    <tableColumn id="15161" xr3:uid="{E29394BA-C46E-4E79-BD84-61F36D162DB1}" name="Column15113" dataDxfId="1241"/>
    <tableColumn id="15162" xr3:uid="{26E15386-BFDF-47BB-BB6F-5DBFEB6578FD}" name="Column15114" dataDxfId="1240"/>
    <tableColumn id="15163" xr3:uid="{AE958B4D-1937-47E6-ABA4-9CE2F9A87F6F}" name="Column15115" dataDxfId="1239"/>
    <tableColumn id="15164" xr3:uid="{5638F593-E733-49B2-8F11-7B70A31AE0DE}" name="Column15116" dataDxfId="1238"/>
    <tableColumn id="15165" xr3:uid="{FD09DE8E-73A6-4099-B6A0-C12BF1663241}" name="Column15117" dataDxfId="1237"/>
    <tableColumn id="15166" xr3:uid="{ECA260DC-5B86-4486-AB84-EB4142208D86}" name="Column15118" dataDxfId="1236"/>
    <tableColumn id="15167" xr3:uid="{102AAED4-4259-44FA-8072-B1277BC4A44C}" name="Column15119" dataDxfId="1235"/>
    <tableColumn id="15168" xr3:uid="{BE3A0FA8-BF93-47E5-86FF-C5B15E10F07A}" name="Column15120" dataDxfId="1234"/>
    <tableColumn id="15169" xr3:uid="{97261376-F458-4257-BB3D-AE3E59BD8CC7}" name="Column15121" dataDxfId="1233"/>
    <tableColumn id="15170" xr3:uid="{E5766DC4-DA04-4DC2-848C-95AB7299B017}" name="Column15122" dataDxfId="1232"/>
    <tableColumn id="15171" xr3:uid="{3846E09C-AFA9-47B1-AFA4-4F92BD6A05EE}" name="Column15123" dataDxfId="1231"/>
    <tableColumn id="15172" xr3:uid="{361942FE-6017-4DF0-91DC-9CF9E0AE90EA}" name="Column15124" dataDxfId="1230"/>
    <tableColumn id="15173" xr3:uid="{231EA657-EF0F-404B-91B6-D48A49D658C8}" name="Column15125" dataDxfId="1229"/>
    <tableColumn id="15174" xr3:uid="{280FC603-D0CE-4E60-AFB2-C569C26CFE18}" name="Column15126" dataDxfId="1228"/>
    <tableColumn id="15175" xr3:uid="{5854359E-BACD-433A-BD8C-F4EE5AC99B21}" name="Column15127" dataDxfId="1227"/>
    <tableColumn id="15176" xr3:uid="{8541AB4A-3ECC-4686-A7E7-332DCDF36937}" name="Column15128" dataDxfId="1226"/>
    <tableColumn id="15177" xr3:uid="{4ABEB271-E577-4A23-AEA5-C790135321E9}" name="Column15129" dataDxfId="1225"/>
    <tableColumn id="15178" xr3:uid="{D7FA6011-8D33-4023-9BCE-1FB5A0B83CE2}" name="Column15130" dataDxfId="1224"/>
    <tableColumn id="15179" xr3:uid="{0ACD4E8A-406D-498E-A378-054693446A40}" name="Column15131" dataDxfId="1223"/>
    <tableColumn id="15180" xr3:uid="{86CDB70F-640B-4B70-99BA-FC5951A20368}" name="Column15132" dataDxfId="1222"/>
    <tableColumn id="15181" xr3:uid="{7545BB77-641B-4D27-B9D3-B68AA1D3F012}" name="Column15133" dataDxfId="1221"/>
    <tableColumn id="15182" xr3:uid="{CE5F523E-AC34-4C03-B861-90E87767780F}" name="Column15134" dataDxfId="1220"/>
    <tableColumn id="15183" xr3:uid="{7F4EBBA2-B5BA-4956-8D1D-C91C59FF7E66}" name="Column15135" dataDxfId="1219"/>
    <tableColumn id="15184" xr3:uid="{839FBE42-9B10-4734-AA9A-FD3E8C5416CF}" name="Column15136" dataDxfId="1218"/>
    <tableColumn id="15185" xr3:uid="{C893FE0B-DAE2-464C-B899-F40EA284FE9F}" name="Column15137" dataDxfId="1217"/>
    <tableColumn id="15186" xr3:uid="{26BBD530-625A-437D-B85D-AF43B4B835D9}" name="Column15138" dataDxfId="1216"/>
    <tableColumn id="15187" xr3:uid="{DD503AC2-0CA1-4324-975C-B84EF7A1C0BC}" name="Column15139" dataDxfId="1215"/>
    <tableColumn id="15188" xr3:uid="{5EC79E83-FC83-41DE-B978-8CBB19D8DC2B}" name="Column15140" dataDxfId="1214"/>
    <tableColumn id="15189" xr3:uid="{ADEAE57D-D4FF-41BE-8CDA-76AD7CC7FD43}" name="Column15141" dataDxfId="1213"/>
    <tableColumn id="15190" xr3:uid="{FB1CFE64-38A8-488C-851D-714771B5E9F8}" name="Column15142" dataDxfId="1212"/>
    <tableColumn id="15191" xr3:uid="{9A7FC7A7-FC73-405C-8E14-F1CCA2A3F2F4}" name="Column15143" dataDxfId="1211"/>
    <tableColumn id="15192" xr3:uid="{15C34617-E4AC-4C5E-982C-7F89A545BFD7}" name="Column15144" dataDxfId="1210"/>
    <tableColumn id="15193" xr3:uid="{679E00D9-3F48-480E-9503-6F54CACB4762}" name="Column15145" dataDxfId="1209"/>
    <tableColumn id="15194" xr3:uid="{71261F7D-282B-4577-A299-3D353ADEDC2E}" name="Column15146" dataDxfId="1208"/>
    <tableColumn id="15195" xr3:uid="{A5C6E1A3-4B10-4EA7-A59D-F16552AD1175}" name="Column15147" dataDxfId="1207"/>
    <tableColumn id="15196" xr3:uid="{4F86C5EE-B159-4B8B-85E9-D03C1F8F7ACB}" name="Column15148" dataDxfId="1206"/>
    <tableColumn id="15197" xr3:uid="{029D91A4-0259-4866-9CEF-202BE4D9F701}" name="Column15149" dataDxfId="1205"/>
    <tableColumn id="15198" xr3:uid="{9F5C0128-1BAC-4E95-A813-ECF964E73D04}" name="Column15150" dataDxfId="1204"/>
    <tableColumn id="15199" xr3:uid="{BDC4D85F-A5C2-42CB-AB2C-E255F6C31B97}" name="Column15151" dataDxfId="1203"/>
    <tableColumn id="15200" xr3:uid="{ECA9E4DA-9A62-40BF-A7FE-0993EFBBC909}" name="Column15152" dataDxfId="1202"/>
    <tableColumn id="15201" xr3:uid="{73891090-C06B-4B8F-956A-2778FB087235}" name="Column15153" dataDxfId="1201"/>
    <tableColumn id="15202" xr3:uid="{715ED216-9D08-421C-AFF5-78577D681CDC}" name="Column15154" dataDxfId="1200"/>
    <tableColumn id="15203" xr3:uid="{8899BDE8-715B-47E7-A317-A18A623C47BB}" name="Column15155" dataDxfId="1199"/>
    <tableColumn id="15204" xr3:uid="{56C42377-487C-491E-833E-32A51D04B67C}" name="Column15156" dataDxfId="1198"/>
    <tableColumn id="15205" xr3:uid="{C743DAE2-4AE4-48B5-A9AF-D401688BD639}" name="Column15157" dataDxfId="1197"/>
    <tableColumn id="15206" xr3:uid="{3D22CF84-13A4-43E4-B50B-FBC75AAABD96}" name="Column15158" dataDxfId="1196"/>
    <tableColumn id="15207" xr3:uid="{7FFB4EE7-BDE1-498F-9897-BBE184409ECA}" name="Column15159" dataDxfId="1195"/>
    <tableColumn id="15208" xr3:uid="{7F47B2EE-68DC-443B-A493-B9B5F6A67460}" name="Column15160" dataDxfId="1194"/>
    <tableColumn id="15209" xr3:uid="{60844FE6-C00B-42D2-A004-ABA1B7A27A43}" name="Column15161" dataDxfId="1193"/>
    <tableColumn id="15210" xr3:uid="{E2FD588E-B23A-488A-8A3D-6535338E9A1D}" name="Column15162" dataDxfId="1192"/>
    <tableColumn id="15211" xr3:uid="{725B9E2A-3C95-4B25-9DB7-BC8834A2AD66}" name="Column15163" dataDxfId="1191"/>
    <tableColumn id="15212" xr3:uid="{2A384A67-C576-44F4-8F09-30932452DB55}" name="Column15164" dataDxfId="1190"/>
    <tableColumn id="15213" xr3:uid="{EF728FF0-D1A4-4E97-A0BA-DDE822160385}" name="Column15165" dataDxfId="1189"/>
    <tableColumn id="15214" xr3:uid="{B41E2A12-4410-4CAE-8452-092D69D39A8E}" name="Column15166" dataDxfId="1188"/>
    <tableColumn id="15215" xr3:uid="{AA56BAAE-161E-4450-8E34-B5087971726C}" name="Column15167" dataDxfId="1187"/>
    <tableColumn id="15216" xr3:uid="{1B824DF3-7EBB-417A-8398-80C07908D2FC}" name="Column15168" dataDxfId="1186"/>
    <tableColumn id="15217" xr3:uid="{2C0AAB5B-9B16-4769-9C53-702914F73C27}" name="Column15169" dataDxfId="1185"/>
    <tableColumn id="15218" xr3:uid="{7AE9842F-837F-49E4-BD13-3CA376DD74B9}" name="Column15170" dataDxfId="1184"/>
    <tableColumn id="15219" xr3:uid="{F2F5C9BD-DDC8-4718-B051-42C4EB11D626}" name="Column15171" dataDxfId="1183"/>
    <tableColumn id="15220" xr3:uid="{06FE46CD-3835-4F11-85C2-4E0E4A8B6F8D}" name="Column15172" dataDxfId="1182"/>
    <tableColumn id="15221" xr3:uid="{DB005E3F-6AC6-42B3-9F9D-947C889D6E04}" name="Column15173" dataDxfId="1181"/>
    <tableColumn id="15222" xr3:uid="{F5AD7359-87DF-4019-885A-E0AA4B80133B}" name="Column15174" dataDxfId="1180"/>
    <tableColumn id="15223" xr3:uid="{58613C45-EFAD-41F2-82CA-469100312A26}" name="Column15175" dataDxfId="1179"/>
    <tableColumn id="15224" xr3:uid="{1BD7983F-B92D-46D3-91D6-2F69D1392423}" name="Column15176" dataDxfId="1178"/>
    <tableColumn id="15225" xr3:uid="{7BA342B1-ABF8-4644-A048-0457C1357BF6}" name="Column15177" dataDxfId="1177"/>
    <tableColumn id="15226" xr3:uid="{12D41304-2D45-43A4-92E4-42B7FF694389}" name="Column15178" dataDxfId="1176"/>
    <tableColumn id="15227" xr3:uid="{66ECC0FB-4FA6-4210-8304-1CFC7CA3F751}" name="Column15179" dataDxfId="1175"/>
    <tableColumn id="15228" xr3:uid="{3908EF11-3522-43C3-A55F-B955AF030EA1}" name="Column15180" dataDxfId="1174"/>
    <tableColumn id="15229" xr3:uid="{2EF21316-5896-4967-9E9E-DFD891CFCDF4}" name="Column15181" dataDxfId="1173"/>
    <tableColumn id="15230" xr3:uid="{43753A76-E42D-4732-A9A5-3351435B8433}" name="Column15182" dataDxfId="1172"/>
    <tableColumn id="15231" xr3:uid="{475F33E0-8C1F-4659-9A68-598A215E8CCB}" name="Column15183" dataDxfId="1171"/>
    <tableColumn id="15232" xr3:uid="{623366EB-1E5E-45DD-9FCF-EBE62B7029A9}" name="Column15184" dataDxfId="1170"/>
    <tableColumn id="15233" xr3:uid="{017845A1-83CD-4D4E-96E3-AB10226C05A2}" name="Column15185" dataDxfId="1169"/>
    <tableColumn id="15234" xr3:uid="{521E14CB-3175-4CFB-8D92-A071BF60583D}" name="Column15186" dataDxfId="1168"/>
    <tableColumn id="15235" xr3:uid="{5D1BD481-A5C9-40A5-AC62-C75C38C7D8E4}" name="Column15187" dataDxfId="1167"/>
    <tableColumn id="15236" xr3:uid="{BB354D79-A06F-4E06-9BA8-651B9D0B3D18}" name="Column15188" dataDxfId="1166"/>
    <tableColumn id="15237" xr3:uid="{89A83A10-5413-49B9-810E-96FDF0AA6A8E}" name="Column15189" dataDxfId="1165"/>
    <tableColumn id="15238" xr3:uid="{6F899BB3-5F77-418A-B230-47379C4609E2}" name="Column15190" dataDxfId="1164"/>
    <tableColumn id="15239" xr3:uid="{26705513-F7FE-497F-8ACC-ED288FB19EB0}" name="Column15191" dataDxfId="1163"/>
    <tableColumn id="15240" xr3:uid="{953DCE74-A358-4F57-9982-F2C350A92C33}" name="Column15192" dataDxfId="1162"/>
    <tableColumn id="15241" xr3:uid="{7D17A2AB-6857-45F6-9493-5D7039945AE0}" name="Column15193" dataDxfId="1161"/>
    <tableColumn id="15242" xr3:uid="{BFDBF991-27F1-44FE-B2A2-732B426682A9}" name="Column15194" dataDxfId="1160"/>
    <tableColumn id="15243" xr3:uid="{CFADFF5A-77A6-4C32-9A33-745ABC4716CD}" name="Column15195" dataDxfId="1159"/>
    <tableColumn id="15244" xr3:uid="{43021852-F7B8-4B2F-B333-AB13484C0AC4}" name="Column15196" dataDxfId="1158"/>
    <tableColumn id="15245" xr3:uid="{6FEEF922-B199-4CF6-A7E5-94672D98A01A}" name="Column15197" dataDxfId="1157"/>
    <tableColumn id="15246" xr3:uid="{93E151CA-7E8D-4FB6-A93B-E51C045D9C5F}" name="Column15198" dataDxfId="1156"/>
    <tableColumn id="15247" xr3:uid="{71503CB8-3759-4E36-9DF0-79D60A8E9EEC}" name="Column15199" dataDxfId="1155"/>
    <tableColumn id="15248" xr3:uid="{38457193-9A31-4E7A-9878-A2AE1F542419}" name="Column15200" dataDxfId="1154"/>
    <tableColumn id="15249" xr3:uid="{BECEE795-C3F8-42A3-BC9A-22536AC48A8F}" name="Column15201" dataDxfId="1153"/>
    <tableColumn id="15250" xr3:uid="{709717E8-0DA1-4D50-88B8-05C3B89442EE}" name="Column15202" dataDxfId="1152"/>
    <tableColumn id="15251" xr3:uid="{CAB4AA54-2D0E-42CD-8963-1BB53A7A7E97}" name="Column15203" dataDxfId="1151"/>
    <tableColumn id="15252" xr3:uid="{DF5CF72A-E3F3-4223-B079-79B1D8EE99B8}" name="Column15204" dataDxfId="1150"/>
    <tableColumn id="15253" xr3:uid="{FB6D2B41-5A14-4210-AC2A-EE108E8F939E}" name="Column15205" dataDxfId="1149"/>
    <tableColumn id="15254" xr3:uid="{ECACA805-1E2D-476B-AD5A-538769E9C466}" name="Column15206" dataDxfId="1148"/>
    <tableColumn id="15255" xr3:uid="{09F9EA84-A2B6-4887-8319-020DCF3BA113}" name="Column15207" dataDxfId="1147"/>
    <tableColumn id="15256" xr3:uid="{0B7F4AA9-86F9-4968-9752-B84F8E054FD0}" name="Column15208" dataDxfId="1146"/>
    <tableColumn id="15257" xr3:uid="{734D2471-E35E-4114-B330-3A080BEA8114}" name="Column15209" dataDxfId="1145"/>
    <tableColumn id="15258" xr3:uid="{1E8A8411-A40B-456D-BEE5-074B414C6821}" name="Column15210" dataDxfId="1144"/>
    <tableColumn id="15259" xr3:uid="{8000ECD4-28A0-47BC-9877-A9EBC57C907A}" name="Column15211" dataDxfId="1143"/>
    <tableColumn id="15260" xr3:uid="{5BFC8A0C-AF5D-4A7D-8C0B-A60183247A64}" name="Column15212" dataDxfId="1142"/>
    <tableColumn id="15261" xr3:uid="{63FF2E68-E03F-436F-9EF2-344C620ADAD4}" name="Column15213" dataDxfId="1141"/>
    <tableColumn id="15262" xr3:uid="{2D2578E2-51B5-4518-8870-416F089517E6}" name="Column15214" dataDxfId="1140"/>
    <tableColumn id="15263" xr3:uid="{E73903AC-1FB3-4AA5-A99C-E8B0FD433522}" name="Column15215" dataDxfId="1139"/>
    <tableColumn id="15264" xr3:uid="{60CEE00B-5B32-4744-A59C-ADAF62411A97}" name="Column15216" dataDxfId="1138"/>
    <tableColumn id="15265" xr3:uid="{6CF319E2-F137-4379-965B-1EBF82778743}" name="Column15217" dataDxfId="1137"/>
    <tableColumn id="15266" xr3:uid="{B4402EEE-918A-482F-AF14-5E0F8A715125}" name="Column15218" dataDxfId="1136"/>
    <tableColumn id="15267" xr3:uid="{C4275A35-517A-4E90-BD18-E6EE10629E51}" name="Column15219" dataDxfId="1135"/>
    <tableColumn id="15268" xr3:uid="{B26CCE32-B1AD-4AC2-885E-53F506806851}" name="Column15220" dataDxfId="1134"/>
    <tableColumn id="15269" xr3:uid="{0C99B6AA-8CA1-452D-9B94-4C4F19F277D0}" name="Column15221" dataDxfId="1133"/>
    <tableColumn id="15270" xr3:uid="{61DC7DF2-E71F-4E76-BBBD-689329E09562}" name="Column15222" dataDxfId="1132"/>
    <tableColumn id="15271" xr3:uid="{609E33D2-5E39-43C4-BC2F-B5E98E0C3842}" name="Column15223" dataDxfId="1131"/>
    <tableColumn id="15272" xr3:uid="{63370ECE-AE8D-443D-A465-6CF5EC1476C5}" name="Column15224" dataDxfId="1130"/>
    <tableColumn id="15273" xr3:uid="{3253B93E-A68B-4504-9752-87D05A8BCB62}" name="Column15225" dataDxfId="1129"/>
    <tableColumn id="15274" xr3:uid="{A48CF0D6-B66E-4E8A-BFF5-DDBC3BFA2E96}" name="Column15226" dataDxfId="1128"/>
    <tableColumn id="15275" xr3:uid="{68810C1A-C321-4EC0-8EE9-E39C1015D1B7}" name="Column15227" dataDxfId="1127"/>
    <tableColumn id="15276" xr3:uid="{CB271FF1-1C2F-4166-916F-B22A89281629}" name="Column15228" dataDxfId="1126"/>
    <tableColumn id="15277" xr3:uid="{DEE54121-38E1-4468-8CA6-4101DB8021BB}" name="Column15229" dataDxfId="1125"/>
    <tableColumn id="15278" xr3:uid="{83A94987-E388-42F7-B950-27E0947925A7}" name="Column15230" dataDxfId="1124"/>
    <tableColumn id="15279" xr3:uid="{0C4825A9-1322-44FC-8CAF-F479FE94D0B6}" name="Column15231" dataDxfId="1123"/>
    <tableColumn id="15280" xr3:uid="{3036B2E5-0466-403D-A3D6-5CAB48678136}" name="Column15232" dataDxfId="1122"/>
    <tableColumn id="15281" xr3:uid="{A16E4FBB-D574-4125-8B87-81FCDCF43941}" name="Column15233" dataDxfId="1121"/>
    <tableColumn id="15282" xr3:uid="{2545213A-6543-4C23-8BBF-7825A6AD167F}" name="Column15234" dataDxfId="1120"/>
    <tableColumn id="15283" xr3:uid="{D16B7356-A34C-4E58-BEF8-6755344E671D}" name="Column15235" dataDxfId="1119"/>
    <tableColumn id="15284" xr3:uid="{C234DE8F-F818-4042-8F5F-F61303294E18}" name="Column15236" dataDxfId="1118"/>
    <tableColumn id="15285" xr3:uid="{8B923B8B-C0BA-4C0F-BC97-FF91B14A1B14}" name="Column15237" dataDxfId="1117"/>
    <tableColumn id="15286" xr3:uid="{922B7E17-6015-4E33-AC3D-A954DDBC578C}" name="Column15238" dataDxfId="1116"/>
    <tableColumn id="15287" xr3:uid="{1E2CDACB-91A8-48BF-8929-156AEE891284}" name="Column15239" dataDxfId="1115"/>
    <tableColumn id="15288" xr3:uid="{BF2B7815-9546-4D2E-9276-8EE7DE4D9E38}" name="Column15240" dataDxfId="1114"/>
    <tableColumn id="15289" xr3:uid="{9F745B32-6809-409E-80F1-C926BED76B00}" name="Column15241" dataDxfId="1113"/>
    <tableColumn id="15290" xr3:uid="{509063E5-A403-46DB-A1C4-66448C3CDD94}" name="Column15242" dataDxfId="1112"/>
    <tableColumn id="15291" xr3:uid="{848326ED-CF38-48A8-ABA1-CE1217636B6D}" name="Column15243" dataDxfId="1111"/>
    <tableColumn id="15292" xr3:uid="{B6C9016B-9F15-434D-9E03-662A6EA742CD}" name="Column15244" dataDxfId="1110"/>
    <tableColumn id="15293" xr3:uid="{DCF0A037-4D66-440F-B169-3DBC66F63590}" name="Column15245" dataDxfId="1109"/>
    <tableColumn id="15294" xr3:uid="{82A1B754-F279-4FEC-B268-9F0888F7B43E}" name="Column15246" dataDxfId="1108"/>
    <tableColumn id="15295" xr3:uid="{59559E1A-1D3C-4EC4-92F4-977400E8E1EE}" name="Column15247" dataDxfId="1107"/>
    <tableColumn id="15296" xr3:uid="{256F283E-7449-459C-8596-FEBDE2962944}" name="Column15248" dataDxfId="1106"/>
    <tableColumn id="15297" xr3:uid="{F86CAB5D-01F9-4470-B5CF-ECE9D7298BC7}" name="Column15249" dataDxfId="1105"/>
    <tableColumn id="15298" xr3:uid="{1E801B2A-3E52-48C4-A807-111EBD57BC5F}" name="Column15250" dataDxfId="1104"/>
    <tableColumn id="15299" xr3:uid="{03C93E66-24B6-4C5B-AA1E-FCC65E0E8FCB}" name="Column15251" dataDxfId="1103"/>
    <tableColumn id="15300" xr3:uid="{30750148-C40F-4649-BA26-DF4A35D684C1}" name="Column15252" dataDxfId="1102"/>
    <tableColumn id="15301" xr3:uid="{5945D2BF-37BC-4F79-B605-B295708C1872}" name="Column15253" dataDxfId="1101"/>
    <tableColumn id="15302" xr3:uid="{A5554441-F166-42C7-93AC-560BF8FE6968}" name="Column15254" dataDxfId="1100"/>
    <tableColumn id="15303" xr3:uid="{EF250CCE-3E5E-4618-8481-2E39061E123B}" name="Column15255" dataDxfId="1099"/>
    <tableColumn id="15304" xr3:uid="{38CA92CF-C90E-42EB-9221-9B383460040E}" name="Column15256" dataDxfId="1098"/>
    <tableColumn id="15305" xr3:uid="{69B00F02-2026-4999-917A-D767AB001E0A}" name="Column15257" dataDxfId="1097"/>
    <tableColumn id="15306" xr3:uid="{BEDE5833-E41D-459F-A6E6-E59EB305EE25}" name="Column15258" dataDxfId="1096"/>
    <tableColumn id="15307" xr3:uid="{62218B86-89BF-4463-958C-0AAC994E6374}" name="Column15259" dataDxfId="1095"/>
    <tableColumn id="15308" xr3:uid="{D197A2C9-C813-486C-B5F3-34D1D35F0853}" name="Column15260" dataDxfId="1094"/>
    <tableColumn id="15309" xr3:uid="{D722E091-306D-473D-B1B8-7C369BC8A597}" name="Column15261" dataDxfId="1093"/>
    <tableColumn id="15310" xr3:uid="{F8FEF55B-AB07-4C35-B72D-6652AE5955CB}" name="Column15262" dataDxfId="1092"/>
    <tableColumn id="15311" xr3:uid="{B193C0C6-129E-4C88-BC88-AD78B4B4766B}" name="Column15263" dataDxfId="1091"/>
    <tableColumn id="15312" xr3:uid="{CDEF64CA-CA64-4D10-B1E4-235F0BC661C4}" name="Column15264" dataDxfId="1090"/>
    <tableColumn id="15313" xr3:uid="{7BF6497F-1660-4052-B0A7-4F6E185AD416}" name="Column15265" dataDxfId="1089"/>
    <tableColumn id="15314" xr3:uid="{077678FE-AF30-43CC-A47F-C3B4B6D17774}" name="Column15266" dataDxfId="1088"/>
    <tableColumn id="15315" xr3:uid="{3178B4DC-A77D-4FA3-B9B0-54CD2AEEAA70}" name="Column15267" dataDxfId="1087"/>
    <tableColumn id="15316" xr3:uid="{9AE6132F-BFC7-4237-8C8A-F747FEFBB306}" name="Column15268" dataDxfId="1086"/>
    <tableColumn id="15317" xr3:uid="{19E2775E-FAE4-4BFB-9966-7C5A7CA09DDA}" name="Column15269" dataDxfId="1085"/>
    <tableColumn id="15318" xr3:uid="{D8D6B86E-E44C-467B-99A0-B4F32BD7CB9A}" name="Column15270" dataDxfId="1084"/>
    <tableColumn id="15319" xr3:uid="{905F61B3-8259-4870-AEB5-2FDDB93B3C0F}" name="Column15271" dataDxfId="1083"/>
    <tableColumn id="15320" xr3:uid="{5D35CCAC-1D29-48F8-A0CD-CBA2051DB062}" name="Column15272" dataDxfId="1082"/>
    <tableColumn id="15321" xr3:uid="{4528E141-AF43-403E-B615-A2DC8F498F48}" name="Column15273" dataDxfId="1081"/>
    <tableColumn id="15322" xr3:uid="{FEBB5FD8-E252-46C6-A082-208B443A1DE2}" name="Column15274" dataDxfId="1080"/>
    <tableColumn id="15323" xr3:uid="{C7BBE6A3-80C7-4F95-B76C-D9D65A3F2595}" name="Column15275" dataDxfId="1079"/>
    <tableColumn id="15324" xr3:uid="{47AE9588-14EE-492F-A8AA-2539E80462A1}" name="Column15276" dataDxfId="1078"/>
    <tableColumn id="15325" xr3:uid="{84A730A6-1674-462F-9A17-B68DB2BBA096}" name="Column15277" dataDxfId="1077"/>
    <tableColumn id="15326" xr3:uid="{1E699926-8E09-4356-A558-FD18D7E4D6D3}" name="Column15278" dataDxfId="1076"/>
    <tableColumn id="15327" xr3:uid="{E6D8E0EA-44E5-41A2-833B-5041A099E4E3}" name="Column15279" dataDxfId="1075"/>
    <tableColumn id="15328" xr3:uid="{81313C87-A916-4D11-984C-BD16E8B10F99}" name="Column15280" dataDxfId="1074"/>
    <tableColumn id="15329" xr3:uid="{E2684214-750A-49BE-8914-CDA968CB2D6D}" name="Column15281" dataDxfId="1073"/>
    <tableColumn id="15330" xr3:uid="{FB637D77-4E3B-401D-B61A-7389F30978DE}" name="Column15282" dataDxfId="1072"/>
    <tableColumn id="15331" xr3:uid="{2F92358C-EA0C-410C-97C1-1973F0D0C69A}" name="Column15283" dataDxfId="1071"/>
    <tableColumn id="15332" xr3:uid="{57E8F730-7CEF-4881-80BB-9C3E3208C7FD}" name="Column15284" dataDxfId="1070"/>
    <tableColumn id="15333" xr3:uid="{E66EED72-F88B-4587-B22F-3970639B8FF7}" name="Column15285" dataDxfId="1069"/>
    <tableColumn id="15334" xr3:uid="{C227959C-EB2D-4A54-89FB-329826F8DCA3}" name="Column15286" dataDxfId="1068"/>
    <tableColumn id="15335" xr3:uid="{CA3F080A-3993-4B84-8D15-0317832DB80E}" name="Column15287" dataDxfId="1067"/>
    <tableColumn id="15336" xr3:uid="{CD92226C-14AF-4522-9FF9-79C1016B1040}" name="Column15288" dataDxfId="1066"/>
    <tableColumn id="15337" xr3:uid="{5518A0AB-0C8D-43A5-B9E5-492A3F48623F}" name="Column15289" dataDxfId="1065"/>
    <tableColumn id="15338" xr3:uid="{DB4CBE6F-DEA3-4C96-98C0-7E75B29C015E}" name="Column15290" dataDxfId="1064"/>
    <tableColumn id="15339" xr3:uid="{ED89A717-136A-4D25-BE2D-91042B86683A}" name="Column15291" dataDxfId="1063"/>
    <tableColumn id="15340" xr3:uid="{EF5FC70F-332F-4726-8D9D-5935F555739D}" name="Column15292" dataDxfId="1062"/>
    <tableColumn id="15341" xr3:uid="{D4B521C6-9274-4553-9C53-2337FCDD4AA5}" name="Column15293" dataDxfId="1061"/>
    <tableColumn id="15342" xr3:uid="{229CDEBC-1709-4DE8-BE5C-7897D1E0AE7E}" name="Column15294" dataDxfId="1060"/>
    <tableColumn id="15343" xr3:uid="{72D1F9CC-79E3-4384-9ED4-2AC8169BA75C}" name="Column15295" dataDxfId="1059"/>
    <tableColumn id="15344" xr3:uid="{BD5CA542-ED46-4FB3-ACA5-43EC7B0F5C52}" name="Column15296" dataDxfId="1058"/>
    <tableColumn id="15345" xr3:uid="{57C9D001-71B1-4F2D-8B6F-552399865194}" name="Column15297" dataDxfId="1057"/>
    <tableColumn id="15346" xr3:uid="{A0C10BE4-976C-4A7B-9551-F31424284963}" name="Column15298" dataDxfId="1056"/>
    <tableColumn id="15347" xr3:uid="{C6219FEB-63E4-44D7-BCA5-07CAEC2CDCF1}" name="Column15299" dataDxfId="1055"/>
    <tableColumn id="15348" xr3:uid="{21CB4240-9445-4310-B751-359808A484F5}" name="Column15300" dataDxfId="1054"/>
    <tableColumn id="15349" xr3:uid="{06FCBAAA-9B9B-407A-BE7A-4A6EA72DE15C}" name="Column15301" dataDxfId="1053"/>
    <tableColumn id="15350" xr3:uid="{34C0D334-E411-48D7-944B-E6ED4A7F28E5}" name="Column15302" dataDxfId="1052"/>
    <tableColumn id="15351" xr3:uid="{04BACED0-C0CF-4DBE-9B85-19005265D0A3}" name="Column15303" dataDxfId="1051"/>
    <tableColumn id="15352" xr3:uid="{936CC976-E973-4E10-A071-D54122CB8747}" name="Column15304" dataDxfId="1050"/>
    <tableColumn id="15353" xr3:uid="{6EABFB0A-D119-4D7B-8C39-62BB03E3EA00}" name="Column15305" dataDxfId="1049"/>
    <tableColumn id="15354" xr3:uid="{EB166B7F-CE19-4B40-A24A-BE96C10F72AC}" name="Column15306" dataDxfId="1048"/>
    <tableColumn id="15355" xr3:uid="{4EE424E1-5F16-48CF-B27D-9099C6045CEA}" name="Column15307" dataDxfId="1047"/>
    <tableColumn id="15356" xr3:uid="{ADE0D904-07D4-4186-B3D5-5033556ECBC5}" name="Column15308" dataDxfId="1046"/>
    <tableColumn id="15357" xr3:uid="{47FD5C4F-C918-46FC-81CF-48E5DEE8286D}" name="Column15309" dataDxfId="1045"/>
    <tableColumn id="15358" xr3:uid="{9FF7AB33-0BF7-4B9E-B756-1C0E64095B62}" name="Column15310" dataDxfId="1044"/>
    <tableColumn id="15359" xr3:uid="{E9AFEF96-60DE-49BB-BF73-84F550F83C43}" name="Column15311" dataDxfId="1043"/>
    <tableColumn id="15360" xr3:uid="{13BEE1FC-A713-43C7-AD8A-C6700B74B9F6}" name="Column15312" dataDxfId="1042"/>
    <tableColumn id="15361" xr3:uid="{124D82C8-64C5-49B7-9E86-179D71B286D7}" name="Column15313" dataDxfId="1041"/>
    <tableColumn id="15362" xr3:uid="{38DD41BF-5837-4650-91B5-64EB004FC7C9}" name="Column15314" dataDxfId="1040"/>
    <tableColumn id="15363" xr3:uid="{11FECEE9-3C5E-4D95-8DBB-2E16022A3564}" name="Column15315" dataDxfId="1039"/>
    <tableColumn id="15364" xr3:uid="{1F0A6160-0130-49A0-9F2A-B630AC9093C6}" name="Column15316" dataDxfId="1038"/>
    <tableColumn id="15365" xr3:uid="{37BAD22A-63AD-4623-A3B1-8557A2A0DA8A}" name="Column15317" dataDxfId="1037"/>
    <tableColumn id="15366" xr3:uid="{90C8DD4F-70B9-4294-A377-E0B6824A75AE}" name="Column15318" dataDxfId="1036"/>
    <tableColumn id="15367" xr3:uid="{1925CB62-0738-4D9C-8744-1AB74AF45271}" name="Column15319" dataDxfId="1035"/>
    <tableColumn id="15368" xr3:uid="{ABC775FB-FBAC-46FC-A7D3-5E26B20D416B}" name="Column15320" dataDxfId="1034"/>
    <tableColumn id="15369" xr3:uid="{8E972EBA-DE98-4319-B0AB-76BA04A24C5F}" name="Column15321" dataDxfId="1033"/>
    <tableColumn id="15370" xr3:uid="{D73FB8C5-28BE-4F63-B801-53AC640476FB}" name="Column15322" dataDxfId="1032"/>
    <tableColumn id="15371" xr3:uid="{C8CD656F-F2E3-4953-91DF-187878D693D5}" name="Column15323" dataDxfId="1031"/>
    <tableColumn id="15372" xr3:uid="{90B0AFF5-D439-4065-AD59-8B215BE3A92F}" name="Column15324" dataDxfId="1030"/>
    <tableColumn id="15373" xr3:uid="{CE0ACABB-8029-44A1-A659-FBAD28162C78}" name="Column15325" dataDxfId="1029"/>
    <tableColumn id="15374" xr3:uid="{3E526C16-5406-4210-9550-5A00FD17A2AB}" name="Column15326" dataDxfId="1028"/>
    <tableColumn id="15375" xr3:uid="{1290B380-68A6-47D1-95C1-E544AF09C58F}" name="Column15327" dataDxfId="1027"/>
    <tableColumn id="15376" xr3:uid="{2486E4F8-FFFB-4833-81B8-697D4FFFECCD}" name="Column15328" dataDxfId="1026"/>
    <tableColumn id="15377" xr3:uid="{AABE1064-8AC1-4650-8BE8-404509408CA3}" name="Column15329" dataDxfId="1025"/>
    <tableColumn id="15378" xr3:uid="{EC9D2BCC-4849-40FA-932A-2B61F6F5961B}" name="Column15330" dataDxfId="1024"/>
    <tableColumn id="15379" xr3:uid="{C9A4AFE2-BDC2-4EBC-92F1-DF792E0B38D9}" name="Column15331" dataDxfId="1023"/>
    <tableColumn id="15380" xr3:uid="{B632D5AE-35D6-43BE-A741-D92778D1AC24}" name="Column15332" dataDxfId="1022"/>
    <tableColumn id="15381" xr3:uid="{D1A62E7B-0E03-4A88-AA2A-D72D9AF6431E}" name="Column15333" dataDxfId="1021"/>
    <tableColumn id="15382" xr3:uid="{1C2C2A82-ECB9-49D6-A736-4C1C9E50807E}" name="Column15334" dataDxfId="1020"/>
    <tableColumn id="15383" xr3:uid="{BC6002D3-F770-4D33-8235-1172C8196BDC}" name="Column15335" dataDxfId="1019"/>
    <tableColumn id="15384" xr3:uid="{981BC70B-620F-4D7A-BDB2-D385AD5D5F67}" name="Column15336" dataDxfId="1018"/>
    <tableColumn id="15385" xr3:uid="{7B85540A-A3AA-4634-A234-C4FAF9FC1AD2}" name="Column15337" dataDxfId="1017"/>
    <tableColumn id="15386" xr3:uid="{FA775EA2-126E-4266-B571-B9FC0996DA30}" name="Column15338" dataDxfId="1016"/>
    <tableColumn id="15387" xr3:uid="{34B6138E-CAD2-49F6-AF18-9E791A3AB2F0}" name="Column15339" dataDxfId="1015"/>
    <tableColumn id="15388" xr3:uid="{943E21E4-118E-49D2-B415-3053DDC2A086}" name="Column15340" dataDxfId="1014"/>
    <tableColumn id="15389" xr3:uid="{547F400F-E550-4142-991E-0A2B3E004121}" name="Column15341" dataDxfId="1013"/>
    <tableColumn id="15390" xr3:uid="{1FB57209-92AD-4B4D-9B55-C60DA06F62EE}" name="Column15342" dataDxfId="1012"/>
    <tableColumn id="15391" xr3:uid="{1F0B13D3-6DA0-4D53-AC6E-FE0060B8199C}" name="Column15343" dataDxfId="1011"/>
    <tableColumn id="15392" xr3:uid="{3103DCBE-A0F3-4442-ADC6-F280BD77A837}" name="Column15344" dataDxfId="1010"/>
    <tableColumn id="15393" xr3:uid="{E2642AC0-EA40-45FB-BD89-4DCE89AF3DDE}" name="Column15345" dataDxfId="1009"/>
    <tableColumn id="15394" xr3:uid="{4A0FFB00-CDB8-49DB-B52D-96251F961FB9}" name="Column15346" dataDxfId="1008"/>
    <tableColumn id="15395" xr3:uid="{30D42093-139E-4461-B38C-24B17E8A209A}" name="Column15347" dataDxfId="1007"/>
    <tableColumn id="15396" xr3:uid="{232867E6-13D6-4539-BBB0-CC00D34EDCA8}" name="Column15348" dataDxfId="1006"/>
    <tableColumn id="15397" xr3:uid="{AFD99C3D-C592-43A7-BFF3-D98D73ADAD69}" name="Column15349" dataDxfId="1005"/>
    <tableColumn id="15398" xr3:uid="{C824A3A7-0A24-45B4-8AE1-3CD06D5BD55F}" name="Column15350" dataDxfId="1004"/>
    <tableColumn id="15399" xr3:uid="{3F9EC3C1-145F-4ADC-B72A-9E7857CCBB2E}" name="Column15351" dataDxfId="1003"/>
    <tableColumn id="15400" xr3:uid="{649AE9E3-3F61-4A8A-BF64-43912D9A9D5A}" name="Column15352" dataDxfId="1002"/>
    <tableColumn id="15401" xr3:uid="{827613ED-BFB7-4089-BC5B-CE3201C0845C}" name="Column15353" dataDxfId="1001"/>
    <tableColumn id="15402" xr3:uid="{5EC4FA1A-5833-42FA-AFD9-1745B86C1831}" name="Column15354" dataDxfId="1000"/>
    <tableColumn id="15403" xr3:uid="{EC972CDF-7F34-4B28-88BE-2923411E40BB}" name="Column15355" dataDxfId="999"/>
    <tableColumn id="15404" xr3:uid="{007CDB11-704E-40AF-AF9C-CA0BBE75891D}" name="Column15356" dataDxfId="998"/>
    <tableColumn id="15405" xr3:uid="{21EE3A37-4C65-4CC5-8C7E-5405B653A296}" name="Column15357" dataDxfId="997"/>
    <tableColumn id="15406" xr3:uid="{90E3742C-9123-499D-AB70-46BA8AAA4A64}" name="Column15358" dataDxfId="996"/>
    <tableColumn id="15407" xr3:uid="{4063D5F5-CC76-4C5C-AB71-59CDECA68741}" name="Column15359" dataDxfId="995"/>
    <tableColumn id="15408" xr3:uid="{543426B6-C862-4314-B773-88239812CEE8}" name="Column15360" dataDxfId="994"/>
    <tableColumn id="15409" xr3:uid="{503E40D8-2E6F-469E-A4D8-F14C332C8126}" name="Column15361" dataDxfId="993"/>
    <tableColumn id="15410" xr3:uid="{67D5A110-05C8-4749-B8BC-FE79567FC837}" name="Column15362" dataDxfId="992"/>
    <tableColumn id="15411" xr3:uid="{B8F7647F-33D9-40DF-A12F-B907966749AB}" name="Column15363" dataDxfId="991"/>
    <tableColumn id="15412" xr3:uid="{F09AFF49-C6E3-418C-8F42-6E8C13A1AFBB}" name="Column15364" dataDxfId="990"/>
    <tableColumn id="15413" xr3:uid="{03476FC6-DCC2-4CDD-87C8-56A3EFCE12BD}" name="Column15365" dataDxfId="989"/>
    <tableColumn id="15414" xr3:uid="{1F44E121-8109-4E33-BFF0-56744E9490D3}" name="Column15366" dataDxfId="988"/>
    <tableColumn id="15415" xr3:uid="{20F40201-F1EF-4E23-865F-D17833D13C7E}" name="Column15367" dataDxfId="987"/>
    <tableColumn id="15416" xr3:uid="{8B52FF53-8FD0-4678-B145-ADEB1EBAF492}" name="Column15368" dataDxfId="986"/>
    <tableColumn id="15417" xr3:uid="{A76DEB5B-C7D5-481A-B209-DC1C16934732}" name="Column15369" dataDxfId="985"/>
    <tableColumn id="15418" xr3:uid="{47811F30-DDC0-4A65-9C74-363F08EEBBB5}" name="Column15370" dataDxfId="984"/>
    <tableColumn id="15419" xr3:uid="{B3F8B515-DBE3-4EB1-93B1-A5DE4DECCB2C}" name="Column15371" dataDxfId="983"/>
    <tableColumn id="15420" xr3:uid="{5E2E740F-9610-4FB3-A108-913293BCE8D2}" name="Column15372" dataDxfId="982"/>
    <tableColumn id="15421" xr3:uid="{66DB956A-D62A-4BB0-9C41-F5DD9192C08D}" name="Column15373" dataDxfId="981"/>
    <tableColumn id="15422" xr3:uid="{A821CF11-FE67-43C8-A442-A8E560EF3D76}" name="Column15374" dataDxfId="980"/>
    <tableColumn id="15423" xr3:uid="{9BD13F70-B7F9-49A3-8EC8-78150EA0E0C2}" name="Column15375" dataDxfId="979"/>
    <tableColumn id="15424" xr3:uid="{CD7870DA-3CF6-48D3-87A0-5AB5CD0B6939}" name="Column15376" dataDxfId="978"/>
    <tableColumn id="15425" xr3:uid="{D8BA8B5C-1A6C-4B63-B1C8-4919D0983D36}" name="Column15377" dataDxfId="977"/>
    <tableColumn id="15426" xr3:uid="{C43D6AE1-8B13-43C2-BAD7-6B7DA7023579}" name="Column15378" dataDxfId="976"/>
    <tableColumn id="15427" xr3:uid="{7AB25583-A73F-4DE9-84AE-0DFEDEF1FE82}" name="Column15379" dataDxfId="975"/>
    <tableColumn id="15428" xr3:uid="{0AD0D14E-494C-4DF1-B88E-7CB094CA76AF}" name="Column15380" dataDxfId="974"/>
    <tableColumn id="15429" xr3:uid="{C3D73DDE-A411-4366-9949-2780B1F72E70}" name="Column15381" dataDxfId="973"/>
    <tableColumn id="15430" xr3:uid="{7E7CA0AD-0D28-483F-81E7-C1F14CC7E017}" name="Column15382" dataDxfId="972"/>
    <tableColumn id="15431" xr3:uid="{41AF817A-F587-486E-AAE4-14EBC73D469C}" name="Column15383" dataDxfId="971"/>
    <tableColumn id="15432" xr3:uid="{593741E6-85BD-4F0B-9997-B38A717E951A}" name="Column15384" dataDxfId="970"/>
    <tableColumn id="15433" xr3:uid="{EE06AC95-BC6E-45C4-8A42-DFF5E035A820}" name="Column15385" dataDxfId="969"/>
    <tableColumn id="15434" xr3:uid="{30CF2FE2-EF88-487C-BE88-98292ECC5446}" name="Column15386" dataDxfId="968"/>
    <tableColumn id="15435" xr3:uid="{51FDE338-8795-4148-B1EE-A6C2E830BBDF}" name="Column15387" dataDxfId="967"/>
    <tableColumn id="15436" xr3:uid="{3D123F59-C4CE-4785-AA52-2247E3B08AAF}" name="Column15388" dataDxfId="966"/>
    <tableColumn id="15437" xr3:uid="{2679C424-A689-4F50-A180-51E72B26F5F7}" name="Column15389" dataDxfId="965"/>
    <tableColumn id="15438" xr3:uid="{A787B2EA-F107-44EC-8B2D-7BD795F65292}" name="Column15390" dataDxfId="964"/>
    <tableColumn id="15439" xr3:uid="{52239291-3388-4A55-859A-6ECBE8AFE12D}" name="Column15391" dataDxfId="963"/>
    <tableColumn id="15440" xr3:uid="{27176CDE-FF42-40CA-BAC7-E784FF99E623}" name="Column15392" dataDxfId="962"/>
    <tableColumn id="15441" xr3:uid="{B2BAACBA-9793-4EB3-8116-1A1D998A34D6}" name="Column15393" dataDxfId="961"/>
    <tableColumn id="15442" xr3:uid="{43901470-595B-449C-A104-1021D340F623}" name="Column15394" dataDxfId="960"/>
    <tableColumn id="15443" xr3:uid="{43D6F8AA-29C9-4202-9A8A-41DDEE0A3596}" name="Column15395" dataDxfId="959"/>
    <tableColumn id="15444" xr3:uid="{011C7088-8026-4E6E-8745-B82AF2243174}" name="Column15396" dataDxfId="958"/>
    <tableColumn id="15445" xr3:uid="{5DEE222B-24F9-4F37-A4CF-CE079083FC1C}" name="Column15397" dataDxfId="957"/>
    <tableColumn id="15446" xr3:uid="{1CF57548-BE1B-4B1A-A0CE-7F5D5EA3D849}" name="Column15398" dataDxfId="956"/>
    <tableColumn id="15447" xr3:uid="{31CA7FB4-F280-4F98-8E7B-A205756AF546}" name="Column15399" dataDxfId="955"/>
    <tableColumn id="15448" xr3:uid="{51D38C3C-92A7-4BB9-89B8-6195563A0145}" name="Column15400" dataDxfId="954"/>
    <tableColumn id="15449" xr3:uid="{6012F783-6F2E-4EAF-8DDE-C751FD89F55D}" name="Column15401" dataDxfId="953"/>
    <tableColumn id="15450" xr3:uid="{24DA0751-C5CA-4A11-AF88-F45C97CC1758}" name="Column15402" dataDxfId="952"/>
    <tableColumn id="15451" xr3:uid="{17C001C8-8962-44F9-989A-ADC27E49F854}" name="Column15403" dataDxfId="951"/>
    <tableColumn id="15452" xr3:uid="{7F7E6ABF-A50F-437E-AAA5-0681F9FA84AD}" name="Column15404" dataDxfId="950"/>
    <tableColumn id="15453" xr3:uid="{8F3BEFBC-2C1C-40B1-8204-B028057D74E6}" name="Column15405" dataDxfId="949"/>
    <tableColumn id="15454" xr3:uid="{B1BDD593-64D8-425A-820B-9CB878EDE97F}" name="Column15406" dataDxfId="948"/>
    <tableColumn id="15455" xr3:uid="{81030E0C-6818-4098-A320-BDAB632548BB}" name="Column15407" dataDxfId="947"/>
    <tableColumn id="15456" xr3:uid="{410A2F75-61B9-42DC-A72B-377920AF2F4B}" name="Column15408" dataDxfId="946"/>
    <tableColumn id="15457" xr3:uid="{EB253F3A-7792-4217-BDF6-590BEE27EAFE}" name="Column15409" dataDxfId="945"/>
    <tableColumn id="15458" xr3:uid="{CE6A80BC-0CDB-41AF-920D-77A829FE9516}" name="Column15410" dataDxfId="944"/>
    <tableColumn id="15459" xr3:uid="{D4169DD1-339C-4AA2-90B9-A5A98299C761}" name="Column15411" dataDxfId="943"/>
    <tableColumn id="15460" xr3:uid="{D3D140CF-482A-44DD-87EA-94BCCBF554FD}" name="Column15412" dataDxfId="942"/>
    <tableColumn id="15461" xr3:uid="{CB49DAB3-C86E-4CBA-A8E9-182A4283FD57}" name="Column15413" dataDxfId="941"/>
    <tableColumn id="15462" xr3:uid="{EFD03EFE-8592-4878-B125-EA1399181B95}" name="Column15414" dataDxfId="940"/>
    <tableColumn id="15463" xr3:uid="{B668C68C-81E5-4C08-A14F-29585DDED5B4}" name="Column15415" dataDxfId="939"/>
    <tableColumn id="15464" xr3:uid="{94DD2154-4D24-4609-882B-C347243F8D8C}" name="Column15416" dataDxfId="938"/>
    <tableColumn id="15465" xr3:uid="{E17118EF-BADE-4C22-B328-1A2B03E22C2F}" name="Column15417" dataDxfId="937"/>
    <tableColumn id="15466" xr3:uid="{635D668A-408F-4988-8CF8-B49313A6CF9C}" name="Column15418" dataDxfId="936"/>
    <tableColumn id="15467" xr3:uid="{CA46A94F-AB25-4305-B5F1-DED80EF88EDF}" name="Column15419" dataDxfId="935"/>
    <tableColumn id="15468" xr3:uid="{DD9A53A7-76BF-4ABB-B94D-9E2BA7E90B87}" name="Column15420" dataDxfId="934"/>
    <tableColumn id="15469" xr3:uid="{75C098E1-2A4A-468B-8E77-8825A634B9C7}" name="Column15421" dataDxfId="933"/>
    <tableColumn id="15470" xr3:uid="{B8CF41EE-E747-4AF3-9A45-656DC676E2FD}" name="Column15422" dataDxfId="932"/>
    <tableColumn id="15471" xr3:uid="{CF7B0ED6-60BA-42B3-A70B-AEFE897F7D6D}" name="Column15423" dataDxfId="931"/>
    <tableColumn id="15472" xr3:uid="{20FE5A07-D500-4012-9F3D-F3C9EB40EBE7}" name="Column15424" dataDxfId="930"/>
    <tableColumn id="15473" xr3:uid="{19392FD6-9028-431F-9DEB-12ECC3C19A1C}" name="Column15425" dataDxfId="929"/>
    <tableColumn id="15474" xr3:uid="{9E34ADDB-4F62-47AB-9D23-668989B4C739}" name="Column15426" dataDxfId="928"/>
    <tableColumn id="15475" xr3:uid="{4FB19774-9402-4E1B-981A-0AE8F94ECC9B}" name="Column15427" dataDxfId="927"/>
    <tableColumn id="15476" xr3:uid="{DCCE0E4F-E094-466F-AE66-222661C8EBCD}" name="Column15428" dataDxfId="926"/>
    <tableColumn id="15477" xr3:uid="{33C79C17-65EB-4077-892E-BEAC62C430F6}" name="Column15429" dataDxfId="925"/>
    <tableColumn id="15478" xr3:uid="{8D29385F-3E97-472A-B730-3F90A48A0DC1}" name="Column15430" dataDxfId="924"/>
    <tableColumn id="15479" xr3:uid="{34187F2C-CD84-4398-AD6B-0D2C7DE118D2}" name="Column15431" dataDxfId="923"/>
    <tableColumn id="15480" xr3:uid="{1EADCC50-1293-4E9D-B977-0AE9F0D90B4A}" name="Column15432" dataDxfId="922"/>
    <tableColumn id="15481" xr3:uid="{E81F0AA4-DD8A-4685-8130-3E5495F9DA19}" name="Column15433" dataDxfId="921"/>
    <tableColumn id="15482" xr3:uid="{B1C9025C-7276-4071-B37F-A7A60E078C3F}" name="Column15434" dataDxfId="920"/>
    <tableColumn id="15483" xr3:uid="{04FD23FF-71F1-44F6-9CAB-4075CE8C42DF}" name="Column15435" dataDxfId="919"/>
    <tableColumn id="15484" xr3:uid="{C4AD9370-7498-4538-A34B-01B2F5234420}" name="Column15436" dataDxfId="918"/>
    <tableColumn id="15485" xr3:uid="{E92A8804-33CA-492D-A580-B1FA2F9B6536}" name="Column15437" dataDxfId="917"/>
    <tableColumn id="15486" xr3:uid="{0126A837-81EE-410A-9CF6-0AD1DFB85B07}" name="Column15438" dataDxfId="916"/>
    <tableColumn id="15487" xr3:uid="{7D556B48-5DF2-467A-B8A7-FA18F5CE7B3E}" name="Column15439" dataDxfId="915"/>
    <tableColumn id="15488" xr3:uid="{70D8C3C2-85F2-4011-B8C3-2268626A5175}" name="Column15440" dataDxfId="914"/>
    <tableColumn id="15489" xr3:uid="{0151CF86-18B9-48A3-8B5A-F13C09B8382E}" name="Column15441" dataDxfId="913"/>
    <tableColumn id="15490" xr3:uid="{4131AD03-7BBF-43D4-8C67-94FDC69FED11}" name="Column15442" dataDxfId="912"/>
    <tableColumn id="15491" xr3:uid="{2BBEC5AD-0EC4-4680-A757-71B9DFCD09BF}" name="Column15443" dataDxfId="911"/>
    <tableColumn id="15492" xr3:uid="{DC99C7E3-0143-491E-8533-7A52A83255BC}" name="Column15444" dataDxfId="910"/>
    <tableColumn id="15493" xr3:uid="{B8DB1BF6-5CE6-4ACA-A25C-E0EE73E6E25F}" name="Column15445" dataDxfId="909"/>
    <tableColumn id="15494" xr3:uid="{F8F4B61E-ABB7-4064-8C7E-91F6044F89F5}" name="Column15446" dataDxfId="908"/>
    <tableColumn id="15495" xr3:uid="{C47D78A1-9903-463A-907C-F93A9D0CC375}" name="Column15447" dataDxfId="907"/>
    <tableColumn id="15496" xr3:uid="{8EB8C8F5-8C0D-4D89-9163-3C96933E1D89}" name="Column15448" dataDxfId="906"/>
    <tableColumn id="15497" xr3:uid="{B7E37711-8BA9-4A4E-8203-AFEE241680DE}" name="Column15449" dataDxfId="905"/>
    <tableColumn id="15498" xr3:uid="{FF33B18C-3F83-495E-9E49-6050E8B1A42A}" name="Column15450" dataDxfId="904"/>
    <tableColumn id="15499" xr3:uid="{DBA4EB53-BBCE-49EA-AA4E-8736896635BE}" name="Column15451" dataDxfId="903"/>
    <tableColumn id="15500" xr3:uid="{C5135E34-BE6E-48F8-9648-BB5D5B737B0C}" name="Column15452" dataDxfId="902"/>
    <tableColumn id="15501" xr3:uid="{8DAE6777-242B-494C-B04B-D503702B97CD}" name="Column15453" dataDxfId="901"/>
    <tableColumn id="15502" xr3:uid="{6375725E-87F2-421D-B684-10E2DAAEE596}" name="Column15454" dataDxfId="900"/>
    <tableColumn id="15503" xr3:uid="{A97816C6-E793-4519-A726-26454B992426}" name="Column15455" dataDxfId="899"/>
    <tableColumn id="15504" xr3:uid="{7D7A1295-7A63-4083-AC9A-0D4C7657266E}" name="Column15456" dataDxfId="898"/>
    <tableColumn id="15505" xr3:uid="{8156DD2C-CA92-4466-8938-5899A07E5B06}" name="Column15457" dataDxfId="897"/>
    <tableColumn id="15506" xr3:uid="{45136822-DC97-465A-89AD-D9017F15AB70}" name="Column15458" dataDxfId="896"/>
    <tableColumn id="15507" xr3:uid="{C99DB1C9-2EA9-4336-A460-AAED88672F98}" name="Column15459" dataDxfId="895"/>
    <tableColumn id="15508" xr3:uid="{627D52F5-70AE-495F-86A6-9BDA9190F961}" name="Column15460" dataDxfId="894"/>
    <tableColumn id="15509" xr3:uid="{C4084325-AF17-4DC9-9D8B-D613E0AFFA37}" name="Column15461" dataDxfId="893"/>
    <tableColumn id="15510" xr3:uid="{A7655706-1B70-48B1-81B7-67C0498EFF96}" name="Column15462" dataDxfId="892"/>
    <tableColumn id="15511" xr3:uid="{DC05B5B5-7CD7-4900-881C-E72FF9E9C8A0}" name="Column15463" dataDxfId="891"/>
    <tableColumn id="15512" xr3:uid="{EE56C05D-BDB1-4EE1-B7CD-220B22D4414E}" name="Column15464" dataDxfId="890"/>
    <tableColumn id="15513" xr3:uid="{B8DEC64E-C413-455F-BA4A-5A7F59DFEFEC}" name="Column15465" dataDxfId="889"/>
    <tableColumn id="15514" xr3:uid="{DE8E2B99-FBF2-4CD3-8282-C54A8C6B02FE}" name="Column15466" dataDxfId="888"/>
    <tableColumn id="15515" xr3:uid="{9B351E3B-458E-4180-B88D-BB8111C311F6}" name="Column15467" dataDxfId="887"/>
    <tableColumn id="15516" xr3:uid="{90D6A3FD-BB9B-49C7-91D1-79682150DD68}" name="Column15468" dataDxfId="886"/>
    <tableColumn id="15517" xr3:uid="{C5D37387-BDC8-4A35-A6B8-FA8A997B65EC}" name="Column15469" dataDxfId="885"/>
    <tableColumn id="15518" xr3:uid="{0D29EE62-4508-4771-8025-D5782417B1D2}" name="Column15470" dataDxfId="884"/>
    <tableColumn id="15519" xr3:uid="{EBB56F10-DF3C-42B5-AF0E-94B0A67D2318}" name="Column15471" dataDxfId="883"/>
    <tableColumn id="15520" xr3:uid="{9AF2DBB5-05E8-4C4C-80CF-F2CFF30EBAD7}" name="Column15472" dataDxfId="882"/>
    <tableColumn id="15521" xr3:uid="{9EFFEFA4-BAED-4EC3-BA49-9F00CCDE5584}" name="Column15473" dataDxfId="881"/>
    <tableColumn id="15522" xr3:uid="{61268EF8-A897-422E-94FB-BC2FFB97CEA3}" name="Column15474" dataDxfId="880"/>
    <tableColumn id="15523" xr3:uid="{6DE39E6A-0A5B-464A-8C87-543375CB8A2F}" name="Column15475" dataDxfId="879"/>
    <tableColumn id="15524" xr3:uid="{DFA2AEA7-561D-4EB5-BEBE-EFA712926AA4}" name="Column15476" dataDxfId="878"/>
    <tableColumn id="15525" xr3:uid="{5BF26DAA-E165-4F91-AF5F-F86FF9A5B678}" name="Column15477" dataDxfId="877"/>
    <tableColumn id="15526" xr3:uid="{2D80616A-B810-42AB-8829-B4C2D4D82AEE}" name="Column15478" dataDxfId="876"/>
    <tableColumn id="15527" xr3:uid="{A304A2B5-1FFF-4A58-AE01-953AE7FC67B0}" name="Column15479" dataDxfId="875"/>
    <tableColumn id="15528" xr3:uid="{D317F139-8944-4DE2-868E-BEAEE4EAD404}" name="Column15480" dataDxfId="874"/>
    <tableColumn id="15529" xr3:uid="{638768AB-1698-45A8-8853-0C917F4FCFDA}" name="Column15481" dataDxfId="873"/>
    <tableColumn id="15530" xr3:uid="{519855BE-C131-40F8-9C68-37DFCC01FD00}" name="Column15482" dataDxfId="872"/>
    <tableColumn id="15531" xr3:uid="{E5C4A518-02C2-4251-B936-9ED84C3F7D86}" name="Column15483" dataDxfId="871"/>
    <tableColumn id="15532" xr3:uid="{12D08276-B53E-4CC7-A637-09DB996A4924}" name="Column15484" dataDxfId="870"/>
    <tableColumn id="15533" xr3:uid="{355B388F-7355-40EF-884E-985191291B7E}" name="Column15485" dataDxfId="869"/>
    <tableColumn id="15534" xr3:uid="{D3902B7C-4F32-495C-A535-63842CCEAA16}" name="Column15486" dataDxfId="868"/>
    <tableColumn id="15535" xr3:uid="{D555D111-C9E9-4B89-A3DC-7C71282D8CA5}" name="Column15487" dataDxfId="867"/>
    <tableColumn id="15536" xr3:uid="{B3E324E5-3F48-4ADF-B442-390130468309}" name="Column15488" dataDxfId="866"/>
    <tableColumn id="15537" xr3:uid="{145A8625-8D89-4EFD-B3B9-65A8E3A0BFD9}" name="Column15489" dataDxfId="865"/>
    <tableColumn id="15538" xr3:uid="{8B1C3ADE-3FB5-49B1-B4AA-65BF0E539CD5}" name="Column15490" dataDxfId="864"/>
    <tableColumn id="15539" xr3:uid="{D77ACBC9-4D40-420C-9A8D-F864C2D202FA}" name="Column15491" dataDxfId="863"/>
    <tableColumn id="15540" xr3:uid="{CBA771CF-9AC0-4440-A275-131B68ECCFF7}" name="Column15492" dataDxfId="862"/>
    <tableColumn id="15541" xr3:uid="{C36A922C-CECE-4AD8-8BEA-76761536F9A3}" name="Column15493" dataDxfId="861"/>
    <tableColumn id="15542" xr3:uid="{C713A52A-AEFD-446F-99B3-4D3AB3E20BCC}" name="Column15494" dataDxfId="860"/>
    <tableColumn id="15543" xr3:uid="{E70AD57B-3FF1-49EF-85AB-94A15131D2B3}" name="Column15495" dataDxfId="859"/>
    <tableColumn id="15544" xr3:uid="{2E48D4C5-2BFE-4F99-A2DC-C460337BAC1E}" name="Column15496" dataDxfId="858"/>
    <tableColumn id="15545" xr3:uid="{40235437-3A57-4C5B-96CF-F02EE7FD268B}" name="Column15497" dataDxfId="857"/>
    <tableColumn id="15546" xr3:uid="{AEB2FC92-8867-4EE0-93EF-941AB6869704}" name="Column15498" dataDxfId="856"/>
    <tableColumn id="15547" xr3:uid="{B03CAF3D-9B57-4CB9-B9DF-E5136602C439}" name="Column15499" dataDxfId="855"/>
    <tableColumn id="15548" xr3:uid="{6EB2F1A6-F8F3-46F8-83B4-6696CD660FEA}" name="Column15500" dataDxfId="854"/>
    <tableColumn id="15549" xr3:uid="{AD554F50-8114-4D76-BA28-067DFAE77FC9}" name="Column15501" dataDxfId="853"/>
    <tableColumn id="15550" xr3:uid="{BC292E5B-330C-488A-91B0-466C16B248A6}" name="Column15502" dataDxfId="852"/>
    <tableColumn id="15551" xr3:uid="{76534611-8B70-4EE8-AFFF-060EDA04FCAA}" name="Column15503" dataDxfId="851"/>
    <tableColumn id="15552" xr3:uid="{CEB0FFC3-E139-47B9-90F4-725907F4E18D}" name="Column15504" dataDxfId="850"/>
    <tableColumn id="15553" xr3:uid="{78DF8105-4298-4766-BE61-246997AC95BE}" name="Column15505" dataDxfId="849"/>
    <tableColumn id="15554" xr3:uid="{01BAAC50-626C-4F1D-955A-526FF310A135}" name="Column15506" dataDxfId="848"/>
    <tableColumn id="15555" xr3:uid="{F8ECCD58-EB47-4F1E-A96D-C7D46569EE76}" name="Column15507" dataDxfId="847"/>
    <tableColumn id="15556" xr3:uid="{1A32BCCC-5983-4934-8151-8B87A1B3F938}" name="Column15508" dataDxfId="846"/>
    <tableColumn id="15557" xr3:uid="{632F12C3-5F86-4B29-A12C-37C11AA4B2C2}" name="Column15509" dataDxfId="845"/>
    <tableColumn id="15558" xr3:uid="{DC879A82-8838-4B1D-A72E-C89E7AB33945}" name="Column15510" dataDxfId="844"/>
    <tableColumn id="15559" xr3:uid="{D3DF5BC4-0B11-406C-9E1B-FC4E67C0FE2E}" name="Column15511" dataDxfId="843"/>
    <tableColumn id="15560" xr3:uid="{C125CAB2-5317-4236-A422-41D2904C6960}" name="Column15512" dataDxfId="842"/>
    <tableColumn id="15561" xr3:uid="{34A676D6-88B1-4635-B213-02BA688D9E70}" name="Column15513" dataDxfId="841"/>
    <tableColumn id="15562" xr3:uid="{A920741B-9C8E-48E1-B4B5-1B14490B2136}" name="Column15514" dataDxfId="840"/>
    <tableColumn id="15563" xr3:uid="{B305453D-009C-4D1A-A079-A89C49D408C7}" name="Column15515" dataDxfId="839"/>
    <tableColumn id="15564" xr3:uid="{9764A56C-AE87-4C02-968F-F2222998AAAF}" name="Column15516" dataDxfId="838"/>
    <tableColumn id="15565" xr3:uid="{139BD684-169F-49B8-AFD2-D9389C4769A2}" name="Column15517" dataDxfId="837"/>
    <tableColumn id="15566" xr3:uid="{DE453CD2-5CCF-409D-BFE9-011D45391F9F}" name="Column15518" dataDxfId="836"/>
    <tableColumn id="15567" xr3:uid="{1F22225D-4759-4651-9AD5-7186BFF72886}" name="Column15519" dataDxfId="835"/>
    <tableColumn id="15568" xr3:uid="{6EE340A5-67A5-4B81-80C9-458493FB3CC5}" name="Column15520" dataDxfId="834"/>
    <tableColumn id="15569" xr3:uid="{61D51FCC-D488-4A2B-8478-299468FD4A11}" name="Column15521" dataDxfId="833"/>
    <tableColumn id="15570" xr3:uid="{EE35F3CD-9FA2-4FE6-95A8-1B58021D6A89}" name="Column15522" dataDxfId="832"/>
    <tableColumn id="15571" xr3:uid="{1D22002E-807A-451C-9EC8-BDC669160AB4}" name="Column15523" dataDxfId="831"/>
    <tableColumn id="15572" xr3:uid="{4939E0F4-CA7F-4FED-8049-7C1EC8FD1580}" name="Column15524" dataDxfId="830"/>
    <tableColumn id="15573" xr3:uid="{7BF7D665-D1A0-462D-B3EC-16CDA3A5DF0E}" name="Column15525" dataDxfId="829"/>
    <tableColumn id="15574" xr3:uid="{6B9B40FE-8063-4F89-B28D-3C8AFD9C3E8F}" name="Column15526" dataDxfId="828"/>
    <tableColumn id="15575" xr3:uid="{B6BCB447-ECE1-4A6C-82E4-024EA92CDA0C}" name="Column15527" dataDxfId="827"/>
    <tableColumn id="15576" xr3:uid="{0FB2A4F1-A8B4-4CB6-B4A1-3CD93A6560CD}" name="Column15528" dataDxfId="826"/>
    <tableColumn id="15577" xr3:uid="{24AAB458-D1B5-4E3B-8DEE-31B1E1A94790}" name="Column15529" dataDxfId="825"/>
    <tableColumn id="15578" xr3:uid="{08B82262-3EB4-41ED-9CC5-693ACDA0FFF4}" name="Column15530" dataDxfId="824"/>
    <tableColumn id="15579" xr3:uid="{E67A4BFA-72E0-45C3-A46F-29FD9491B701}" name="Column15531" dataDxfId="823"/>
    <tableColumn id="15580" xr3:uid="{683BB81E-752D-4FB2-8499-0A3B21A50336}" name="Column15532" dataDxfId="822"/>
    <tableColumn id="15581" xr3:uid="{3DB59DA4-639D-4871-B514-E9BBB9E4F0C2}" name="Column15533" dataDxfId="821"/>
    <tableColumn id="15582" xr3:uid="{B1482486-4797-40CF-806E-25E43CC29A14}" name="Column15534" dataDxfId="820"/>
    <tableColumn id="15583" xr3:uid="{B67C49FA-84B9-45FD-AA32-83D44A663E6D}" name="Column15535" dataDxfId="819"/>
    <tableColumn id="15584" xr3:uid="{6143C656-74E4-4A6B-AD28-6463C0CDD083}" name="Column15536" dataDxfId="818"/>
    <tableColumn id="15585" xr3:uid="{0D0A885A-119B-497A-B45E-C9AA6C86B375}" name="Column15537" dataDxfId="817"/>
    <tableColumn id="15586" xr3:uid="{6AC36CB6-DE57-4882-8B7D-98B0079F4687}" name="Column15538" dataDxfId="816"/>
    <tableColumn id="15587" xr3:uid="{EF3EE0C1-3B39-41F0-8CAE-D648C611CD1A}" name="Column15539" dataDxfId="815"/>
    <tableColumn id="15588" xr3:uid="{7F6D491A-984F-46A7-91DB-2BBA0646C363}" name="Column15540" dataDxfId="814"/>
    <tableColumn id="15589" xr3:uid="{F8B5FC9B-B043-4547-AEAC-00510D2442BF}" name="Column15541" dataDxfId="813"/>
    <tableColumn id="15590" xr3:uid="{59894D27-25C1-40E5-A758-0314E148708A}" name="Column15542" dataDxfId="812"/>
    <tableColumn id="15591" xr3:uid="{4F281B90-087B-4B14-9160-3F7175780B37}" name="Column15543" dataDxfId="811"/>
    <tableColumn id="15592" xr3:uid="{C01A8B4A-3980-45BE-A36A-0F1072A168B7}" name="Column15544" dataDxfId="810"/>
    <tableColumn id="15593" xr3:uid="{D64FF06F-3423-442B-A8AC-F04797882949}" name="Column15545" dataDxfId="809"/>
    <tableColumn id="15594" xr3:uid="{6B9CFD0D-D4E1-4154-B684-0259DA8D6F42}" name="Column15546" dataDxfId="808"/>
    <tableColumn id="15595" xr3:uid="{2FCC1437-A0FD-41DB-A183-1E642DA77DF6}" name="Column15547" dataDxfId="807"/>
    <tableColumn id="15596" xr3:uid="{5AA41CE9-6294-4CFA-83B2-03997FB18F98}" name="Column15548" dataDxfId="806"/>
    <tableColumn id="15597" xr3:uid="{70209754-87D7-437F-B84C-AC56B09085E3}" name="Column15549" dataDxfId="805"/>
    <tableColumn id="15598" xr3:uid="{93B417AE-1B51-4067-BDA3-550C1C549CFB}" name="Column15550" dataDxfId="804"/>
    <tableColumn id="15599" xr3:uid="{87784E0B-DA9C-4E9C-912C-71CD38FEB80C}" name="Column15551" dataDxfId="803"/>
    <tableColumn id="15600" xr3:uid="{321EE8A1-7298-4640-BD04-40EBD39FFD95}" name="Column15552" dataDxfId="802"/>
    <tableColumn id="15601" xr3:uid="{27D77DF1-30C9-4F47-8544-68EAD72520C6}" name="Column15553" dataDxfId="801"/>
    <tableColumn id="15602" xr3:uid="{60F5D00B-82B9-4132-8088-5DDE80501AFD}" name="Column15554" dataDxfId="800"/>
    <tableColumn id="15603" xr3:uid="{A92D7D45-7DBF-4132-82AF-D870BE2C3F95}" name="Column15555" dataDxfId="799"/>
    <tableColumn id="15604" xr3:uid="{CA1372B4-1540-4D88-9C1C-CDF6AEF67405}" name="Column15556" dataDxfId="798"/>
    <tableColumn id="15605" xr3:uid="{06AB24B2-B69A-4650-8204-3F25816904FE}" name="Column15557" dataDxfId="797"/>
    <tableColumn id="15606" xr3:uid="{A48B432E-306A-4F6E-8A61-AC6281E36A6F}" name="Column15558" dataDxfId="796"/>
    <tableColumn id="15607" xr3:uid="{6E99943B-351B-4E22-99D9-16321A9C0E49}" name="Column15559" dataDxfId="795"/>
    <tableColumn id="15608" xr3:uid="{121566D7-7B66-4245-9C43-AB01911C4E71}" name="Column15560" dataDxfId="794"/>
    <tableColumn id="15609" xr3:uid="{E5248D05-6899-45CF-8040-C7A8BCC20FD2}" name="Column15561" dataDxfId="793"/>
    <tableColumn id="15610" xr3:uid="{A89CB0C7-8540-40F5-8A7F-164BBE670753}" name="Column15562" dataDxfId="792"/>
    <tableColumn id="15611" xr3:uid="{49F67CE7-1124-439F-992E-565D21AA0720}" name="Column15563" dataDxfId="791"/>
    <tableColumn id="15612" xr3:uid="{AD8F0AFB-9691-472F-8A87-3CB0955BFC74}" name="Column15564" dataDxfId="790"/>
    <tableColumn id="15613" xr3:uid="{8D8CEBAF-0447-4022-AD86-E84394FBB974}" name="Column15565" dataDxfId="789"/>
    <tableColumn id="15614" xr3:uid="{051FCDFA-7771-4505-BDF2-6F9776169C95}" name="Column15566" dataDxfId="788"/>
    <tableColumn id="15615" xr3:uid="{6C2BEB4A-41BD-4433-A1CB-F808925185AD}" name="Column15567" dataDxfId="787"/>
    <tableColumn id="15616" xr3:uid="{AB6D0B2C-9DB8-4EBF-96BB-8071C6F47D6A}" name="Column15568" dataDxfId="786"/>
    <tableColumn id="15617" xr3:uid="{8018646E-8A0D-4647-B511-8EE32E6617C7}" name="Column15569" dataDxfId="785"/>
    <tableColumn id="15618" xr3:uid="{5C25D714-C5CB-4CC8-A716-B535F0C798C3}" name="Column15570" dataDxfId="784"/>
    <tableColumn id="15619" xr3:uid="{69987C68-15D7-4A93-8866-5E1F5594C2F3}" name="Column15571" dataDxfId="783"/>
    <tableColumn id="15620" xr3:uid="{BDEF35D0-630D-463B-B15A-E837875AD1DC}" name="Column15572" dataDxfId="782"/>
    <tableColumn id="15621" xr3:uid="{A03467FF-8E02-483F-8605-88C05DDD436A}" name="Column15573" dataDxfId="781"/>
    <tableColumn id="15622" xr3:uid="{DFCF9297-928B-42AC-81CD-BA0024F6C6A7}" name="Column15574" dataDxfId="780"/>
    <tableColumn id="15623" xr3:uid="{2247A157-7C8C-45E2-8F7A-92E6AE5AC338}" name="Column15575" dataDxfId="779"/>
    <tableColumn id="15624" xr3:uid="{0166AB57-CAF6-4309-B72B-B6601CC98D56}" name="Column15576" dataDxfId="778"/>
    <tableColumn id="15625" xr3:uid="{6FEFCCA8-613C-42FD-A253-21E71F7D7FA6}" name="Column15577" dataDxfId="777"/>
    <tableColumn id="15626" xr3:uid="{3A8F0390-4970-4002-8E03-BDC8A85FF4D7}" name="Column15578" dataDxfId="776"/>
    <tableColumn id="15627" xr3:uid="{83DB9560-0395-49B9-8654-49816D1B5EB3}" name="Column15579" dataDxfId="775"/>
    <tableColumn id="15628" xr3:uid="{D0DA2F5B-E4CF-4594-A069-4CDFDDC99941}" name="Column15580" dataDxfId="774"/>
    <tableColumn id="15629" xr3:uid="{7AB8EA7C-1657-4884-A48F-F6C39D472086}" name="Column15581" dataDxfId="773"/>
    <tableColumn id="15630" xr3:uid="{F673772E-ED4C-4E66-A6E1-BB5D2E6B34C0}" name="Column15582" dataDxfId="772"/>
    <tableColumn id="15631" xr3:uid="{70E51F40-DF06-4CD7-B2A8-DB7B43A12C17}" name="Column15583" dataDxfId="771"/>
    <tableColumn id="15632" xr3:uid="{13C42476-EB1F-4D6B-9D12-B53F68B26AAB}" name="Column15584" dataDxfId="770"/>
    <tableColumn id="15633" xr3:uid="{7EFBF073-3414-46CF-A8BE-D2F693FB20EE}" name="Column15585" dataDxfId="769"/>
    <tableColumn id="15634" xr3:uid="{FB82D9F7-E89E-45D9-AC42-B4832466D635}" name="Column15586" dataDxfId="768"/>
    <tableColumn id="15635" xr3:uid="{2CFC4AD7-0831-40C9-993F-F31CC99369E5}" name="Column15587" dataDxfId="767"/>
    <tableColumn id="15636" xr3:uid="{0FA955F9-35DF-4B04-9F66-05019F926626}" name="Column15588" dataDxfId="766"/>
    <tableColumn id="15637" xr3:uid="{1BF44E4B-1CA8-4954-A695-12C553C57052}" name="Column15589" dataDxfId="765"/>
    <tableColumn id="15638" xr3:uid="{2056F021-2749-4437-872A-51967B5B5F77}" name="Column15590" dataDxfId="764"/>
    <tableColumn id="15639" xr3:uid="{6D3A069C-3C9B-4D6E-BD04-E46D4ADEB6A1}" name="Column15591" dataDxfId="763"/>
    <tableColumn id="15640" xr3:uid="{3112129D-00EA-482F-A27A-F62000B2C3E0}" name="Column15592" dataDxfId="762"/>
    <tableColumn id="15641" xr3:uid="{EB0CA222-9FD3-4672-9BC1-41599F456BAC}" name="Column15593" dataDxfId="761"/>
    <tableColumn id="15642" xr3:uid="{C17E6060-4669-42EF-ACA0-89872F80E0DE}" name="Column15594" dataDxfId="760"/>
    <tableColumn id="15643" xr3:uid="{40968100-9885-478C-A1F9-C13D33566CFF}" name="Column15595" dataDxfId="759"/>
    <tableColumn id="15644" xr3:uid="{94EEF35B-E4FE-4D23-9BED-9F690F924E77}" name="Column15596" dataDxfId="758"/>
    <tableColumn id="15645" xr3:uid="{70224A7F-F86D-4CDA-AC58-049D4B1E3818}" name="Column15597" dataDxfId="757"/>
    <tableColumn id="15646" xr3:uid="{4F4A9FD0-6ADF-42C8-ABB7-078E24C12D91}" name="Column15598" dataDxfId="756"/>
    <tableColumn id="15647" xr3:uid="{A67080D9-E5BF-41B7-9AE1-D0FB4A34FA3A}" name="Column15599" dataDxfId="755"/>
    <tableColumn id="15648" xr3:uid="{8FFBDAB0-2BCA-4CF2-BA84-49AC3B8916A7}" name="Column15600" dataDxfId="754"/>
    <tableColumn id="15649" xr3:uid="{61E09052-7E63-45C9-86B6-B0871014BF9F}" name="Column15601" dataDxfId="753"/>
    <tableColumn id="15650" xr3:uid="{BFEEFAE2-BE6B-48D1-95BA-D77776CDC643}" name="Column15602" dataDxfId="752"/>
    <tableColumn id="15651" xr3:uid="{D955DFD2-C613-481F-AB8E-88C8E73894C2}" name="Column15603" dataDxfId="751"/>
    <tableColumn id="15652" xr3:uid="{147465F0-37A1-4A6A-8272-9B109B47CEF1}" name="Column15604" dataDxfId="750"/>
    <tableColumn id="15653" xr3:uid="{3F83AAEC-3C18-4B81-B290-1C72BCB76016}" name="Column15605" dataDxfId="749"/>
    <tableColumn id="15654" xr3:uid="{FE48FDD5-B3FB-481B-8A1D-E24720B9D6F5}" name="Column15606" dataDxfId="748"/>
    <tableColumn id="15655" xr3:uid="{D91920FB-D686-4D9B-B9EC-EBBC7BB84D73}" name="Column15607" dataDxfId="747"/>
    <tableColumn id="15656" xr3:uid="{2AB36A49-0722-4A81-ABA7-D9AD5237D59F}" name="Column15608" dataDxfId="746"/>
    <tableColumn id="15657" xr3:uid="{E0652D2A-899B-4EBE-8050-F2D7252A3E71}" name="Column15609" dataDxfId="745"/>
    <tableColumn id="15658" xr3:uid="{9884100F-6A62-4663-8188-0C3501858D74}" name="Column15610" dataDxfId="744"/>
    <tableColumn id="15659" xr3:uid="{84266B1A-763F-41EA-A2D0-0BFCEBB02131}" name="Column15611" dataDxfId="743"/>
    <tableColumn id="15660" xr3:uid="{725F1D23-7F25-4EA4-B109-BD48FD6931A9}" name="Column15612" dataDxfId="742"/>
    <tableColumn id="15661" xr3:uid="{A0292EBD-CD5F-49CD-B8B7-37D9949F1834}" name="Column15613" dataDxfId="741"/>
    <tableColumn id="15662" xr3:uid="{95141813-6305-4809-BC5C-19467FBC1CC6}" name="Column15614" dataDxfId="740"/>
    <tableColumn id="15663" xr3:uid="{7B20907E-3DFB-4980-91C4-2DBFF7B09F1E}" name="Column15615" dataDxfId="739"/>
    <tableColumn id="15664" xr3:uid="{C6F00390-6D83-4021-87FC-98EB7D74E6CB}" name="Column15616" dataDxfId="738"/>
    <tableColumn id="15665" xr3:uid="{31D3D230-3E8E-43BB-8891-C9D8FC7C4FFE}" name="Column15617" dataDxfId="737"/>
    <tableColumn id="15666" xr3:uid="{94DC0CD9-4EAE-4033-AE4D-B1207CFF98DA}" name="Column15618" dataDxfId="736"/>
    <tableColumn id="15667" xr3:uid="{9E7F807D-CEB9-4276-832E-2D56EC417AAC}" name="Column15619" dataDxfId="735"/>
    <tableColumn id="15668" xr3:uid="{B3EEC26C-87F1-4F72-B367-294F1DE1A805}" name="Column15620" dataDxfId="734"/>
    <tableColumn id="15669" xr3:uid="{DB67D881-A541-473B-8509-7973740A1FA2}" name="Column15621" dataDxfId="733"/>
    <tableColumn id="15670" xr3:uid="{C45D22A7-10B9-47B1-9B4D-72959B998A6D}" name="Column15622" dataDxfId="732"/>
    <tableColumn id="15671" xr3:uid="{2FBC16E4-5660-446D-9666-D3DD3A50A6AD}" name="Column15623" dataDxfId="731"/>
    <tableColumn id="15672" xr3:uid="{C2E582FF-274C-4FA6-9792-2431B35032B1}" name="Column15624" dataDxfId="730"/>
    <tableColumn id="15673" xr3:uid="{64230247-A0D1-4C7C-BEC1-81E25A94E5A5}" name="Column15625" dataDxfId="729"/>
    <tableColumn id="15674" xr3:uid="{46607EE9-3C63-407A-B2D6-8B9208887772}" name="Column15626" dataDxfId="728"/>
    <tableColumn id="15675" xr3:uid="{5BDD7D05-C8C9-4713-9024-19113C48ED29}" name="Column15627" dataDxfId="727"/>
    <tableColumn id="15676" xr3:uid="{6329CC6C-7979-4977-B942-3D67B3BAAB36}" name="Column15628" dataDxfId="726"/>
    <tableColumn id="15677" xr3:uid="{C20D1242-270C-4E33-9A02-D195A2C191F5}" name="Column15629" dataDxfId="725"/>
    <tableColumn id="15678" xr3:uid="{993B9932-0FA8-420D-8EFA-4B8A0A5D019D}" name="Column15630" dataDxfId="724"/>
    <tableColumn id="15679" xr3:uid="{6CF8600F-6EB4-4E3B-B06D-12C0FF1434FF}" name="Column15631" dataDxfId="723"/>
    <tableColumn id="15680" xr3:uid="{42526D26-7430-49B8-851D-CE17D8A91162}" name="Column15632" dataDxfId="722"/>
    <tableColumn id="15681" xr3:uid="{1DC8DC64-DC6D-4E8E-A7E4-2EAA8089AB8A}" name="Column15633" dataDxfId="721"/>
    <tableColumn id="15682" xr3:uid="{006092A7-78B2-401C-8E2B-83F666DB63A5}" name="Column15634" dataDxfId="720"/>
    <tableColumn id="15683" xr3:uid="{9E7BE2BE-4176-4F4A-9494-E917357A7C92}" name="Column15635" dataDxfId="719"/>
    <tableColumn id="15684" xr3:uid="{2B8A69FA-2ED9-40A8-ABCA-F92AE335E06D}" name="Column15636" dataDxfId="718"/>
    <tableColumn id="15685" xr3:uid="{36399BFB-D332-4A05-A85F-7CE6D35DA298}" name="Column15637" dataDxfId="717"/>
    <tableColumn id="15686" xr3:uid="{11A2D8F3-9E00-4E2E-9530-444813049EE0}" name="Column15638" dataDxfId="716"/>
    <tableColumn id="15687" xr3:uid="{1184D2B9-9EAA-4A5C-B0A2-856D35AF2C77}" name="Column15639" dataDxfId="715"/>
    <tableColumn id="15688" xr3:uid="{84D305F7-B21D-472D-B3D0-E24405E06602}" name="Column15640" dataDxfId="714"/>
    <tableColumn id="15689" xr3:uid="{59893574-E9E9-42D6-9A66-D8A2ADAC0393}" name="Column15641" dataDxfId="713"/>
    <tableColumn id="15690" xr3:uid="{BC301823-AD06-46EE-A902-FA61C65460A0}" name="Column15642" dataDxfId="712"/>
    <tableColumn id="15691" xr3:uid="{44979902-C2CD-4FD6-9FD4-C51300128EA7}" name="Column15643" dataDxfId="711"/>
    <tableColumn id="15692" xr3:uid="{5A6AFD3F-AB75-4918-ADD0-A38FE04339F8}" name="Column15644" dataDxfId="710"/>
    <tableColumn id="15693" xr3:uid="{E26F3122-CD1A-41CC-BBF2-796A8E7BA02C}" name="Column15645" dataDxfId="709"/>
    <tableColumn id="15694" xr3:uid="{E0032FCE-B659-416E-ACFC-E707B52926F7}" name="Column15646" dataDxfId="708"/>
    <tableColumn id="15695" xr3:uid="{5C23E961-B013-4CA5-A284-5D40E53DA8E6}" name="Column15647" dataDxfId="707"/>
    <tableColumn id="15696" xr3:uid="{4740CABA-24D1-42E5-9409-0A99A4513886}" name="Column15648" dataDxfId="706"/>
    <tableColumn id="15697" xr3:uid="{62753061-934B-4DD0-9069-AD50A95CC4BF}" name="Column15649" dataDxfId="705"/>
    <tableColumn id="15698" xr3:uid="{4C1F5B20-7232-4272-9990-96010DC28FD0}" name="Column15650" dataDxfId="704"/>
    <tableColumn id="15699" xr3:uid="{BDE52E90-6F2F-4BDE-BAEC-D618B71CBCC5}" name="Column15651" dataDxfId="703"/>
    <tableColumn id="15700" xr3:uid="{DE3A8F70-4CF7-42B0-A96A-5CCD5AB7B158}" name="Column15652" dataDxfId="702"/>
    <tableColumn id="15701" xr3:uid="{CC1F5C6F-3CE4-40FF-89A4-69CFC41F2505}" name="Column15653" dataDxfId="701"/>
    <tableColumn id="15702" xr3:uid="{AA9D80C4-D841-42B1-ACF2-BAD1C3ED5452}" name="Column15654" dataDxfId="700"/>
    <tableColumn id="15703" xr3:uid="{6EEA304B-F63E-4A42-AD6C-E76E156A2BCA}" name="Column15655" dataDxfId="699"/>
    <tableColumn id="15704" xr3:uid="{255ADC9D-58BB-4509-97DC-1DA13F19B4B9}" name="Column15656" dataDxfId="698"/>
    <tableColumn id="15705" xr3:uid="{2DC96808-D9B4-422B-AFC8-20BE4BE51EE9}" name="Column15657" dataDxfId="697"/>
    <tableColumn id="15706" xr3:uid="{6BE152C8-8CAB-4C42-B863-35E1AACC233B}" name="Column15658" dataDxfId="696"/>
    <tableColumn id="15707" xr3:uid="{506EBCEB-BFD6-4D19-B7A4-1CC0C7DC04B6}" name="Column15659" dataDxfId="695"/>
    <tableColumn id="15708" xr3:uid="{7145E63C-97B0-4F4D-B8EC-490369559CF9}" name="Column15660" dataDxfId="694"/>
    <tableColumn id="15709" xr3:uid="{B718991F-3E18-450F-9526-329F2106C866}" name="Column15661" dataDxfId="693"/>
    <tableColumn id="15710" xr3:uid="{AFE5E096-6687-4A29-81F7-377266AF4C03}" name="Column15662" dataDxfId="692"/>
    <tableColumn id="15711" xr3:uid="{B1720E20-E5F6-4592-B12C-D2DCC08FAFED}" name="Column15663" dataDxfId="691"/>
    <tableColumn id="15712" xr3:uid="{D9D4F031-AFDF-4B28-9AB7-0BBA7D3FA206}" name="Column15664" dataDxfId="690"/>
    <tableColumn id="15713" xr3:uid="{2440E4E5-2313-4AF4-8F6A-AE63C6585183}" name="Column15665" dataDxfId="689"/>
    <tableColumn id="15714" xr3:uid="{BA11E8FB-3BBB-4E30-8C15-E234840DA076}" name="Column15666" dataDxfId="688"/>
    <tableColumn id="15715" xr3:uid="{29709A1D-E5D6-4DB7-AE39-B72B32AA02D4}" name="Column15667" dataDxfId="687"/>
    <tableColumn id="15716" xr3:uid="{B7FEC22A-551C-4B5A-B7C7-9C58A773C65D}" name="Column15668" dataDxfId="686"/>
    <tableColumn id="15717" xr3:uid="{069B03EB-E10F-4CD0-A5C5-A366E16B06E0}" name="Column15669" dataDxfId="685"/>
    <tableColumn id="15718" xr3:uid="{B831CE09-D5B9-4D64-8D05-39FF8F65DC68}" name="Column15670" dataDxfId="684"/>
    <tableColumn id="15719" xr3:uid="{2101FB20-CFF1-49B1-9515-B3DEB03DD505}" name="Column15671" dataDxfId="683"/>
    <tableColumn id="15720" xr3:uid="{D56673F0-228E-4EE5-8752-B05534CC1082}" name="Column15672" dataDxfId="682"/>
    <tableColumn id="15721" xr3:uid="{C4BCA563-CA6B-41AB-B17F-84421761B62B}" name="Column15673" dataDxfId="681"/>
    <tableColumn id="15722" xr3:uid="{4D73DE22-D267-4D06-B68C-A8B45843BE16}" name="Column15674" dataDxfId="680"/>
    <tableColumn id="15723" xr3:uid="{6C5DF1F0-9E2D-475F-A6F0-2CCE1ED70F77}" name="Column15675" dataDxfId="679"/>
    <tableColumn id="15724" xr3:uid="{BB0F71EA-8C44-4574-B2A2-C2F34AB4DE0A}" name="Column15676" dataDxfId="678"/>
    <tableColumn id="15725" xr3:uid="{D95E4B0A-5F48-4EF0-A777-D83C219B54B9}" name="Column15677" dataDxfId="677"/>
    <tableColumn id="15726" xr3:uid="{340C841B-798B-4AA6-81EE-D80AA94BC9E3}" name="Column15678" dataDxfId="676"/>
    <tableColumn id="15727" xr3:uid="{8D858C06-053D-4012-B55B-9D4E079D1150}" name="Column15679" dataDxfId="675"/>
    <tableColumn id="15728" xr3:uid="{A05359A6-27E2-4BDC-9B55-5A5C3ECCFA28}" name="Column15680" dataDxfId="674"/>
    <tableColumn id="15729" xr3:uid="{3D3E9403-856A-4E31-95A2-EC87C63A6473}" name="Column15681" dataDxfId="673"/>
    <tableColumn id="15730" xr3:uid="{EC766CFF-B82F-47AF-B852-16339FE47405}" name="Column15682" dataDxfId="672"/>
    <tableColumn id="15731" xr3:uid="{49875A45-F313-4213-B22F-D3B539FA8F74}" name="Column15683" dataDxfId="671"/>
    <tableColumn id="15732" xr3:uid="{08F07FEB-781F-4CFC-BA27-66A6D14F66A3}" name="Column15684" dataDxfId="670"/>
    <tableColumn id="15733" xr3:uid="{7F47E485-94F2-4166-8679-B78E703FB35B}" name="Column15685" dataDxfId="669"/>
    <tableColumn id="15734" xr3:uid="{DECD2BD1-8BD6-48CA-8A79-EA83EEB44C94}" name="Column15686" dataDxfId="668"/>
    <tableColumn id="15735" xr3:uid="{5593F0AA-542B-44CF-9A29-E3BAA9A2E47C}" name="Column15687" dataDxfId="667"/>
    <tableColumn id="15736" xr3:uid="{33BE31B0-75DE-4067-B298-5542B726CBF7}" name="Column15688" dataDxfId="666"/>
    <tableColumn id="15737" xr3:uid="{427714D2-8B9F-44DA-A42C-044A3289858A}" name="Column15689" dataDxfId="665"/>
    <tableColumn id="15738" xr3:uid="{F5DD8B85-2290-458E-B4AE-833F58D1D9C0}" name="Column15690" dataDxfId="664"/>
    <tableColumn id="15739" xr3:uid="{C48AAB1A-AF69-41C9-8A23-11DBC9F5A40B}" name="Column15691" dataDxfId="663"/>
    <tableColumn id="15740" xr3:uid="{AD8F1F4B-9C8B-4456-8D7D-A8E2AA749191}" name="Column15692" dataDxfId="662"/>
    <tableColumn id="15741" xr3:uid="{8757311F-E6B7-4E40-9077-23B8362FEA7C}" name="Column15693" dataDxfId="661"/>
    <tableColumn id="15742" xr3:uid="{E576D452-497D-4A78-B8C6-F73223F654E2}" name="Column15694" dataDxfId="660"/>
    <tableColumn id="15743" xr3:uid="{E0A4B000-F650-4E75-9582-67E52CB545CB}" name="Column15695" dataDxfId="659"/>
    <tableColumn id="15744" xr3:uid="{C76033B6-9BCD-4B5A-9BCE-EDB94E1BA574}" name="Column15696" dataDxfId="658"/>
    <tableColumn id="15745" xr3:uid="{CE7723F3-2384-4867-AC9A-93E986BAC138}" name="Column15697" dataDxfId="657"/>
    <tableColumn id="15746" xr3:uid="{BF97F22C-CCAD-4A4C-B333-10E5EBF81A12}" name="Column15698" dataDxfId="656"/>
    <tableColumn id="15747" xr3:uid="{C26B292C-A899-495A-B016-3B8E197AB772}" name="Column15699" dataDxfId="655"/>
    <tableColumn id="15748" xr3:uid="{E7FFBB7C-DAC5-4F35-9176-7E6F41D98931}" name="Column15700" dataDxfId="654"/>
    <tableColumn id="15749" xr3:uid="{E1AAB402-7E15-4566-BCAB-722F6E6FB066}" name="Column15701" dataDxfId="653"/>
    <tableColumn id="15750" xr3:uid="{BCCD124C-C7BF-49B5-AF1A-48B308CF6628}" name="Column15702" dataDxfId="652"/>
    <tableColumn id="15751" xr3:uid="{964B4761-25B2-4075-B64B-74E12964174A}" name="Column15703" dataDxfId="651"/>
    <tableColumn id="15752" xr3:uid="{73C9F84F-64C1-4D74-924D-CD8E3C70F1FC}" name="Column15704" dataDxfId="650"/>
    <tableColumn id="15753" xr3:uid="{EC2628A7-C1C9-4960-8175-C5C92ADDD5B3}" name="Column15705" dataDxfId="649"/>
    <tableColumn id="15754" xr3:uid="{D87E623D-5106-47ED-A9CD-A76DFCD9604C}" name="Column15706" dataDxfId="648"/>
    <tableColumn id="15755" xr3:uid="{CE7290AD-5A53-45B6-9164-460DA0FE8EB9}" name="Column15707" dataDxfId="647"/>
    <tableColumn id="15756" xr3:uid="{C9F1CE76-944F-485F-A230-07FB7B88F4FB}" name="Column15708" dataDxfId="646"/>
    <tableColumn id="15757" xr3:uid="{02583908-ADE9-455E-9EDF-EA184BB8D010}" name="Column15709" dataDxfId="645"/>
    <tableColumn id="15758" xr3:uid="{67BA0CEC-9DE7-4F21-B670-39B6515FF3E2}" name="Column15710" dataDxfId="644"/>
    <tableColumn id="15759" xr3:uid="{174470E5-C0B4-4DD0-B8AA-225A8B7DCCC7}" name="Column15711" dataDxfId="643"/>
    <tableColumn id="15760" xr3:uid="{D498012D-5169-4B7B-9027-F29881615054}" name="Column15712" dataDxfId="642"/>
    <tableColumn id="15761" xr3:uid="{C0857716-C762-4030-89A8-6411AB8F7542}" name="Column15713" dataDxfId="641"/>
    <tableColumn id="15762" xr3:uid="{D962AF2F-DB66-4210-B44B-0DF962B5D1ED}" name="Column15714" dataDxfId="640"/>
    <tableColumn id="15763" xr3:uid="{C9342A00-F269-44D9-B3B5-4DD715C64DD2}" name="Column15715" dataDxfId="639"/>
    <tableColumn id="15764" xr3:uid="{77574570-36B4-4B2D-AF02-1E53DED31510}" name="Column15716" dataDxfId="638"/>
    <tableColumn id="15765" xr3:uid="{A9BE2B43-D84D-4772-87CA-3AF80DFF09CA}" name="Column15717" dataDxfId="637"/>
    <tableColumn id="15766" xr3:uid="{2DFCC6D7-D50D-4DEB-8A7D-DA281A223191}" name="Column15718" dataDxfId="636"/>
    <tableColumn id="15767" xr3:uid="{5DE79C62-1281-4123-97B9-794072363311}" name="Column15719" dataDxfId="635"/>
    <tableColumn id="15768" xr3:uid="{325B64A9-6392-4077-B497-CA4C9EFE25ED}" name="Column15720" dataDxfId="634"/>
    <tableColumn id="15769" xr3:uid="{BC25D22A-CC23-47BB-AC67-4C44BAF76993}" name="Column15721" dataDxfId="633"/>
    <tableColumn id="15770" xr3:uid="{45B47EDD-72D7-4998-B96D-953E5DBDB478}" name="Column15722" dataDxfId="632"/>
    <tableColumn id="15771" xr3:uid="{2CB7FDAB-AC2E-4268-80FA-ED1370C67383}" name="Column15723" dataDxfId="631"/>
    <tableColumn id="15772" xr3:uid="{C84E3CAA-1630-412E-9FD5-20DEAB77C086}" name="Column15724" dataDxfId="630"/>
    <tableColumn id="15773" xr3:uid="{CFA52E73-4FAC-462A-9A4C-ED9B3B53F9EA}" name="Column15725" dataDxfId="629"/>
    <tableColumn id="15774" xr3:uid="{5152B34C-44DB-423D-94A4-C7A30993ABAA}" name="Column15726" dataDxfId="628"/>
    <tableColumn id="15775" xr3:uid="{B8092317-CC22-4E60-9C28-61F049415F00}" name="Column15727" dataDxfId="627"/>
    <tableColumn id="15776" xr3:uid="{3C013710-1925-4708-B3E6-BC69CD5EEEAD}" name="Column15728" dataDxfId="626"/>
    <tableColumn id="15777" xr3:uid="{D6423AAB-F763-4BCF-AD4A-631B72059362}" name="Column15729" dataDxfId="625"/>
    <tableColumn id="15778" xr3:uid="{0B8E8E16-37FD-422C-A4D6-0A4CC64128BE}" name="Column15730" dataDxfId="624"/>
    <tableColumn id="15779" xr3:uid="{9E723272-01CF-4B7D-9701-6E2A4A53DD3A}" name="Column15731" dataDxfId="623"/>
    <tableColumn id="15780" xr3:uid="{724F4DC1-E9B1-4D33-B89C-0CD7B3E37551}" name="Column15732" dataDxfId="622"/>
    <tableColumn id="15781" xr3:uid="{30F003FB-995E-4B27-80D9-AB37E4A9FB58}" name="Column15733" dataDxfId="621"/>
    <tableColumn id="15782" xr3:uid="{1609088E-3ACC-45FC-8EDD-90625D6EB674}" name="Column15734" dataDxfId="620"/>
    <tableColumn id="15783" xr3:uid="{494356CC-87BA-41A6-A6E9-DFD42B9603D1}" name="Column15735" dataDxfId="619"/>
    <tableColumn id="15784" xr3:uid="{034ADEEE-E687-4996-9F3D-82780B3E16BB}" name="Column15736" dataDxfId="618"/>
    <tableColumn id="15785" xr3:uid="{DE2C46BC-F2A4-44CE-B47E-C5EEE8AC5190}" name="Column15737" dataDxfId="617"/>
    <tableColumn id="15786" xr3:uid="{B6E2BD11-4F8F-435C-A6DB-122DCE3FD6EC}" name="Column15738" dataDxfId="616"/>
    <tableColumn id="15787" xr3:uid="{4E073964-5BA2-491F-8D78-4A6D17C71546}" name="Column15739" dataDxfId="615"/>
    <tableColumn id="15788" xr3:uid="{0F2CB794-B927-4635-8C3C-9934D5BE6FFA}" name="Column15740" dataDxfId="614"/>
    <tableColumn id="15789" xr3:uid="{748A71A5-719D-4071-8AC7-49D455936AF9}" name="Column15741" dataDxfId="613"/>
    <tableColumn id="15790" xr3:uid="{70EB68C8-5077-47F6-8834-91DA0E4B4BCD}" name="Column15742" dataDxfId="612"/>
    <tableColumn id="15791" xr3:uid="{D02728A5-6719-44FB-8E6E-694A9169A16A}" name="Column15743" dataDxfId="611"/>
    <tableColumn id="15792" xr3:uid="{72DD552E-312B-45C6-8256-6D10809B5E80}" name="Column15744" dataDxfId="610"/>
    <tableColumn id="15793" xr3:uid="{D3C6A827-F758-4DA4-AEAC-686986E9EE9B}" name="Column15745" dataDxfId="609"/>
    <tableColumn id="15794" xr3:uid="{FF4CDCBB-36B5-4D65-9DA9-CFF8F59F927B}" name="Column15746" dataDxfId="608"/>
    <tableColumn id="15795" xr3:uid="{8A495C56-58F7-43C1-8BE0-E8ABF6FD1B27}" name="Column15747" dataDxfId="607"/>
    <tableColumn id="15796" xr3:uid="{3C7AA02D-98D9-4B49-996E-0CD4C4ACE830}" name="Column15748" dataDxfId="606"/>
    <tableColumn id="15797" xr3:uid="{CECD0AC6-088C-41F2-9D6C-5C8DCB80899E}" name="Column15749" dataDxfId="605"/>
    <tableColumn id="15798" xr3:uid="{C510C755-1F86-47F4-A005-5BA245D3C0F1}" name="Column15750" dataDxfId="604"/>
    <tableColumn id="15799" xr3:uid="{7C092962-8CA1-489E-ACDD-8B250C8DB1EA}" name="Column15751" dataDxfId="603"/>
    <tableColumn id="15800" xr3:uid="{C6D91964-8C1B-4641-9239-259C9B606E86}" name="Column15752" dataDxfId="602"/>
    <tableColumn id="15801" xr3:uid="{822A2F17-00E4-4004-BAA7-3F361B9457FA}" name="Column15753" dataDxfId="601"/>
    <tableColumn id="15802" xr3:uid="{7FA7DA53-3F33-4EE4-BC53-A5EDCF230357}" name="Column15754" dataDxfId="600"/>
    <tableColumn id="15803" xr3:uid="{A3D7CE15-0D93-4408-8037-3FE834C52A8E}" name="Column15755" dataDxfId="599"/>
    <tableColumn id="15804" xr3:uid="{C43982F3-1669-4933-9380-1F8BE3A29942}" name="Column15756" dataDxfId="598"/>
    <tableColumn id="15805" xr3:uid="{48AA592C-7269-415A-ADC3-BAC34C81A9B6}" name="Column15757" dataDxfId="597"/>
    <tableColumn id="15806" xr3:uid="{9BEA5BCB-4CBC-4ECD-8277-BDB17BA162CF}" name="Column15758" dataDxfId="596"/>
    <tableColumn id="15807" xr3:uid="{02EE84BA-A95B-4103-A05B-877BF2098E37}" name="Column15759" dataDxfId="595"/>
    <tableColumn id="15808" xr3:uid="{F7ACEC8A-3EF3-423D-ABAA-1324A7133887}" name="Column15760" dataDxfId="594"/>
    <tableColumn id="15809" xr3:uid="{95540AFE-7091-4C00-8EB8-3E0C3491DD9F}" name="Column15761" dataDxfId="593"/>
    <tableColumn id="15810" xr3:uid="{4BDA9198-9FB4-4676-8AFF-D94E8DC367C3}" name="Column15762" dataDxfId="592"/>
    <tableColumn id="15811" xr3:uid="{DFFFAA21-8D43-44DD-89B3-9267EC5661F0}" name="Column15763" dataDxfId="591"/>
    <tableColumn id="15812" xr3:uid="{D796284E-147E-4E5B-8E27-6A58A195A454}" name="Column15764" dataDxfId="590"/>
    <tableColumn id="15813" xr3:uid="{FF4A4165-48B1-4A15-8296-55F3324E8426}" name="Column15765" dataDxfId="589"/>
    <tableColumn id="15814" xr3:uid="{FAE70E0E-05B8-47F1-83E2-AD6E6B3403DB}" name="Column15766" dataDxfId="588"/>
    <tableColumn id="15815" xr3:uid="{3EB16FC1-5AC0-4143-85B0-33FB9A119D79}" name="Column15767" dataDxfId="587"/>
    <tableColumn id="15816" xr3:uid="{C947A493-434A-4387-BDA8-D144C501DCD5}" name="Column15768" dataDxfId="586"/>
    <tableColumn id="15817" xr3:uid="{3FCA7DFF-2D92-407C-95F6-8F5E393B8E10}" name="Column15769" dataDxfId="585"/>
    <tableColumn id="15818" xr3:uid="{82C1AE03-9F04-413A-A48B-5ED6BF636479}" name="Column15770" dataDxfId="584"/>
    <tableColumn id="15819" xr3:uid="{E09C7617-7F31-4368-A1E4-DBE9285558BC}" name="Column15771" dataDxfId="583"/>
    <tableColumn id="15820" xr3:uid="{95007000-9F50-4A67-8E56-641B9CF40FC8}" name="Column15772" dataDxfId="582"/>
    <tableColumn id="15821" xr3:uid="{5FFA68E9-8C24-422A-98BC-6D5F1D9EDE25}" name="Column15773" dataDxfId="581"/>
    <tableColumn id="15822" xr3:uid="{BD54F50A-8DA8-4BBC-8CC1-9518FA843061}" name="Column15774" dataDxfId="580"/>
    <tableColumn id="15823" xr3:uid="{7290969C-5ED1-45C5-9625-D41BE0D8314F}" name="Column15775" dataDxfId="579"/>
    <tableColumn id="15824" xr3:uid="{26CC96D3-5EAF-4D1D-8A8C-1A75EE411832}" name="Column15776" dataDxfId="578"/>
    <tableColumn id="15825" xr3:uid="{1112FF0F-C69A-436F-BA9C-838E9D4B3C52}" name="Column15777" dataDxfId="577"/>
    <tableColumn id="15826" xr3:uid="{6D32B2E2-290D-4217-AF18-6088BE9E61AD}" name="Column15778" dataDxfId="576"/>
    <tableColumn id="15827" xr3:uid="{F6E6D044-8CF7-437E-A228-87A7C3721BB7}" name="Column15779" dataDxfId="575"/>
    <tableColumn id="15828" xr3:uid="{A80A9F45-3412-4942-B72D-DE24597A2B90}" name="Column15780" dataDxfId="574"/>
    <tableColumn id="15829" xr3:uid="{96CABF99-A158-4D1D-9969-244AA8F5211A}" name="Column15781" dataDxfId="573"/>
    <tableColumn id="15830" xr3:uid="{E8A26423-EC81-4721-8F36-57A1F63001DE}" name="Column15782" dataDxfId="572"/>
    <tableColumn id="15831" xr3:uid="{E96FF3FC-13A4-4DE6-85CD-9C2FCCAEC3CF}" name="Column15783" dataDxfId="571"/>
    <tableColumn id="15832" xr3:uid="{06DDECCB-9473-4ABD-A2B9-6ECC39189F3E}" name="Column15784" dataDxfId="570"/>
    <tableColumn id="15833" xr3:uid="{3A831498-75BB-4547-A046-D4EAF904579D}" name="Column15785" dataDxfId="569"/>
    <tableColumn id="15834" xr3:uid="{4BD99F46-233E-431A-ABD3-E0A5F8F62CB0}" name="Column15786" dataDxfId="568"/>
    <tableColumn id="15835" xr3:uid="{33FDBF1A-89B2-46CE-B2A3-404FD66777C2}" name="Column15787" dataDxfId="567"/>
    <tableColumn id="15836" xr3:uid="{33B7231F-AC95-46DD-84F4-B32611E55ED2}" name="Column15788" dataDxfId="566"/>
    <tableColumn id="15837" xr3:uid="{1331F952-B1EC-4901-A126-14391C24303E}" name="Column15789" dataDxfId="565"/>
    <tableColumn id="15838" xr3:uid="{45F40C42-ADC9-4720-84CE-48A4A6A904AE}" name="Column15790" dataDxfId="564"/>
    <tableColumn id="15839" xr3:uid="{E4BD6CE4-6944-4D9C-BA97-F69BEA9943C3}" name="Column15791" dataDxfId="563"/>
    <tableColumn id="15840" xr3:uid="{E49CA01B-5454-4CF0-878D-0E02A2CE9094}" name="Column15792" dataDxfId="562"/>
    <tableColumn id="15841" xr3:uid="{A2B3B0A6-71A2-4C2A-AC5C-8770095CCE2A}" name="Column15793" dataDxfId="561"/>
    <tableColumn id="15842" xr3:uid="{DBB37B2B-6F09-4B86-B77E-56B14A9491E0}" name="Column15794" dataDxfId="560"/>
    <tableColumn id="15843" xr3:uid="{5F9B38C3-AF9B-4D5B-B99B-21C841A35342}" name="Column15795" dataDxfId="559"/>
    <tableColumn id="15844" xr3:uid="{C25172CD-56C1-447E-9D54-DB14C3214B4A}" name="Column15796" dataDxfId="558"/>
    <tableColumn id="15845" xr3:uid="{10445568-F334-499D-BCAF-DD1360BD6468}" name="Column15797" dataDxfId="557"/>
    <tableColumn id="15846" xr3:uid="{E84A2599-A9DC-4FE0-9AC9-2989A7B1C24A}" name="Column15798" dataDxfId="556"/>
    <tableColumn id="15847" xr3:uid="{90B5C654-F57D-4FD2-A6CC-F719D1829A57}" name="Column15799" dataDxfId="555"/>
    <tableColumn id="15848" xr3:uid="{A5169D64-99A4-4049-B877-C1507E453CAC}" name="Column15800" dataDxfId="554"/>
    <tableColumn id="15849" xr3:uid="{4B771FC8-CF85-4191-81C9-653BD2204843}" name="Column15801" dataDxfId="553"/>
    <tableColumn id="15850" xr3:uid="{31A833F6-F700-4BCF-81ED-4B9CDE716086}" name="Column15802" dataDxfId="552"/>
    <tableColumn id="15851" xr3:uid="{A7AE115E-F263-47D5-B17E-2303F89E9A35}" name="Column15803" dataDxfId="551"/>
    <tableColumn id="15852" xr3:uid="{F08F509F-FE5D-43DF-A559-B5B9DC9E72B3}" name="Column15804" dataDxfId="550"/>
    <tableColumn id="15853" xr3:uid="{4011A047-2DCC-480B-A6B3-541FEB74F2EB}" name="Column15805" dataDxfId="549"/>
    <tableColumn id="15854" xr3:uid="{22C8146C-814E-4E5D-ABE9-DC90AA496AFC}" name="Column15806" dataDxfId="548"/>
    <tableColumn id="15855" xr3:uid="{DB13B854-15D1-4881-A134-E5D9DFD5A315}" name="Column15807" dataDxfId="547"/>
    <tableColumn id="15856" xr3:uid="{BC6B56A7-2D8B-4CFB-933B-62D1F58F2399}" name="Column15808" dataDxfId="546"/>
    <tableColumn id="15857" xr3:uid="{94ABF730-772E-47A7-BEE0-78778E0472C8}" name="Column15809" dataDxfId="545"/>
    <tableColumn id="15858" xr3:uid="{EFF45DCF-F1D2-4B3D-AA84-960A5F118A68}" name="Column15810" dataDxfId="544"/>
    <tableColumn id="15859" xr3:uid="{0116C208-3025-4388-A271-AA5826921267}" name="Column15811" dataDxfId="543"/>
    <tableColumn id="15860" xr3:uid="{B4F84986-56BA-4D3A-ACA9-9D33AC8D6488}" name="Column15812" dataDxfId="542"/>
    <tableColumn id="15861" xr3:uid="{4E04A7CE-18E8-4298-AF4F-C1BD37073345}" name="Column15813" dataDxfId="541"/>
    <tableColumn id="15862" xr3:uid="{8215E958-C5C8-45F3-B295-3CC80CAEF2FD}" name="Column15814" dataDxfId="540"/>
    <tableColumn id="15863" xr3:uid="{E6100F96-D66B-4DD1-9904-22C786129263}" name="Column15815" dataDxfId="539"/>
    <tableColumn id="15864" xr3:uid="{5AF7F9B3-6FF8-4353-A5CD-953C5BD40228}" name="Column15816" dataDxfId="538"/>
    <tableColumn id="15865" xr3:uid="{7F6376D3-8513-4929-9D3D-F9C938E805AD}" name="Column15817" dataDxfId="537"/>
    <tableColumn id="15866" xr3:uid="{EAE3E062-5BCC-4ABC-BB99-68895B819123}" name="Column15818" dataDxfId="536"/>
    <tableColumn id="15867" xr3:uid="{4CD5AA8F-8BCE-489B-8A04-77028976044B}" name="Column15819" dataDxfId="535"/>
    <tableColumn id="15868" xr3:uid="{6B816EA2-5BAB-4680-9A5C-B577E38CED3F}" name="Column15820" dataDxfId="534"/>
    <tableColumn id="15869" xr3:uid="{2CF4645F-DB9E-43EE-881C-38C115E13EE7}" name="Column15821" dataDxfId="533"/>
    <tableColumn id="15870" xr3:uid="{095C4F30-A753-4D4C-B245-B83BD8BDFA3E}" name="Column15822" dataDxfId="532"/>
    <tableColumn id="15871" xr3:uid="{019799EB-B7AD-4DC6-ADC1-E2B43E335A60}" name="Column15823" dataDxfId="531"/>
    <tableColumn id="15872" xr3:uid="{36C56646-4489-42BC-BAAC-1A06F724EEEC}" name="Column15824" dataDxfId="530"/>
    <tableColumn id="15873" xr3:uid="{770DEE43-BC53-4E54-B5A1-FBF713763725}" name="Column15825" dataDxfId="529"/>
    <tableColumn id="15874" xr3:uid="{3D420EF7-D671-4B02-A8F6-51228449422C}" name="Column15826" dataDxfId="528"/>
    <tableColumn id="15875" xr3:uid="{F5089367-5781-48ED-A573-63D18C31CA5F}" name="Column15827" dataDxfId="527"/>
    <tableColumn id="15876" xr3:uid="{12B33DE0-9B3A-41C2-94CF-70E297292343}" name="Column15828" dataDxfId="526"/>
    <tableColumn id="15877" xr3:uid="{3632EC42-73A3-465B-BF87-74DF6E8E0FEC}" name="Column15829" dataDxfId="525"/>
    <tableColumn id="15878" xr3:uid="{1A22B100-0D16-4FDF-BB3C-18994730C9AA}" name="Column15830" dataDxfId="524"/>
    <tableColumn id="15879" xr3:uid="{44ACF4FF-F719-4D50-B16A-BBDFD527AA26}" name="Column15831" dataDxfId="523"/>
    <tableColumn id="15880" xr3:uid="{30197A7A-1539-4B7B-9492-52156C80CCF2}" name="Column15832" dataDxfId="522"/>
    <tableColumn id="15881" xr3:uid="{0A6AC12B-38D4-4943-82D3-A60ACCCA98A1}" name="Column15833" dataDxfId="521"/>
    <tableColumn id="15882" xr3:uid="{CE598FAD-62D2-418E-8514-EDD771122AD7}" name="Column15834" dataDxfId="520"/>
    <tableColumn id="15883" xr3:uid="{F1E9CF71-9D9C-4332-90F7-1969BA3A7234}" name="Column15835" dataDxfId="519"/>
    <tableColumn id="15884" xr3:uid="{E5A88777-AC12-47E2-8E3B-36A5B660F67A}" name="Column15836" dataDxfId="518"/>
    <tableColumn id="15885" xr3:uid="{38956512-8092-4B67-B496-D2B953BD7D9E}" name="Column15837" dataDxfId="517"/>
    <tableColumn id="15886" xr3:uid="{C2ACDD27-A145-48C8-89C7-60960F036487}" name="Column15838" dataDxfId="516"/>
    <tableColumn id="15887" xr3:uid="{2DF7E8B3-C648-420B-B4B1-8EFA8F88A1F4}" name="Column15839" dataDxfId="515"/>
    <tableColumn id="15888" xr3:uid="{D9BBA13A-777F-4ED0-83E3-F73FEA6FBF45}" name="Column15840" dataDxfId="514"/>
    <tableColumn id="15889" xr3:uid="{E5D79684-E513-4671-B649-8395C8EEA659}" name="Column15841" dataDxfId="513"/>
    <tableColumn id="15890" xr3:uid="{9D8C0F5A-6491-4841-9181-41C62492F313}" name="Column15842" dataDxfId="512"/>
    <tableColumn id="15891" xr3:uid="{EEA334FC-31F1-46EE-BE2E-483F9AD42430}" name="Column15843" dataDxfId="511"/>
    <tableColumn id="15892" xr3:uid="{AE20DC8B-16E9-481C-98FB-9A30E2C3A7BC}" name="Column15844" dataDxfId="510"/>
    <tableColumn id="15893" xr3:uid="{A705A2E0-9810-4A6E-A840-75B99B12CB28}" name="Column15845" dataDxfId="509"/>
    <tableColumn id="15894" xr3:uid="{71906D6D-B423-4171-A972-C9C711D0DF2A}" name="Column15846" dataDxfId="508"/>
    <tableColumn id="15895" xr3:uid="{8FFEF63A-C373-45B4-B1A6-7054BBDD4F10}" name="Column15847" dataDxfId="507"/>
    <tableColumn id="15896" xr3:uid="{7F022E82-3385-4E74-9191-0E9E4FF118DA}" name="Column15848" dataDxfId="506"/>
    <tableColumn id="15897" xr3:uid="{B3119783-2F84-42CD-ACBF-F3A17C719814}" name="Column15849" dataDxfId="505"/>
    <tableColumn id="15898" xr3:uid="{593CC12B-A81A-4484-A1BE-04B6F8F4FFC7}" name="Column15850" dataDxfId="504"/>
    <tableColumn id="15899" xr3:uid="{A02AA869-AD24-48C6-BFF3-D44FC6566304}" name="Column15851" dataDxfId="503"/>
    <tableColumn id="15900" xr3:uid="{BDCE9400-8FCF-4E43-850C-FDA8CD485ECF}" name="Column15852" dataDxfId="502"/>
    <tableColumn id="15901" xr3:uid="{AA35C81F-CE5A-4D5E-9685-CB8EE8C9F6B7}" name="Column15853" dataDxfId="501"/>
    <tableColumn id="15902" xr3:uid="{6B472AE0-7181-4F4E-A602-D3ECC5C4B42E}" name="Column15854" dataDxfId="500"/>
    <tableColumn id="15903" xr3:uid="{5DE00A96-725D-4F65-92DF-48755C15E1EA}" name="Column15855" dataDxfId="499"/>
    <tableColumn id="15904" xr3:uid="{43074895-090A-4E78-B78B-B57568B55AEE}" name="Column15856" dataDxfId="498"/>
    <tableColumn id="15905" xr3:uid="{A5E0F811-1274-4FA8-B97E-97B14F6F25C9}" name="Column15857" dataDxfId="497"/>
    <tableColumn id="15906" xr3:uid="{DB694DB3-ECD3-4482-9BC2-E41C952EB573}" name="Column15858" dataDxfId="496"/>
    <tableColumn id="15907" xr3:uid="{62E05EFA-390E-43A5-8CFB-5022D41ECFE6}" name="Column15859" dataDxfId="495"/>
    <tableColumn id="15908" xr3:uid="{9424199F-31E0-4FBB-88C2-AB6EFFC52ED9}" name="Column15860" dataDxfId="494"/>
    <tableColumn id="15909" xr3:uid="{C6445ACF-7D26-4520-8FA7-465873B20DC7}" name="Column15861" dataDxfId="493"/>
    <tableColumn id="15910" xr3:uid="{C2CB76C1-F99F-4E1C-B4BC-33C51A02A408}" name="Column15862" dataDxfId="492"/>
    <tableColumn id="15911" xr3:uid="{5B3716BA-384E-45FA-A00A-BB2A41438F38}" name="Column15863" dataDxfId="491"/>
    <tableColumn id="15912" xr3:uid="{75742934-3D56-4309-A3B4-A5629B4A62AA}" name="Column15864" dataDxfId="490"/>
    <tableColumn id="15913" xr3:uid="{39B7EEF8-C50B-443A-9D69-C5539C48BF37}" name="Column15865" dataDxfId="489"/>
    <tableColumn id="15914" xr3:uid="{691D012C-5162-4CCE-A390-03510107A75C}" name="Column15866" dataDxfId="488"/>
    <tableColumn id="15915" xr3:uid="{4E929141-B248-4773-86E4-50D6C963EFB5}" name="Column15867" dataDxfId="487"/>
    <tableColumn id="15916" xr3:uid="{5DD0BC54-FFE7-45D6-9592-C60D3947920D}" name="Column15868" dataDxfId="486"/>
    <tableColumn id="15917" xr3:uid="{B40F456A-723D-4D2C-8233-225D625CD3E8}" name="Column15869" dataDxfId="485"/>
    <tableColumn id="15918" xr3:uid="{2C89C934-C169-4A2E-8CB3-4A9A2ED6AC85}" name="Column15870" dataDxfId="484"/>
    <tableColumn id="15919" xr3:uid="{0EF9FF9E-DFD9-4C1B-9203-F155CF16FF95}" name="Column15871" dataDxfId="483"/>
    <tableColumn id="15920" xr3:uid="{12469B6F-3667-4DC3-9F89-0AAB20882E5F}" name="Column15872" dataDxfId="482"/>
    <tableColumn id="15921" xr3:uid="{96861AB0-840B-4ECD-884D-4D9FC68974A7}" name="Column15873" dataDxfId="481"/>
    <tableColumn id="15922" xr3:uid="{29D85899-19C0-4220-8046-E876B84F64F0}" name="Column15874" dataDxfId="480"/>
    <tableColumn id="15923" xr3:uid="{3BE12854-1DB3-4FE3-8192-3B2E2D48160D}" name="Column15875" dataDxfId="479"/>
    <tableColumn id="15924" xr3:uid="{A1929858-06A6-4537-90E7-130DA8458885}" name="Column15876" dataDxfId="478"/>
    <tableColumn id="15925" xr3:uid="{9A4780FF-C11A-415D-8EA8-2A1EF3BC12C0}" name="Column15877" dataDxfId="477"/>
    <tableColumn id="15926" xr3:uid="{3E64B79F-40DF-462E-B97D-A091AF755B41}" name="Column15878" dataDxfId="476"/>
    <tableColumn id="15927" xr3:uid="{08B5127A-C3AE-4994-A223-B2EE2DF000BC}" name="Column15879" dataDxfId="475"/>
    <tableColumn id="15928" xr3:uid="{0C39884B-E2FF-48E4-AF15-4E95B123A449}" name="Column15880" dataDxfId="474"/>
    <tableColumn id="15929" xr3:uid="{3D3E75DD-6AB8-442A-B1EB-4A401A58A49D}" name="Column15881" dataDxfId="473"/>
    <tableColumn id="15930" xr3:uid="{EA3523A8-9767-48CE-8AF0-CB834FA4C77C}" name="Column15882" dataDxfId="472"/>
    <tableColumn id="15931" xr3:uid="{2F53DB6D-0956-434E-B8D1-B17B5D52A62C}" name="Column15883" dataDxfId="471"/>
    <tableColumn id="15932" xr3:uid="{F9D3B8AC-B7A5-452B-AC5E-5BAB13C743F2}" name="Column15884" dataDxfId="470"/>
    <tableColumn id="15933" xr3:uid="{CF7EF882-D74B-4EF7-930A-1D664DFCFF72}" name="Column15885" dataDxfId="469"/>
    <tableColumn id="15934" xr3:uid="{DCCA45D4-4778-48C0-8739-10394535FB85}" name="Column15886" dataDxfId="468"/>
    <tableColumn id="15935" xr3:uid="{54EC089C-DA3F-4681-8CFC-C47C725133DC}" name="Column15887" dataDxfId="467"/>
    <tableColumn id="15936" xr3:uid="{23046CC5-AA96-481B-B1D8-2134EC836320}" name="Column15888" dataDxfId="466"/>
    <tableColumn id="15937" xr3:uid="{06EE25DE-7EAF-46EE-B0BC-301045C8DBD7}" name="Column15889" dataDxfId="465"/>
    <tableColumn id="15938" xr3:uid="{6203ACDE-C7CE-4FA1-9F18-B317B748C5D7}" name="Column15890" dataDxfId="464"/>
    <tableColumn id="15939" xr3:uid="{E3BFFE96-03EC-481D-9BE9-2B9481EB4572}" name="Column15891" dataDxfId="463"/>
    <tableColumn id="15940" xr3:uid="{15F7B363-DB23-4BB6-AC0B-B4D9E010D191}" name="Column15892" dataDxfId="462"/>
    <tableColumn id="15941" xr3:uid="{DAC53FF2-5954-4838-8BE2-49AB911A0A80}" name="Column15893" dataDxfId="461"/>
    <tableColumn id="15942" xr3:uid="{DCEA56B6-5617-4BCC-B6E6-86711CA13297}" name="Column15894" dataDxfId="460"/>
    <tableColumn id="15943" xr3:uid="{7907ECF8-1D00-45F3-AC00-6D9490B6EBDE}" name="Column15895" dataDxfId="459"/>
    <tableColumn id="15944" xr3:uid="{30E64F1F-F4D6-4255-9F8A-37A80636727E}" name="Column15896" dataDxfId="458"/>
    <tableColumn id="15945" xr3:uid="{94B7991A-E7FF-4CDB-BFAF-A67AEE08BCEC}" name="Column15897" dataDxfId="457"/>
    <tableColumn id="15946" xr3:uid="{37F637F3-BCB2-4E7F-BB21-BA4C63DC5381}" name="Column15898" dataDxfId="456"/>
    <tableColumn id="15947" xr3:uid="{0719F935-F958-430E-96CB-4AAB1D8B97B2}" name="Column15899" dataDxfId="455"/>
    <tableColumn id="15948" xr3:uid="{76A6F875-50D1-48A4-88B5-CC9C32E6FCC9}" name="Column15900" dataDxfId="454"/>
    <tableColumn id="15949" xr3:uid="{64C1A546-EE0B-4608-81B7-B5AC7CB95B09}" name="Column15901" dataDxfId="453"/>
    <tableColumn id="15950" xr3:uid="{0A092987-5646-4615-91E6-42595D83CAC2}" name="Column15902" dataDxfId="452"/>
    <tableColumn id="15951" xr3:uid="{63D01C73-22F3-442A-8F50-FBBFAFABDCEF}" name="Column15903" dataDxfId="451"/>
    <tableColumn id="15952" xr3:uid="{E8911794-D002-46FC-B157-5F485A6AA39E}" name="Column15904" dataDxfId="450"/>
    <tableColumn id="15953" xr3:uid="{25DC08FC-3217-4365-A13E-9D3B0CC3564F}" name="Column15905" dataDxfId="449"/>
    <tableColumn id="15954" xr3:uid="{E4C0F25A-05D2-46FA-AF7E-40DE0A08E5AC}" name="Column15906" dataDxfId="448"/>
    <tableColumn id="15955" xr3:uid="{756D5CAF-4E20-4551-8725-1845DC62B69F}" name="Column15907" dataDxfId="447"/>
    <tableColumn id="15956" xr3:uid="{7B156EFE-566E-44C8-B8BE-DFEEE53A3F65}" name="Column15908" dataDxfId="446"/>
    <tableColumn id="15957" xr3:uid="{4DF2B9A2-4FCE-49F3-8C94-B489C429FF2D}" name="Column15909" dataDxfId="445"/>
    <tableColumn id="15958" xr3:uid="{DE351622-63FC-47AA-8544-43C4F3E00718}" name="Column15910" dataDxfId="444"/>
    <tableColumn id="15959" xr3:uid="{0D554CA4-C267-421A-B116-4A435177B5EF}" name="Column15911" dataDxfId="443"/>
    <tableColumn id="15960" xr3:uid="{CAC4C853-9655-473D-93E5-37B2C45CAC0F}" name="Column15912" dataDxfId="442"/>
    <tableColumn id="15961" xr3:uid="{61BBC928-8CA7-403F-A2ED-4E9CB80D4CFE}" name="Column15913" dataDxfId="441"/>
    <tableColumn id="15962" xr3:uid="{E420FF85-FDB5-4B06-84B3-B063A3EC963A}" name="Column15914" dataDxfId="440"/>
    <tableColumn id="15963" xr3:uid="{225ADCAD-E6A6-44A8-8DBB-F30404F2FA8D}" name="Column15915" dataDxfId="439"/>
    <tableColumn id="15964" xr3:uid="{4B11EBAF-EF71-4606-98EF-C2B0B008B2F1}" name="Column15916" dataDxfId="438"/>
    <tableColumn id="15965" xr3:uid="{469A96DE-93FF-4480-989C-A5D7C3B740CB}" name="Column15917" dataDxfId="437"/>
    <tableColumn id="15966" xr3:uid="{6B0DCC0E-1729-49CB-A025-93D5F1227347}" name="Column15918" dataDxfId="436"/>
    <tableColumn id="15967" xr3:uid="{63F13A44-EFA2-4F43-9A61-43FEF0112B20}" name="Column15919" dataDxfId="435"/>
    <tableColumn id="15968" xr3:uid="{32C6D4B9-1446-44FD-A733-715A36D6D913}" name="Column15920" dataDxfId="434"/>
    <tableColumn id="15969" xr3:uid="{8FE65059-E2C3-4D24-BB23-965CF774E6EC}" name="Column15921" dataDxfId="433"/>
    <tableColumn id="15970" xr3:uid="{8F02CAAE-F2A2-4DC1-8D1D-01C6B51974E9}" name="Column15922" dataDxfId="432"/>
    <tableColumn id="15971" xr3:uid="{1CE44784-56D8-4C6B-9A54-FB1B4055B5F4}" name="Column15923" dataDxfId="431"/>
    <tableColumn id="15972" xr3:uid="{D6DDDCB9-11DB-4A36-B4EC-977C76BC076B}" name="Column15924" dataDxfId="430"/>
    <tableColumn id="15973" xr3:uid="{5A1B215F-4BA2-4185-9F33-D290F874EFD6}" name="Column15925" dataDxfId="429"/>
    <tableColumn id="15974" xr3:uid="{4B70BA2B-152D-43EB-9BF1-9FC37EAD604B}" name="Column15926" dataDxfId="428"/>
    <tableColumn id="15975" xr3:uid="{5A9D9AE5-DF06-4F9A-9F54-3030D6D9C0D5}" name="Column15927" dataDxfId="427"/>
    <tableColumn id="15976" xr3:uid="{1DC1DBE4-04EB-4F05-936F-F777EE909707}" name="Column15928" dataDxfId="426"/>
    <tableColumn id="15977" xr3:uid="{E380E4B1-A309-44BA-811A-E818573B55D0}" name="Column15929" dataDxfId="425"/>
    <tableColumn id="15978" xr3:uid="{FC8A7C05-206F-41D4-82F3-16AA79E9557F}" name="Column15930" dataDxfId="424"/>
    <tableColumn id="15979" xr3:uid="{D12FEC6E-C468-440C-8539-D24CD3D3CEF9}" name="Column15931" dataDxfId="423"/>
    <tableColumn id="15980" xr3:uid="{326E12F3-8815-47B0-AD7E-855A7506F4A3}" name="Column15932" dataDxfId="422"/>
    <tableColumn id="15981" xr3:uid="{1F0BCC9E-2827-429E-B838-8E90B983714B}" name="Column15933" dataDxfId="421"/>
    <tableColumn id="15982" xr3:uid="{DDBE2B21-4638-4E1B-9222-B3473F229C9B}" name="Column15934" dataDxfId="420"/>
    <tableColumn id="15983" xr3:uid="{50967688-0A9D-4C93-83E5-3BC9B32C2E7C}" name="Column15935" dataDxfId="419"/>
    <tableColumn id="15984" xr3:uid="{79AA17C9-C503-43B4-B693-B850F8053EF1}" name="Column15936" dataDxfId="418"/>
    <tableColumn id="15985" xr3:uid="{7AB9F5F0-45E7-45A2-953C-88314D712777}" name="Column15937" dataDxfId="417"/>
    <tableColumn id="15986" xr3:uid="{B0E370C0-CAF4-4866-A54C-E3AF9517AF26}" name="Column15938" dataDxfId="416"/>
    <tableColumn id="15987" xr3:uid="{583774A2-5709-4255-8DA9-1141675C9CC7}" name="Column15939" dataDxfId="415"/>
    <tableColumn id="15988" xr3:uid="{72DB8607-8E7C-4AFE-BC1F-EBAF3A3BB73D}" name="Column15940" dataDxfId="414"/>
    <tableColumn id="15989" xr3:uid="{CE63E8A0-D187-4EC1-A9B6-DE2A7611DD1D}" name="Column15941" dataDxfId="413"/>
    <tableColumn id="15990" xr3:uid="{57E131AB-65FF-48AF-9DF8-93542F27250B}" name="Column15942" dataDxfId="412"/>
    <tableColumn id="15991" xr3:uid="{A8E0D56C-02FC-4DA0-BE2C-FD5A133E8A77}" name="Column15943" dataDxfId="411"/>
    <tableColumn id="15992" xr3:uid="{DD1C601C-DA14-466B-B992-B99C9C6D98E8}" name="Column15944" dataDxfId="410"/>
    <tableColumn id="15993" xr3:uid="{160ED893-C749-4982-8250-3D9380A99B12}" name="Column15945" dataDxfId="409"/>
    <tableColumn id="15994" xr3:uid="{9956B070-657B-422C-A472-957EC7E5BC2C}" name="Column15946" dataDxfId="408"/>
    <tableColumn id="15995" xr3:uid="{2A32745D-41D4-4444-BAB5-7CA57A35679D}" name="Column15947" dataDxfId="407"/>
    <tableColumn id="15996" xr3:uid="{D4E3BB86-4486-435D-9082-19AEE4CACF72}" name="Column15948" dataDxfId="406"/>
    <tableColumn id="15997" xr3:uid="{13CBDE10-3F67-4A71-924B-01FC543BF68C}" name="Column15949" dataDxfId="405"/>
    <tableColumn id="15998" xr3:uid="{A476321B-DCF5-4E04-B0CF-854E95D15628}" name="Column15950" dataDxfId="404"/>
    <tableColumn id="15999" xr3:uid="{82066B40-B09F-456E-A557-E53CDC02310E}" name="Column15951" dataDxfId="403"/>
    <tableColumn id="16000" xr3:uid="{408E8233-4115-401E-AB99-1EFF53ACE13C}" name="Column15952" dataDxfId="402"/>
    <tableColumn id="16001" xr3:uid="{1BE8C1A4-E4A8-4457-8831-CF0527467DE8}" name="Column15953" dataDxfId="401"/>
    <tableColumn id="16002" xr3:uid="{65842F0C-B2A7-4746-8976-19AA9430CC5A}" name="Column15954" dataDxfId="400"/>
    <tableColumn id="16003" xr3:uid="{697D1749-BB03-45EF-AD93-58D386AB87EF}" name="Column15955" dataDxfId="399"/>
    <tableColumn id="16004" xr3:uid="{9AC754FE-4853-4F6A-8113-E11CDA02BBE8}" name="Column15956" dataDxfId="398"/>
    <tableColumn id="16005" xr3:uid="{7E24BF79-F51E-4A00-A0D1-D4F17A09E75C}" name="Column15957" dataDxfId="397"/>
    <tableColumn id="16006" xr3:uid="{6D2A7DB0-845B-4DC9-BECE-729F99B52D24}" name="Column15958" dataDxfId="396"/>
    <tableColumn id="16007" xr3:uid="{97E9EDD7-5325-4E5E-9FDF-28CF576FC117}" name="Column15959" dataDxfId="395"/>
    <tableColumn id="16008" xr3:uid="{527CD89B-1AB4-4531-A7FC-7C5B21A68C1F}" name="Column15960" dataDxfId="394"/>
    <tableColumn id="16009" xr3:uid="{F1CD1FA1-4A01-4AA9-8A18-DB0D566CCDB6}" name="Column15961" dataDxfId="393"/>
    <tableColumn id="16010" xr3:uid="{33B1C6C8-F209-4597-BC95-5D7AAFDFBE0A}" name="Column15962" dataDxfId="392"/>
    <tableColumn id="16011" xr3:uid="{99CF97FB-559B-4D38-9635-4C68B31B7CB6}" name="Column15963" dataDxfId="391"/>
    <tableColumn id="16012" xr3:uid="{D742F369-2D6C-4194-AF07-BCECD2F10AB2}" name="Column15964" dataDxfId="390"/>
    <tableColumn id="16013" xr3:uid="{44CFFA03-E760-4623-A3D0-05C4E6FB6E23}" name="Column15965" dataDxfId="389"/>
    <tableColumn id="16014" xr3:uid="{1A2B78AB-3836-43F0-A457-915E435A4394}" name="Column15966" dataDxfId="388"/>
    <tableColumn id="16015" xr3:uid="{D5996B8C-A4C9-4ACB-BE2D-2DD6018ED8F2}" name="Column15967" dataDxfId="387"/>
    <tableColumn id="16016" xr3:uid="{D917B493-F376-460E-A7DB-A442DFA01FEC}" name="Column15968" dataDxfId="386"/>
    <tableColumn id="16017" xr3:uid="{A6E4757D-2E25-4747-A203-24DFD9A19355}" name="Column15969" dataDxfId="385"/>
    <tableColumn id="16018" xr3:uid="{36BC12EE-908A-45D4-96A4-8AE66D81769E}" name="Column15970" dataDxfId="384"/>
    <tableColumn id="16019" xr3:uid="{53940596-6FAA-456C-B07D-E943D4B7FC9B}" name="Column15971" dataDxfId="383"/>
    <tableColumn id="16020" xr3:uid="{02360A54-C8F2-400A-B485-EF986B173717}" name="Column15972" dataDxfId="382"/>
    <tableColumn id="16021" xr3:uid="{B4FE7706-2956-49F5-BFE3-1265DFBCEBCD}" name="Column15973" dataDxfId="381"/>
    <tableColumn id="16022" xr3:uid="{F501BB11-9FA6-4AAF-AEF2-17A0DB886090}" name="Column15974" dataDxfId="380"/>
    <tableColumn id="16023" xr3:uid="{C2FBE901-2745-469B-948D-ADFB6EDAD9B8}" name="Column15975" dataDxfId="379"/>
    <tableColumn id="16024" xr3:uid="{38202779-4D25-47D9-BA55-3B125999F117}" name="Column15976" dataDxfId="378"/>
    <tableColumn id="16025" xr3:uid="{F0B03454-9DC8-4742-B4EA-77750D5F5706}" name="Column15977" dataDxfId="377"/>
    <tableColumn id="16026" xr3:uid="{24E61011-7A34-48A1-AC2E-AE843E6CB677}" name="Column15978" dataDxfId="376"/>
    <tableColumn id="16027" xr3:uid="{E16D9148-9FEF-4656-AAFA-92770ADAC17B}" name="Column15979" dataDxfId="375"/>
    <tableColumn id="16028" xr3:uid="{DFDDC1C8-C96A-4FDD-B6AB-308458127371}" name="Column15980" dataDxfId="374"/>
    <tableColumn id="16029" xr3:uid="{FF1B03ED-3EA8-4826-B0CE-B282A0281F5A}" name="Column15981" dataDxfId="373"/>
    <tableColumn id="16030" xr3:uid="{2E9D0F6E-DF6A-4869-B6A5-B1D40147C477}" name="Column15982" dataDxfId="372"/>
    <tableColumn id="16031" xr3:uid="{77785A9E-0FC2-4AD5-B7A8-144760BA0B66}" name="Column15983" dataDxfId="371"/>
    <tableColumn id="16032" xr3:uid="{832710CB-8E03-4310-8BEC-19E14BE6C38A}" name="Column15984" dataDxfId="370"/>
    <tableColumn id="16033" xr3:uid="{D7FC346E-3FA4-438B-A824-4C3C2E2D45BC}" name="Column15985" dataDxfId="369"/>
    <tableColumn id="16034" xr3:uid="{D1CAEEAA-BC00-42A4-9C2E-734958B2A157}" name="Column15986" dataDxfId="368"/>
    <tableColumn id="16035" xr3:uid="{BC4F598A-E065-47E2-A4B5-D514F0D81390}" name="Column15987" dataDxfId="367"/>
    <tableColumn id="16036" xr3:uid="{39586CB9-7360-4273-A7ED-C9521A435422}" name="Column15988" dataDxfId="366"/>
    <tableColumn id="16037" xr3:uid="{4732046A-224C-41DC-BD6F-1E7802DB78CE}" name="Column15989" dataDxfId="365"/>
    <tableColumn id="16038" xr3:uid="{02CD1DCE-85E8-4D0A-888B-FA986D4F1383}" name="Column15990" dataDxfId="364"/>
    <tableColumn id="16039" xr3:uid="{5AA02991-C3F3-44AC-B3D7-988A746F9B09}" name="Column15991" dataDxfId="363"/>
    <tableColumn id="16040" xr3:uid="{B8E0FA2D-0302-4366-89C8-0951710DBFAF}" name="Column15992" dataDxfId="362"/>
    <tableColumn id="16041" xr3:uid="{34D90F24-58C2-4693-8850-C4EAAD8A2901}" name="Column15993" dataDxfId="361"/>
    <tableColumn id="16042" xr3:uid="{1AD83214-138C-4E10-911A-88A5996B011B}" name="Column15994" dataDxfId="360"/>
    <tableColumn id="16043" xr3:uid="{5B793DFF-3D4F-471A-A413-DE5A81451C8B}" name="Column15995" dataDxfId="359"/>
    <tableColumn id="16044" xr3:uid="{47DAC51D-A261-4B40-832F-E4116F12DEFE}" name="Column15996" dataDxfId="358"/>
    <tableColumn id="16045" xr3:uid="{2E2E3235-6F3E-42AA-B736-C7646538A487}" name="Column15997" dataDxfId="357"/>
    <tableColumn id="16046" xr3:uid="{B9B9ECEA-E63A-4D99-948B-356E63A7B3BA}" name="Column15998" dataDxfId="356"/>
    <tableColumn id="16047" xr3:uid="{35879766-D081-4413-86CC-1306C0D16CF5}" name="Column15999" dataDxfId="355"/>
    <tableColumn id="16048" xr3:uid="{F02A7C20-E5B2-417B-B92D-CA89B415FDEA}" name="Column16000" dataDxfId="354"/>
    <tableColumn id="16049" xr3:uid="{008CCACF-A14F-47B3-A534-9E3F6C65302E}" name="Column16001" dataDxfId="353"/>
    <tableColumn id="16050" xr3:uid="{7B60E497-7D6B-4CE9-955A-D21C8460798D}" name="Column16002" dataDxfId="352"/>
    <tableColumn id="16051" xr3:uid="{42F40CA0-EB26-4BA8-A94B-EE60DFC2ADB2}" name="Column16003" dataDxfId="351"/>
    <tableColumn id="16052" xr3:uid="{0A69F70F-3552-48A0-8155-C34C60E280C4}" name="Column16004" dataDxfId="350"/>
    <tableColumn id="16053" xr3:uid="{7B2EFDF2-09C1-4820-9AEC-721ED18DB444}" name="Column16005" dataDxfId="349"/>
    <tableColumn id="16054" xr3:uid="{1A328A2B-E544-4B5A-AF03-6BC23DB65DA2}" name="Column16006" dataDxfId="348"/>
    <tableColumn id="16055" xr3:uid="{7542712C-0FDA-4C76-AE10-749B2449426D}" name="Column16007" dataDxfId="347"/>
    <tableColumn id="16056" xr3:uid="{4B0428D2-2AE7-4FBB-86D1-98FBD6638E7E}" name="Column16008" dataDxfId="346"/>
    <tableColumn id="16057" xr3:uid="{1BE45452-70CC-4F5F-B321-D8811476DDEE}" name="Column16009" dataDxfId="345"/>
    <tableColumn id="16058" xr3:uid="{F3EC218D-4F3E-4372-9D11-E25B9EE6F417}" name="Column16010" dataDxfId="344"/>
    <tableColumn id="16059" xr3:uid="{E0819F90-91F7-49A4-86F7-549F5EA69399}" name="Column16011" dataDxfId="343"/>
    <tableColumn id="16060" xr3:uid="{C66A8393-E07F-4488-855B-F53E50DD8BF0}" name="Column16012" dataDxfId="342"/>
    <tableColumn id="16061" xr3:uid="{AA4ECB15-313F-487D-AD68-C168473138DB}" name="Column16013" dataDxfId="341"/>
    <tableColumn id="16062" xr3:uid="{386D3EA3-271F-4831-A06C-C6ADC6CD729D}" name="Column16014" dataDxfId="340"/>
    <tableColumn id="16063" xr3:uid="{37EF41AE-390B-4C9E-B0AA-A807D29524BB}" name="Column16015" dataDxfId="339"/>
    <tableColumn id="16064" xr3:uid="{7EDC0866-0A18-4FDD-95F9-19D4077FFC5B}" name="Column16016" dataDxfId="338"/>
    <tableColumn id="16065" xr3:uid="{4B278F7E-D37C-4C77-BC86-AB5E30084620}" name="Column16017" dataDxfId="337"/>
    <tableColumn id="16066" xr3:uid="{8A6C6187-DBBC-45A3-B3B8-0F498D1F0644}" name="Column16018" dataDxfId="336"/>
    <tableColumn id="16067" xr3:uid="{B3E98E55-5DFD-492E-85D5-7615C32B7842}" name="Column16019" dataDxfId="335"/>
    <tableColumn id="16068" xr3:uid="{EF08477C-60AC-4710-B5C8-EAC3C8AE40AF}" name="Column16020" dataDxfId="334"/>
    <tableColumn id="16069" xr3:uid="{6D3FD2BE-4B10-4CB8-8E4D-646A6EBEAF3A}" name="Column16021" dataDxfId="333"/>
    <tableColumn id="16070" xr3:uid="{A546631B-8593-45C8-B1B0-BA1490F51E46}" name="Column16022" dataDxfId="332"/>
    <tableColumn id="16071" xr3:uid="{4D966617-2168-4AF6-8B70-CC1AF040E295}" name="Column16023" dataDxfId="331"/>
    <tableColumn id="16072" xr3:uid="{3CCDF82C-52AD-480D-B78B-3CF66AA5FFCE}" name="Column16024" dataDxfId="330"/>
    <tableColumn id="16073" xr3:uid="{453C23C1-36A5-49D6-B34B-0FE931CA753D}" name="Column16025" dataDxfId="329"/>
    <tableColumn id="16074" xr3:uid="{7D5DF5B6-BBCA-4C52-95D0-3C1092600D52}" name="Column16026" dataDxfId="328"/>
    <tableColumn id="16075" xr3:uid="{6B652B0A-F7F3-47F4-876E-838FF606EF12}" name="Column16027" dataDxfId="327"/>
    <tableColumn id="16076" xr3:uid="{7D28A213-2E7E-4415-AB78-FFE2AB09A16C}" name="Column16028" dataDxfId="326"/>
    <tableColumn id="16077" xr3:uid="{D51ED498-05FD-420D-918E-3FB876FC0E7A}" name="Column16029" dataDxfId="325"/>
    <tableColumn id="16078" xr3:uid="{317589E1-91DC-4347-B907-6A9F289B7726}" name="Column16030" dataDxfId="324"/>
    <tableColumn id="16079" xr3:uid="{4DEBBD33-FA50-47A2-BD26-811755B318F2}" name="Column16031" dataDxfId="323"/>
    <tableColumn id="16080" xr3:uid="{5E43862A-DA33-4318-8F07-678E52B51025}" name="Column16032" dataDxfId="322"/>
    <tableColumn id="16081" xr3:uid="{66D02C38-DE29-4493-9259-C8695F07DAE1}" name="Column16033" dataDxfId="321"/>
    <tableColumn id="16082" xr3:uid="{95CB31D7-EB2E-487E-80E2-3FE8A2718E99}" name="Column16034" dataDxfId="320"/>
    <tableColumn id="16083" xr3:uid="{0B2F149F-BFC2-4AF7-9830-CBA6BF0791E6}" name="Column16035" dataDxfId="319"/>
    <tableColumn id="16084" xr3:uid="{CF038D5C-660B-48D4-9216-3B8F8D3631FB}" name="Column16036" dataDxfId="318"/>
    <tableColumn id="16085" xr3:uid="{A426A77C-609F-4285-9DFF-3A2C986FFA23}" name="Column16037" dataDxfId="317"/>
    <tableColumn id="16086" xr3:uid="{DEF6BFB3-808B-4741-A890-A3D506CFDCBA}" name="Column16038" dataDxfId="316"/>
    <tableColumn id="16087" xr3:uid="{097F14A1-79EE-400A-B440-E88088245948}" name="Column16039" dataDxfId="315"/>
    <tableColumn id="16088" xr3:uid="{04C144B6-9459-47F4-BD2C-EFE3E0514F30}" name="Column16040" dataDxfId="314"/>
    <tableColumn id="16089" xr3:uid="{92C428F1-6033-420C-9D70-67AE8F02A41B}" name="Column16041" dataDxfId="313"/>
    <tableColumn id="16090" xr3:uid="{5719A5BF-CCEC-4DB6-8614-7E7E1F50EC2D}" name="Column16042" dataDxfId="312"/>
    <tableColumn id="16091" xr3:uid="{5EC07DE4-258A-4E35-A73A-3A39CD9D79FB}" name="Column16043" dataDxfId="311"/>
    <tableColumn id="16092" xr3:uid="{953BD920-1CD7-485A-9FC9-8467428127CD}" name="Column16044" dataDxfId="310"/>
    <tableColumn id="16093" xr3:uid="{C632D8B0-9396-4E1D-97C1-42A9051E8B22}" name="Column16045" dataDxfId="309"/>
    <tableColumn id="16094" xr3:uid="{1302FC79-D1DC-41D1-8F40-9977CAC1AB64}" name="Column16046" dataDxfId="308"/>
    <tableColumn id="16095" xr3:uid="{3B60F927-A8A9-43A3-9724-EDC70AF4071C}" name="Column16047" dataDxfId="307"/>
    <tableColumn id="16096" xr3:uid="{802EFA52-C13B-4DF3-855F-567E9C3D0F56}" name="Column16048" dataDxfId="306"/>
    <tableColumn id="16097" xr3:uid="{419F19EA-0E61-4873-A531-46DE8BA4C5C4}" name="Column16049" dataDxfId="305"/>
    <tableColumn id="16098" xr3:uid="{8E07953D-9A88-45FE-8A94-25458973563A}" name="Column16050" dataDxfId="304"/>
    <tableColumn id="16099" xr3:uid="{1CAE3CCE-489F-44EB-8A90-E1B6970AA731}" name="Column16051" dataDxfId="303"/>
    <tableColumn id="16100" xr3:uid="{6B503BCB-C881-4DE6-9049-4246425D8058}" name="Column16052" dataDxfId="302"/>
    <tableColumn id="16101" xr3:uid="{CA3E55BE-1B28-4EEC-A502-5DFACF0F2770}" name="Column16053" dataDxfId="301"/>
    <tableColumn id="16102" xr3:uid="{E20FE648-C9E3-485B-9364-EB1FF66A61B0}" name="Column16054" dataDxfId="300"/>
    <tableColumn id="16103" xr3:uid="{2A3FC138-3060-40AF-88FD-650FB45F2C0A}" name="Column16055" dataDxfId="299"/>
    <tableColumn id="16104" xr3:uid="{18CD0DB3-5C9B-46AC-9ED0-6B9675B5975B}" name="Column16056" dataDxfId="298"/>
    <tableColumn id="16105" xr3:uid="{3D6E9B43-AF6C-44DC-9D77-FE4745DAE92C}" name="Column16057" dataDxfId="297"/>
    <tableColumn id="16106" xr3:uid="{FBC83940-6E2B-48FD-B8AA-0495ABB351B2}" name="Column16058" dataDxfId="296"/>
    <tableColumn id="16107" xr3:uid="{DBA8D2A9-FA79-4915-A8C3-D41ADF3F6FCD}" name="Column16059" dataDxfId="295"/>
    <tableColumn id="16108" xr3:uid="{55363824-C19C-44D2-A45F-87BA5C214673}" name="Column16060" dataDxfId="294"/>
    <tableColumn id="16109" xr3:uid="{C914A949-DA70-4139-A146-AE5CD37DD361}" name="Column16061" dataDxfId="293"/>
    <tableColumn id="16110" xr3:uid="{EB21E988-AA02-4E43-89C5-4FF8CA331472}" name="Column16062" dataDxfId="292"/>
    <tableColumn id="16111" xr3:uid="{0D1E711D-3AEA-4AF4-81FE-F06C8E2A08E5}" name="Column16063" dataDxfId="291"/>
    <tableColumn id="16112" xr3:uid="{06C15B25-90B6-425C-B272-65905C2D81E6}" name="Column16064" dataDxfId="290"/>
    <tableColumn id="16113" xr3:uid="{8E70F5C9-415F-4AF6-80A2-8A1D851461C7}" name="Column16065" dataDxfId="289"/>
    <tableColumn id="16114" xr3:uid="{F6459783-7524-4ADA-87F8-70FB740AEDEA}" name="Column16066" dataDxfId="288"/>
    <tableColumn id="16115" xr3:uid="{6DAF3525-1D45-4DA5-8712-3432572F8A3E}" name="Column16067" dataDxfId="287"/>
    <tableColumn id="16116" xr3:uid="{D8283031-28B6-4460-AD26-FD4D446789C7}" name="Column16068" dataDxfId="286"/>
    <tableColumn id="16117" xr3:uid="{173E6D69-23C2-450A-A355-8DFB6C6EFE0B}" name="Column16069" dataDxfId="285"/>
    <tableColumn id="16118" xr3:uid="{F5D798DB-7A58-4363-92C1-07242262FAE4}" name="Column16070" dataDxfId="284"/>
    <tableColumn id="16119" xr3:uid="{0E473AAE-E8A8-4470-B349-BEE0AA7E7084}" name="Column16071" dataDxfId="283"/>
    <tableColumn id="16120" xr3:uid="{89449761-F579-4601-95BA-58D22F58E3D9}" name="Column16072" dataDxfId="282"/>
    <tableColumn id="16121" xr3:uid="{990F0FBF-FBF3-4407-95D7-76951D5FF537}" name="Column16073" dataDxfId="281"/>
    <tableColumn id="16122" xr3:uid="{212B24C5-A0C6-4763-8186-915CC41960E7}" name="Column16074" dataDxfId="280"/>
    <tableColumn id="16123" xr3:uid="{A918DF4A-A14F-402E-B597-CCBEFEAED038}" name="Column16075" dataDxfId="279"/>
    <tableColumn id="16124" xr3:uid="{1F5A8D17-8D53-4893-8511-FD6AC0FC6902}" name="Column16076" dataDxfId="278"/>
    <tableColumn id="16125" xr3:uid="{85C9D3BE-D25A-4497-BD91-DB65234F1D3E}" name="Column16077" dataDxfId="277"/>
    <tableColumn id="16126" xr3:uid="{D8AD0F1C-C49C-432E-AE11-7E0BE9C2BC0E}" name="Column16078" dataDxfId="276"/>
    <tableColumn id="16127" xr3:uid="{874D493D-7648-417C-9DFA-7755ACC8EEDF}" name="Column16079" dataDxfId="275"/>
    <tableColumn id="16128" xr3:uid="{FA8A6695-677D-41B2-9889-9AAEDA6FD95D}" name="Column16080" dataDxfId="274"/>
    <tableColumn id="16129" xr3:uid="{1E2F4FFD-9A1B-4E06-88BA-61EFB5D8377D}" name="Column16081" dataDxfId="273"/>
    <tableColumn id="16130" xr3:uid="{BBB4AF40-A0E2-452D-99A6-EA2E0AC6DD4C}" name="Column16082" dataDxfId="272"/>
    <tableColumn id="16131" xr3:uid="{BAF83CFC-4AAF-4F8E-BD40-95853820E752}" name="Column16083" dataDxfId="271"/>
    <tableColumn id="16132" xr3:uid="{36471A62-1D7E-4D8E-85B9-5F732E52962C}" name="Column16084" dataDxfId="270"/>
    <tableColumn id="16133" xr3:uid="{72C28114-645B-4EE1-99D5-668BA28441F1}" name="Column16085" dataDxfId="269"/>
    <tableColumn id="16134" xr3:uid="{2D1C4038-FD6C-44E7-B26B-94D156EE8A71}" name="Column16086" dataDxfId="268"/>
    <tableColumn id="16135" xr3:uid="{B7D99B2C-E8EE-4649-8C29-7465806357C7}" name="Column16087" dataDxfId="267"/>
    <tableColumn id="16136" xr3:uid="{E5145B15-1CFD-415C-B76F-3DB510712711}" name="Column16088" dataDxfId="266"/>
    <tableColumn id="16137" xr3:uid="{99337DC9-0C95-480A-AB7C-8280293613A9}" name="Column16089" dataDxfId="265"/>
    <tableColumn id="16138" xr3:uid="{39DBC112-F8DA-4022-9288-167F51BAD5EB}" name="Column16090" dataDxfId="264"/>
    <tableColumn id="16139" xr3:uid="{68C557F1-EBBA-4929-B026-F69E7D0B27D4}" name="Column16091" dataDxfId="263"/>
    <tableColumn id="16140" xr3:uid="{7B3667EA-B339-45D9-A37F-C6DA3FA97370}" name="Column16092" dataDxfId="262"/>
    <tableColumn id="16141" xr3:uid="{FB680427-5FF5-4E82-8D07-D281FD453E41}" name="Column16093" dataDxfId="261"/>
    <tableColumn id="16142" xr3:uid="{8B7DFDC0-2904-4C2F-8137-25A29E1E8C54}" name="Column16094" dataDxfId="260"/>
    <tableColumn id="16143" xr3:uid="{8EF6991E-1A1F-4A27-A8A1-736DDAD2E2C0}" name="Column16095" dataDxfId="259"/>
    <tableColumn id="16144" xr3:uid="{F1FAFAD7-BFA9-491B-8CAC-D5F605F2D16E}" name="Column16096" dataDxfId="258"/>
    <tableColumn id="16145" xr3:uid="{F5A48122-CA88-4111-984C-1AEDEA1F338D}" name="Column16097" dataDxfId="257"/>
    <tableColumn id="16146" xr3:uid="{D3824912-F79C-43CC-A10A-9FE5B168A2E0}" name="Column16098" dataDxfId="256"/>
    <tableColumn id="16147" xr3:uid="{50424BC3-00ED-4BFC-8FB7-D38338CF0E3B}" name="Column16099" dataDxfId="255"/>
    <tableColumn id="16148" xr3:uid="{99039EDA-3930-4AB2-BCDF-5EC2A7AB3F40}" name="Column16100" dataDxfId="254"/>
    <tableColumn id="16149" xr3:uid="{2700AA0D-1E7E-4A8A-8168-439DA1DB86D0}" name="Column16101" dataDxfId="253"/>
    <tableColumn id="16150" xr3:uid="{8529BA22-7277-404F-B411-AC2BA3724FB5}" name="Column16102" dataDxfId="252"/>
    <tableColumn id="16151" xr3:uid="{88B66BD4-40B3-4602-8C40-B3554360D83E}" name="Column16103" dataDxfId="251"/>
    <tableColumn id="16152" xr3:uid="{6FE9B0ED-968D-42B0-8248-C4ED59030857}" name="Column16104" dataDxfId="250"/>
    <tableColumn id="16153" xr3:uid="{CAC2BACF-B387-4A8E-94F8-55C3AA432AFA}" name="Column16105" dataDxfId="249"/>
    <tableColumn id="16154" xr3:uid="{45F8E6B4-C995-4BC7-A149-122330ADD26B}" name="Column16106" dataDxfId="248"/>
    <tableColumn id="16155" xr3:uid="{19956439-09CB-4027-B55D-76316D614D3C}" name="Column16107" dataDxfId="247"/>
    <tableColumn id="16156" xr3:uid="{36522AF6-570D-4CBA-A669-C49B8727A402}" name="Column16108" dataDxfId="246"/>
    <tableColumn id="16157" xr3:uid="{894E3800-FCFF-4E2D-958D-ABEAE4AAE150}" name="Column16109" dataDxfId="245"/>
    <tableColumn id="16158" xr3:uid="{348CC762-26DB-4C98-88BF-DD722F3450B5}" name="Column16110" dataDxfId="244"/>
    <tableColumn id="16159" xr3:uid="{D372367A-13B7-4352-9609-FDEE464D01C9}" name="Column16111" dataDxfId="243"/>
    <tableColumn id="16160" xr3:uid="{8626A5E7-E99B-4160-8A9D-1FF25FECE187}" name="Column16112" dataDxfId="242"/>
    <tableColumn id="16161" xr3:uid="{BC2B7F26-6DEF-4325-9178-17D33F62055A}" name="Column16113" dataDxfId="241"/>
    <tableColumn id="16162" xr3:uid="{16D7EAFC-B44D-438F-BF2F-152E44895E46}" name="Column16114" dataDxfId="240"/>
    <tableColumn id="16163" xr3:uid="{F94F64E9-8C39-4B98-8642-F98E27F5EA8B}" name="Column16115" dataDxfId="239"/>
    <tableColumn id="16164" xr3:uid="{8A290377-9674-44DF-84B4-5F26EDD46ABD}" name="Column16116" dataDxfId="238"/>
    <tableColumn id="16165" xr3:uid="{6F03CD74-4B93-4135-B12D-FFA9AE1741A0}" name="Column16117" dataDxfId="237"/>
    <tableColumn id="16166" xr3:uid="{DD41FF73-88A1-4FE0-9B9D-463AE071AE45}" name="Column16118" dataDxfId="236"/>
    <tableColumn id="16167" xr3:uid="{2A060C08-8C7A-45EB-A839-FA1BCBFDD5C7}" name="Column16119" dataDxfId="235"/>
    <tableColumn id="16168" xr3:uid="{F09B2A99-560D-434D-9DA4-A6B4AEF61062}" name="Column16120" dataDxfId="234"/>
    <tableColumn id="16169" xr3:uid="{78E6F03D-CBE3-4E71-B325-4B676BE92279}" name="Column16121" dataDxfId="233"/>
    <tableColumn id="16170" xr3:uid="{BFD559EE-3115-40AD-AD09-2A328E0FB74B}" name="Column16122" dataDxfId="232"/>
    <tableColumn id="16171" xr3:uid="{A5F910F5-95D2-42E7-AD42-020603ACC82C}" name="Column16123" dataDxfId="231"/>
    <tableColumn id="16172" xr3:uid="{C5735EE6-8848-4F56-87EE-EEC156FD90C6}" name="Column16124" dataDxfId="230"/>
    <tableColumn id="16173" xr3:uid="{6C0F7CBC-CB27-4798-8B11-5E8F8E3A2F06}" name="Column16125" dataDxfId="229"/>
    <tableColumn id="16174" xr3:uid="{EC8B3C62-FE67-4B74-BAAB-A6290FFF4343}" name="Column16126" dataDxfId="228"/>
    <tableColumn id="16175" xr3:uid="{5FC2941B-92C8-4D83-8B52-FDB75E9FA7E7}" name="Column16127" dataDxfId="227"/>
    <tableColumn id="16176" xr3:uid="{85C45E57-8C68-44A5-8511-4F1EA9E21A95}" name="Column16128" dataDxfId="226"/>
    <tableColumn id="16177" xr3:uid="{A07CF065-AA3B-4EB2-ABD3-7464A3E17F7C}" name="Column16129" dataDxfId="225"/>
    <tableColumn id="16178" xr3:uid="{AE08C99B-33B9-446E-A9E9-B9C7EAC37358}" name="Column16130" dataDxfId="224"/>
    <tableColumn id="16179" xr3:uid="{0BD07018-19AA-40EB-BD6C-C2DB6D84DE04}" name="Column16131" dataDxfId="223"/>
    <tableColumn id="16180" xr3:uid="{EEE7CC13-2D18-466A-BE24-158ADCAF5ACC}" name="Column16132" dataDxfId="222"/>
    <tableColumn id="16181" xr3:uid="{CB9291E1-5AC6-4AD1-BD5A-DA24EE37ABD2}" name="Column16133" dataDxfId="221"/>
    <tableColumn id="16182" xr3:uid="{6FE7B63D-1EFF-468B-8572-CB0C3E09C4B4}" name="Column16134" dataDxfId="220"/>
    <tableColumn id="16183" xr3:uid="{9918676E-4D85-4B60-84D0-B24314ECEBF0}" name="Column16135" dataDxfId="219"/>
    <tableColumn id="16184" xr3:uid="{7189556D-8AAA-4C2D-AD77-41A9BE151298}" name="Column16136" dataDxfId="218"/>
    <tableColumn id="16185" xr3:uid="{08E409CD-326B-40EB-8E21-AC799412DE71}" name="Column16137" dataDxfId="217"/>
    <tableColumn id="16186" xr3:uid="{F09B5E27-D864-45FC-B59C-DC31EC835E4F}" name="Column16138" dataDxfId="216"/>
    <tableColumn id="16187" xr3:uid="{8C748844-1C79-4A41-9F2A-1B758E462066}" name="Column16139" dataDxfId="215"/>
    <tableColumn id="16188" xr3:uid="{3AD4BA1C-0D1B-441C-B14A-8701C92FF694}" name="Column16140" dataDxfId="214"/>
    <tableColumn id="16189" xr3:uid="{72849A96-F32D-4FD5-B196-355ECED5617F}" name="Column16141" dataDxfId="213"/>
    <tableColumn id="16190" xr3:uid="{D6C97104-C298-4CD6-9D49-58C448C6AB91}" name="Column16142" dataDxfId="212"/>
    <tableColumn id="16191" xr3:uid="{EC7F5186-FCAE-4DBB-A7E6-73648B8754A6}" name="Column16143" dataDxfId="211"/>
    <tableColumn id="16192" xr3:uid="{6230ECFA-A338-4448-A071-90635059CD93}" name="Column16144" dataDxfId="210"/>
    <tableColumn id="16193" xr3:uid="{E06B1928-56AF-4681-8B84-B841E813ECA1}" name="Column16145" dataDxfId="209"/>
    <tableColumn id="16194" xr3:uid="{382121D8-E623-4259-981B-3CD0CD35FE3B}" name="Column16146" dataDxfId="208"/>
    <tableColumn id="16195" xr3:uid="{8E57F9F1-B21D-45D1-8C3D-86719E22C31A}" name="Column16147" dataDxfId="207"/>
    <tableColumn id="16196" xr3:uid="{BD047782-CAA5-4DCF-9A07-9B736FC51A22}" name="Column16148" dataDxfId="206"/>
    <tableColumn id="16197" xr3:uid="{EFDB3CF6-E2E7-4708-8CDB-E11B7E63AA70}" name="Column16149" dataDxfId="205"/>
    <tableColumn id="16198" xr3:uid="{E61CA2EF-D0E2-4043-A34A-747860DBD21C}" name="Column16150" dataDxfId="204"/>
    <tableColumn id="16199" xr3:uid="{B71A1388-7DBF-4353-8E16-E70B1A2900E1}" name="Column16151" dataDxfId="203"/>
    <tableColumn id="16200" xr3:uid="{41E948F1-6B14-48D0-AFDC-A5674F8EB3C7}" name="Column16152" dataDxfId="202"/>
    <tableColumn id="16201" xr3:uid="{C067186D-4859-464A-8894-5B5F74D9062C}" name="Column16153" dataDxfId="201"/>
    <tableColumn id="16202" xr3:uid="{58500474-0CF2-4918-ADA6-56D121A58531}" name="Column16154" dataDxfId="200"/>
    <tableColumn id="16203" xr3:uid="{3DD74316-CF89-4B7D-93E6-A7A4D6119113}" name="Column16155" dataDxfId="199"/>
    <tableColumn id="16204" xr3:uid="{A6C17978-26AC-4999-9694-5AF0B3A0C270}" name="Column16156" dataDxfId="198"/>
    <tableColumn id="16205" xr3:uid="{0F207CAE-4AB5-4AD6-890A-95BDEC5665BF}" name="Column16157" dataDxfId="197"/>
    <tableColumn id="16206" xr3:uid="{5AC91514-A0B8-4CB3-B2B0-B0914E6F54E6}" name="Column16158" dataDxfId="196"/>
    <tableColumn id="16207" xr3:uid="{70E33B33-481C-4E7B-B6A3-1CDB71FD4B28}" name="Column16159" dataDxfId="195"/>
    <tableColumn id="16208" xr3:uid="{4401C16A-D80E-415C-9969-37571FA73B34}" name="Column16160" dataDxfId="194"/>
    <tableColumn id="16209" xr3:uid="{0AD8DFFA-B908-4462-9BE3-3C4BB5308CA9}" name="Column16161" dataDxfId="193"/>
    <tableColumn id="16210" xr3:uid="{12FF80AB-5D06-4E04-BFAE-0E09A9B9B52E}" name="Column16162" dataDxfId="192"/>
    <tableColumn id="16211" xr3:uid="{328182DC-B9CC-4212-BF87-A723A557C143}" name="Column16163" dataDxfId="191"/>
    <tableColumn id="16212" xr3:uid="{7B47245C-7C3A-4600-8F3B-63A7CB56330C}" name="Column16164" dataDxfId="190"/>
    <tableColumn id="16213" xr3:uid="{A72C00C1-95D5-43B6-8AB3-E46A403D82DD}" name="Column16165" dataDxfId="189"/>
    <tableColumn id="16214" xr3:uid="{600259BA-94EF-44D3-A92E-6B6E797D36BD}" name="Column16166" dataDxfId="188"/>
    <tableColumn id="16215" xr3:uid="{13ACF2F1-3E4A-4B52-9A27-E97465E0927D}" name="Column16167" dataDxfId="187"/>
    <tableColumn id="16216" xr3:uid="{27178CF7-742E-4B07-B07E-10CE8C9DF27E}" name="Column16168" dataDxfId="186"/>
    <tableColumn id="16217" xr3:uid="{EE789F45-8DC8-4BA1-BF7B-4A492F267281}" name="Column16169" dataDxfId="185"/>
    <tableColumn id="16218" xr3:uid="{BF649F5F-E7D5-458A-B367-5C366D440574}" name="Column16170" dataDxfId="184"/>
    <tableColumn id="16219" xr3:uid="{DCFBAC2E-1670-4EEE-AE8A-FCC5356668CC}" name="Column16171" dataDxfId="183"/>
    <tableColumn id="16220" xr3:uid="{73619F93-B247-4E04-A880-6BAD11DABD27}" name="Column16172" dataDxfId="182"/>
    <tableColumn id="16221" xr3:uid="{2965AF89-1D22-4D40-95CF-2BB9BDFDF8F6}" name="Column16173" dataDxfId="181"/>
    <tableColumn id="16222" xr3:uid="{918EAE85-E94E-4DB9-86D3-B8FB0FB43368}" name="Column16174" dataDxfId="180"/>
    <tableColumn id="16223" xr3:uid="{CE94404E-144A-4EE6-8489-41724D60F2B2}" name="Column16175" dataDxfId="179"/>
    <tableColumn id="16224" xr3:uid="{19C42E5C-9293-4CEC-ACBB-29A2D8FB6C3C}" name="Column16176" dataDxfId="178"/>
    <tableColumn id="16225" xr3:uid="{1BF8FB37-919F-4E1A-90AC-9E2DBE006BDA}" name="Column16177" dataDxfId="177"/>
    <tableColumn id="16226" xr3:uid="{679DBCC7-44C9-42A4-BCC2-F9842D8098A3}" name="Column16178" dataDxfId="176"/>
    <tableColumn id="16227" xr3:uid="{AF26A7EA-78F4-4CE6-B5A4-EA39FA9AD339}" name="Column16179" dataDxfId="175"/>
    <tableColumn id="16228" xr3:uid="{371AFDD5-14D8-4463-8068-ADEF606B17E1}" name="Column16180" dataDxfId="174"/>
    <tableColumn id="16229" xr3:uid="{6F96B9D0-EFCC-4CA5-9D82-7A1E6102ACFE}" name="Column16181" dataDxfId="173"/>
    <tableColumn id="16230" xr3:uid="{90E76A0C-C458-40A0-A7D7-937718B82CAD}" name="Column16182" dataDxfId="172"/>
    <tableColumn id="16231" xr3:uid="{8C029D0A-6287-4322-B47F-98C07C6EAA55}" name="Column16183" dataDxfId="171"/>
    <tableColumn id="16232" xr3:uid="{9C14F3B0-0E03-4269-AE65-CE60FDC95D59}" name="Column16184" dataDxfId="170"/>
    <tableColumn id="16233" xr3:uid="{FE1D4508-50CC-4F46-8753-8ACEDA8CB53A}" name="Column16185" dataDxfId="169"/>
    <tableColumn id="16234" xr3:uid="{8A7B3EEA-2291-4080-91B7-02236EB07954}" name="Column16186" dataDxfId="168"/>
    <tableColumn id="16235" xr3:uid="{C9A5597C-55F1-43A6-B80A-114D1D3C4D6E}" name="Column16187" dataDxfId="167"/>
    <tableColumn id="16236" xr3:uid="{5F847EE4-D20A-4A07-8D7C-EFBED5C22C2A}" name="Column16188" dataDxfId="166"/>
    <tableColumn id="16237" xr3:uid="{F8F958B4-1A80-4CE7-BE39-8893BE13EC0E}" name="Column16189" dataDxfId="165"/>
    <tableColumn id="16238" xr3:uid="{2A7A55F1-F0A7-4B87-8E9A-1DDCB1EA8BF7}" name="Column16190" dataDxfId="164"/>
    <tableColumn id="16239" xr3:uid="{2413A9AA-96D5-4A44-9AEE-900CD52AB8D3}" name="Column16191" dataDxfId="163"/>
    <tableColumn id="16240" xr3:uid="{0CFE5882-EAA8-4CE7-8F99-828FE3599EFD}" name="Column16192" dataDxfId="162"/>
    <tableColumn id="16241" xr3:uid="{5397E979-A5E1-4BDA-9A7D-8E63A637E25D}" name="Column16193" dataDxfId="161"/>
    <tableColumn id="16242" xr3:uid="{4ADBDBD7-E2C7-40E2-8EB4-3515E426567D}" name="Column16194" dataDxfId="160"/>
    <tableColumn id="16243" xr3:uid="{C49A7F7B-B52D-471B-8BF2-EEDBCBD31FC6}" name="Column16195" dataDxfId="159"/>
    <tableColumn id="16244" xr3:uid="{B083ACE8-A5BF-4AF9-A539-7EAC5C3AF9EE}" name="Column16196" dataDxfId="158"/>
    <tableColumn id="16245" xr3:uid="{E20660B2-0566-4797-B1F9-CB6A1A101572}" name="Column16197" dataDxfId="157"/>
    <tableColumn id="16246" xr3:uid="{B97A7811-7027-4674-9C6E-46EFC60C8A74}" name="Column16198" dataDxfId="156"/>
    <tableColumn id="16247" xr3:uid="{AD91772A-D0B8-4DA2-B53A-17E4796CE895}" name="Column16199" dataDxfId="155"/>
    <tableColumn id="16248" xr3:uid="{1D759D65-0E02-44A5-AB6E-6803983F2A60}" name="Column16200" dataDxfId="154"/>
    <tableColumn id="16249" xr3:uid="{D7B344CE-E823-4B4E-A498-E12CB306F317}" name="Column16201" dataDxfId="153"/>
    <tableColumn id="16250" xr3:uid="{C6458321-90C8-4185-BAF5-B918B5CB7065}" name="Column16202" dataDxfId="152"/>
    <tableColumn id="16251" xr3:uid="{7A34DF9A-13A5-4E5C-AB8D-3CBAFB2EA703}" name="Column16203" dataDxfId="151"/>
    <tableColumn id="16252" xr3:uid="{D479ADE2-1641-425B-AD26-BDA7B382DFC2}" name="Column16204" dataDxfId="150"/>
    <tableColumn id="16253" xr3:uid="{C84C0094-089F-444B-9C84-6305C609DBA2}" name="Column16205" dataDxfId="149"/>
    <tableColumn id="16254" xr3:uid="{D624E552-FBD7-4754-B968-D713909A3ABF}" name="Column16206" dataDxfId="148"/>
    <tableColumn id="16255" xr3:uid="{288D35AB-E161-47BE-A083-0B430DAA2E0C}" name="Column16207" dataDxfId="147"/>
    <tableColumn id="16256" xr3:uid="{34891C12-3757-4D34-A9D0-009929B661DA}" name="Column16208" dataDxfId="146"/>
    <tableColumn id="16257" xr3:uid="{E98C9FC8-BA5C-450B-9807-725D5D2F2012}" name="Column16209" dataDxfId="145"/>
    <tableColumn id="16258" xr3:uid="{01053406-2223-4210-A4E2-56EF02A270F6}" name="Column16210" dataDxfId="144"/>
    <tableColumn id="16259" xr3:uid="{21EEF821-CADA-4C8F-BE8F-ACE7892736D5}" name="Column16211" dataDxfId="143"/>
    <tableColumn id="16260" xr3:uid="{98862AE0-A143-44C0-AD49-06DBB05A8C12}" name="Column16212" dataDxfId="142"/>
    <tableColumn id="16261" xr3:uid="{8D5A096F-74D3-493A-898D-8BE846CAE12D}" name="Column16213" dataDxfId="141"/>
    <tableColumn id="16262" xr3:uid="{405BF01C-1BA9-4B45-8843-D8236D3FEF96}" name="Column16214" dataDxfId="140"/>
    <tableColumn id="16263" xr3:uid="{7F44E06D-37AF-49EC-9DD3-F81B68304E92}" name="Column16215" dataDxfId="139"/>
    <tableColumn id="16264" xr3:uid="{5E3225F8-1EEF-499B-A5B2-8A66D1792A70}" name="Column16216" dataDxfId="138"/>
    <tableColumn id="16265" xr3:uid="{46C40634-B5E2-41F1-8692-D11CD6915E58}" name="Column16217" dataDxfId="137"/>
    <tableColumn id="16266" xr3:uid="{30F1AEAA-0009-4608-AFEB-2D0D78B4CD04}" name="Column16218" dataDxfId="136"/>
    <tableColumn id="16267" xr3:uid="{89D9C659-B729-4C59-B061-70EAE8FBDC92}" name="Column16219" dataDxfId="135"/>
    <tableColumn id="16268" xr3:uid="{A785C6F7-F1B9-4BE7-8BB8-CCE7440B860C}" name="Column16220" dataDxfId="134"/>
    <tableColumn id="16269" xr3:uid="{CB2C5A60-11B8-40A2-8ED1-AEC3F75EF616}" name="Column16221" dataDxfId="133"/>
    <tableColumn id="16270" xr3:uid="{F8B35C27-F5B2-45A1-A2FF-C759DE9456C4}" name="Column16222" dataDxfId="132"/>
    <tableColumn id="16271" xr3:uid="{79773D4D-9D59-4E70-AE32-C085F55E7890}" name="Column16223" dataDxfId="131"/>
    <tableColumn id="16272" xr3:uid="{FA8AA11E-6EC8-476C-9DEC-64D716B27819}" name="Column16224" dataDxfId="130"/>
    <tableColumn id="16273" xr3:uid="{565CFA50-7E32-4FF2-81D4-D194A7C87BBF}" name="Column16225" dataDxfId="129"/>
    <tableColumn id="16274" xr3:uid="{A26D95EE-7135-44F8-90A9-3647A3813B8D}" name="Column16226" dataDxfId="128"/>
    <tableColumn id="16275" xr3:uid="{78C21741-EBD2-4F95-B543-AF94C7433570}" name="Column16227" dataDxfId="127"/>
    <tableColumn id="16276" xr3:uid="{7F5A2816-FC3E-45C4-A9E7-BD99FB1F62AB}" name="Column16228" dataDxfId="126"/>
    <tableColumn id="16277" xr3:uid="{C73CECA5-50C2-4846-94E0-D2BE46C21A3B}" name="Column16229" dataDxfId="125"/>
    <tableColumn id="16278" xr3:uid="{017AAD62-BFF2-421B-907B-5C4AD93020CB}" name="Column16230" dataDxfId="124"/>
    <tableColumn id="16279" xr3:uid="{62B9C97F-D625-4AF2-B58F-FA67DA7952A1}" name="Column16231" dataDxfId="123"/>
    <tableColumn id="16280" xr3:uid="{F25F17D5-FED3-4532-B055-C53AF3142666}" name="Column16232" dataDxfId="122"/>
    <tableColumn id="16281" xr3:uid="{727E1A93-6D03-4C11-9258-70C219FF4BE3}" name="Column16233" dataDxfId="121"/>
    <tableColumn id="16282" xr3:uid="{56AB104C-E9A6-4594-8FBF-18A37ADAE3E9}" name="Column16234" dataDxfId="120"/>
    <tableColumn id="16283" xr3:uid="{6F9B563D-AA1F-45D6-B605-26B40BF946CF}" name="Column16235" dataDxfId="119"/>
    <tableColumn id="16284" xr3:uid="{1068A60D-6DBD-4D50-AF6B-F9E556D8E790}" name="Column16236" dataDxfId="118"/>
    <tableColumn id="16285" xr3:uid="{C97776ED-37DD-4B87-8124-7B1504ED9F96}" name="Column16237" dataDxfId="117"/>
    <tableColumn id="16286" xr3:uid="{AE306975-B256-4C04-84D2-D7BEB534D166}" name="Column16238" dataDxfId="116"/>
    <tableColumn id="16287" xr3:uid="{E05E23DA-94E4-4FA3-BAB5-ABCFC4FAA2BB}" name="Column16239" dataDxfId="115"/>
    <tableColumn id="16288" xr3:uid="{7C94D927-217A-4449-8541-368519BEC65D}" name="Column16240" dataDxfId="114"/>
    <tableColumn id="16289" xr3:uid="{9CC77529-2330-4B00-8464-7AED5F4A098B}" name="Column16241" dataDxfId="113"/>
    <tableColumn id="16290" xr3:uid="{DF796812-2FB1-4F36-A1E2-EA22B5F16E2E}" name="Column16242" dataDxfId="112"/>
    <tableColumn id="16291" xr3:uid="{1978C7E5-8134-46D1-9826-79D1364673D4}" name="Column16243" dataDxfId="111"/>
    <tableColumn id="16292" xr3:uid="{99C700AE-BBB9-4F09-98F4-B0AFC861A97D}" name="Column16244" dataDxfId="110"/>
    <tableColumn id="16293" xr3:uid="{319C20EF-635A-424A-A580-076314F8F291}" name="Column16245" dataDxfId="109"/>
    <tableColumn id="16294" xr3:uid="{5BF04BF9-2C1F-4991-BF57-18BA54D79B71}" name="Column16246" dataDxfId="108"/>
    <tableColumn id="16295" xr3:uid="{6219D986-C088-4DE3-9394-CBE4D2900873}" name="Column16247" dataDxfId="107"/>
    <tableColumn id="16296" xr3:uid="{C82A3E03-AF41-466D-9D10-20FCEE83F931}" name="Column16248" dataDxfId="106"/>
    <tableColumn id="16297" xr3:uid="{FE73E312-C937-49E8-BE62-04B8801DD832}" name="Column16249" dataDxfId="105"/>
    <tableColumn id="16298" xr3:uid="{BE5746A3-7103-4542-8E63-A5132B0F9394}" name="Column16250" dataDxfId="104"/>
    <tableColumn id="16299" xr3:uid="{3AD68C81-4650-4546-B05A-308EF09096DB}" name="Column16251" dataDxfId="103"/>
    <tableColumn id="16300" xr3:uid="{123F1A00-6E7E-452F-AC58-01803FFFCAB6}" name="Column16252" dataDxfId="102"/>
    <tableColumn id="16301" xr3:uid="{CFDA2F24-3D21-448A-8EC1-793BDF4B2944}" name="Column16253" dataDxfId="101"/>
    <tableColumn id="16302" xr3:uid="{076E3565-2B48-431D-9A3A-7FF1F03168E0}" name="Column16254" dataDxfId="100"/>
    <tableColumn id="16303" xr3:uid="{61420BCE-A537-4B91-8B25-E99DBAA44B3F}" name="Column16255" dataDxfId="99"/>
    <tableColumn id="16304" xr3:uid="{73643704-564E-43BD-A239-839E14509ECD}" name="Column16256" dataDxfId="98"/>
    <tableColumn id="16305" xr3:uid="{887426DD-C20A-4334-85F0-91BB3D09DF25}" name="Column16257" dataDxfId="97"/>
    <tableColumn id="16306" xr3:uid="{EE627452-BB71-4635-8C36-ACBDB39A20B0}" name="Column16258" dataDxfId="96"/>
    <tableColumn id="16307" xr3:uid="{5A428B14-04DA-443E-AA9D-B1F0D6DB5CFA}" name="Column16259" dataDxfId="95"/>
    <tableColumn id="16308" xr3:uid="{AC92259A-8891-4CFA-9D3E-A42D4B49D074}" name="Column16260" dataDxfId="94"/>
    <tableColumn id="16309" xr3:uid="{42839E66-4E1B-4B65-9799-E3C82944F197}" name="Column16261" dataDxfId="93"/>
    <tableColumn id="16310" xr3:uid="{13104855-B878-41D0-8C2F-8735261AC20C}" name="Column16262" dataDxfId="92"/>
    <tableColumn id="16311" xr3:uid="{AD831C5B-27C2-4645-A8AD-DC7E3A7AF937}" name="Column16263" dataDxfId="91"/>
    <tableColumn id="16312" xr3:uid="{39F0D530-AD1E-4D40-9FCB-09259B4A99BC}" name="Column16264" dataDxfId="90"/>
    <tableColumn id="16313" xr3:uid="{7CF88554-5F01-44D4-A565-A4EFA98B3E75}" name="Column16265" dataDxfId="89"/>
    <tableColumn id="16314" xr3:uid="{2D3BBB85-F318-4150-A48A-EB7A9CD013BA}" name="Column16266" dataDxfId="88"/>
    <tableColumn id="16315" xr3:uid="{528F545F-DC8A-4E90-9480-2F72E2DB7532}" name="Column16267" dataDxfId="87"/>
    <tableColumn id="16316" xr3:uid="{8C7ADB8B-2616-4031-91E8-FB617D747DC0}" name="Column16268" dataDxfId="86"/>
    <tableColumn id="16317" xr3:uid="{58366DCF-A4CF-4960-8E4F-5935C59170AF}" name="Column16269" dataDxfId="85"/>
    <tableColumn id="16318" xr3:uid="{577B8291-28AD-45DC-AD35-0EE8D26B8591}" name="Column16270" dataDxfId="84"/>
    <tableColumn id="16319" xr3:uid="{96C1F1C9-1CE4-4683-B7C7-1BAC2AE0B956}" name="Column16271" dataDxfId="83"/>
    <tableColumn id="16320" xr3:uid="{6988F8D1-85A2-4F2B-A971-B7503A67B70B}" name="Column16272" dataDxfId="82"/>
    <tableColumn id="16321" xr3:uid="{249BDE83-358C-48E7-B961-C130E99D1060}" name="Column16273" dataDxfId="81"/>
    <tableColumn id="16322" xr3:uid="{0DA9C7F3-37CF-4BF0-8556-C55AB226FF29}" name="Column16274" dataDxfId="80"/>
    <tableColumn id="16323" xr3:uid="{08EABF4B-A7D9-4D7F-B6FA-C104491DD5FB}" name="Column16275" dataDxfId="79"/>
    <tableColumn id="16324" xr3:uid="{40C74864-250C-4281-A999-5F0880015546}" name="Column16276" dataDxfId="78"/>
    <tableColumn id="16325" xr3:uid="{D91074B8-89AD-4267-A59F-D25A4CA33EAA}" name="Column16277" dataDxfId="77"/>
    <tableColumn id="16326" xr3:uid="{E8246DC1-3486-4B07-9EE0-854801061EF9}" name="Column16278" dataDxfId="76"/>
    <tableColumn id="16327" xr3:uid="{EF44AFC6-51F5-4C9E-AB8A-5334D5EDC02A}" name="Column16279" dataDxfId="75"/>
    <tableColumn id="16328" xr3:uid="{CE2AD63F-BC44-4FFF-8503-A49D8915A06B}" name="Column16280" dataDxfId="74"/>
    <tableColumn id="16329" xr3:uid="{9DAF13B1-C172-4C59-9822-310EF59AA53A}" name="Column16281" dataDxfId="73"/>
    <tableColumn id="16330" xr3:uid="{BB8650BD-2782-443F-A62A-5FB17201BE9E}" name="Column16282" dataDxfId="72"/>
    <tableColumn id="16331" xr3:uid="{E27BAC95-A795-4D4F-B64B-F7006B17499F}" name="Column16283" dataDxfId="71"/>
    <tableColumn id="16332" xr3:uid="{858DA161-B9BB-4A94-B23C-DCD8E1D1383C}" name="Column16284" dataDxfId="70"/>
    <tableColumn id="16333" xr3:uid="{7B74153D-1BC1-455E-808F-1E48F8F74C0A}" name="Column16285" dataDxfId="69"/>
    <tableColumn id="16334" xr3:uid="{E614FB06-F438-4B27-8714-3F9EE088CC93}" name="Column16286" dataDxfId="68"/>
    <tableColumn id="16335" xr3:uid="{070E8CFF-35F5-4352-8A0B-87005C613BD6}" name="Column16287" dataDxfId="67"/>
    <tableColumn id="16336" xr3:uid="{522180D6-DBBA-4E4F-906A-AC5C9888B81B}" name="Column16288" dataDxfId="66"/>
    <tableColumn id="16337" xr3:uid="{980C5808-1BF5-47F0-98AE-945208FA7516}" name="Column16289" dataDxfId="65"/>
    <tableColumn id="16338" xr3:uid="{77CB65DE-61FD-4378-A6D3-56A8390D3D47}" name="Column16290" dataDxfId="64"/>
    <tableColumn id="16339" xr3:uid="{33A4BAD9-76F9-4992-8C80-0DAD3C3250F8}" name="Column16291" dataDxfId="63"/>
    <tableColumn id="16340" xr3:uid="{95C05E3F-D1FA-4021-8C63-F234BC391984}" name="Column16292" dataDxfId="62"/>
    <tableColumn id="16341" xr3:uid="{C33C43DB-2EF5-4955-ABF1-091EEC187D88}" name="Column16293" dataDxfId="61"/>
    <tableColumn id="16342" xr3:uid="{5AFCF28C-158F-4BAF-A36B-E9F88F258D44}" name="Column16294" dataDxfId="60"/>
    <tableColumn id="16343" xr3:uid="{A533A8CA-D23D-4681-B5D6-E3C62ABB13C4}" name="Column16295" dataDxfId="59"/>
    <tableColumn id="16344" xr3:uid="{F1DF110D-E810-4A0C-97EC-B6185578D393}" name="Column16296" dataDxfId="58"/>
    <tableColumn id="16345" xr3:uid="{AF4D0F84-7AE6-4F39-A540-B13A0A894854}" name="Column16297" dataDxfId="57"/>
    <tableColumn id="16346" xr3:uid="{42139D9A-D090-4044-BD3F-24ABFFE58AE2}" name="Column16298" dataDxfId="56"/>
    <tableColumn id="16347" xr3:uid="{E0FB6E12-7171-46F4-978A-7161B9E46956}" name="Column16299" dataDxfId="55"/>
    <tableColumn id="16348" xr3:uid="{D75F870C-A0B0-41F6-ADFF-5DF087C6B553}" name="Column16300" dataDxfId="54"/>
    <tableColumn id="16349" xr3:uid="{FB484CBF-E949-4876-8411-DDA5702C6330}" name="Column16301" dataDxfId="53"/>
    <tableColumn id="16350" xr3:uid="{99E9B491-DD9F-4B50-A024-2DD757992F64}" name="Column16302" dataDxfId="52"/>
    <tableColumn id="16351" xr3:uid="{2D0DE3EC-5369-4FC7-8BDB-1C52041181CA}" name="Column16303" dataDxfId="51"/>
    <tableColumn id="16352" xr3:uid="{6A430AF7-87C8-447A-97AA-393B47104929}" name="Column16304" dataDxfId="50"/>
    <tableColumn id="16353" xr3:uid="{8B182D19-1D18-4A98-8A28-0C53FFF4230F}" name="Column16305" dataDxfId="49"/>
    <tableColumn id="16354" xr3:uid="{244E153C-EEA0-4970-B16B-DE2E4D56EDB3}" name="Column16306" dataDxfId="48"/>
    <tableColumn id="16355" xr3:uid="{B7EF8873-FBBD-4705-97CC-AE9372FD7D88}" name="Column16307" dataDxfId="47"/>
    <tableColumn id="16356" xr3:uid="{35C8BFFC-1B78-4CDA-B663-1E9914CD03FD}" name="Column16308" dataDxfId="46"/>
    <tableColumn id="16357" xr3:uid="{56B13A20-0C4C-4222-8C61-1F3E3FAFEE70}" name="Column16309" dataDxfId="45"/>
    <tableColumn id="16358" xr3:uid="{A76C2D0C-BAC3-46F6-9810-0BAA19EC43C8}" name="Column16310" dataDxfId="44"/>
    <tableColumn id="16359" xr3:uid="{9FDE5BDE-A01C-4403-9D47-A7C03CA9E8C6}" name="Column16311" dataDxfId="43"/>
    <tableColumn id="16360" xr3:uid="{CAA64E20-684F-41DD-82CA-F0B7EB3F40AF}" name="Column16312" dataDxfId="42"/>
    <tableColumn id="16361" xr3:uid="{D711E3CD-F8C0-4707-9C49-8FE28C7DF8E2}" name="Column16313" dataDxfId="41"/>
    <tableColumn id="16362" xr3:uid="{4A4C21F0-E571-4EA3-94A8-C8AAD6EDBE8C}" name="Column16314" dataDxfId="40"/>
    <tableColumn id="16363" xr3:uid="{60C0420D-3A81-43F5-BDC8-944B8CF6C864}" name="Column16315" dataDxfId="39"/>
    <tableColumn id="16364" xr3:uid="{69190202-4465-47D3-8889-CBD18C950161}" name="Column16316" dataDxfId="38"/>
    <tableColumn id="16365" xr3:uid="{D9670C4C-CF5E-4616-B263-2107B0EF1945}" name="Column16317" dataDxfId="37"/>
    <tableColumn id="16366" xr3:uid="{990F6AF5-2FE0-4A5F-A5A6-83C8E1950EEC}" name="Column16318" dataDxfId="36"/>
    <tableColumn id="16367" xr3:uid="{4D291698-F58A-46F7-B2AE-61010297DB49}" name="Column16319" dataDxfId="35"/>
    <tableColumn id="16368" xr3:uid="{B161679A-E0E1-47E0-A55D-60C27812BDE2}" name="Column16320" dataDxfId="34"/>
    <tableColumn id="16369" xr3:uid="{9660E754-59FA-4727-B91B-F9C2B9780A35}" name="Column16321" dataDxfId="33"/>
    <tableColumn id="16370" xr3:uid="{FBD112B1-286F-4A27-A106-9A0A7EAB9546}" name="Column16322" dataDxfId="32"/>
    <tableColumn id="16371" xr3:uid="{38DD2187-0436-4DB4-BDCA-DA867B35A623}" name="Column16323" dataDxfId="31"/>
    <tableColumn id="16372" xr3:uid="{ADCD5B61-C1E6-4EB3-98E9-D2C9B683C207}" name="Column16324" dataDxfId="30"/>
    <tableColumn id="16373" xr3:uid="{CD4B5ECC-CAAB-4F52-80BB-24FCB5D18E53}" name="Column16325" dataDxfId="29"/>
    <tableColumn id="16374" xr3:uid="{39F03FB3-0AD2-421B-87A3-8C88F3361A28}" name="Column16326" dataDxfId="28"/>
    <tableColumn id="16375" xr3:uid="{3A6D28F6-C2EB-4229-A390-063699BCB9E8}" name="Column16327" dataDxfId="27"/>
    <tableColumn id="16376" xr3:uid="{91FD1801-BC92-42D8-A32B-FB51E84785C9}" name="Column16328" dataDxfId="26"/>
    <tableColumn id="16377" xr3:uid="{5331D401-CB5B-412F-B498-CA1DF2EF36D7}" name="Column16329" dataDxfId="25"/>
    <tableColumn id="16378" xr3:uid="{A7D4BF7E-E7DC-4550-A3F5-05ECDBC973D7}" name="Column16330" dataDxfId="24"/>
    <tableColumn id="16379" xr3:uid="{788FB3B2-B966-48DE-A1CF-7B9558B3C028}" name="Column16331" dataDxfId="23"/>
    <tableColumn id="16380" xr3:uid="{5E7218AC-5E26-4527-9A7D-BCB88C818680}" name="Column16332" dataDxfId="22"/>
    <tableColumn id="16381" xr3:uid="{028F3C1D-4550-4EEC-82F0-05D11B032513}" name="Column16333" dataDxfId="21"/>
    <tableColumn id="16382" xr3:uid="{BCBA4FE8-E591-436D-9952-0B483E317881}" name="Column16334" dataDxfId="20"/>
    <tableColumn id="16383" xr3:uid="{973A438A-8CD7-4B28-8B5D-21F82BD55200}" name="Column16335" dataDxfId="19"/>
    <tableColumn id="16384" xr3:uid="{F35FD11C-678F-4DBA-8A1A-91B766BCEF11}" name="Column16336" dataDxfId="1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ergiomfvieira@gmail.com" TargetMode="External"/><Relationship Id="rId18" Type="http://schemas.openxmlformats.org/officeDocument/2006/relationships/hyperlink" Target="mailto:lidia_love@163.com" TargetMode="External"/><Relationship Id="rId26" Type="http://schemas.openxmlformats.org/officeDocument/2006/relationships/hyperlink" Target="mailto:odracir.seravat@gmail.com" TargetMode="External"/><Relationship Id="rId39" Type="http://schemas.openxmlformats.org/officeDocument/2006/relationships/hyperlink" Target="mailto:assafs@ein.gedi.co.il" TargetMode="External"/><Relationship Id="rId21" Type="http://schemas.openxmlformats.org/officeDocument/2006/relationships/hyperlink" Target="mailto:joseluzano@yahoo.com" TargetMode="External"/><Relationship Id="rId34" Type="http://schemas.openxmlformats.org/officeDocument/2006/relationships/hyperlink" Target="mailto:odracir.seravat@gmial.com" TargetMode="External"/><Relationship Id="rId42" Type="http://schemas.openxmlformats.org/officeDocument/2006/relationships/hyperlink" Target="mailto:litvakd@netvusuib.net.il" TargetMode="External"/><Relationship Id="rId47" Type="http://schemas.openxmlformats.org/officeDocument/2006/relationships/hyperlink" Target="mailto:josepedrodcosta@gmail.com" TargetMode="External"/><Relationship Id="rId50" Type="http://schemas.openxmlformats.org/officeDocument/2006/relationships/hyperlink" Target="mailto:ariel@tagaurbanic.com" TargetMode="External"/><Relationship Id="rId7" Type="http://schemas.openxmlformats.org/officeDocument/2006/relationships/hyperlink" Target="mailto:sergioomfvieira@gmail.com" TargetMode="External"/><Relationship Id="rId2" Type="http://schemas.openxmlformats.org/officeDocument/2006/relationships/hyperlink" Target="mailto:iolandatteixeira@gmail.com" TargetMode="External"/><Relationship Id="rId16" Type="http://schemas.openxmlformats.org/officeDocument/2006/relationships/hyperlink" Target="mailto:jose.f.bernardino@hotmail.com" TargetMode="External"/><Relationship Id="rId29" Type="http://schemas.openxmlformats.org/officeDocument/2006/relationships/hyperlink" Target="mailto:rogeriopinhosilva@gmail.com" TargetMode="External"/><Relationship Id="rId11" Type="http://schemas.openxmlformats.org/officeDocument/2006/relationships/hyperlink" Target="mailto:serra.cmm@gmail.com" TargetMode="External"/><Relationship Id="rId24" Type="http://schemas.openxmlformats.org/officeDocument/2006/relationships/hyperlink" Target="mailto:amargaridagds@gmail.com" TargetMode="External"/><Relationship Id="rId32" Type="http://schemas.openxmlformats.org/officeDocument/2006/relationships/hyperlink" Target="mailto:suportejs34@gmail.com" TargetMode="External"/><Relationship Id="rId37" Type="http://schemas.openxmlformats.org/officeDocument/2006/relationships/hyperlink" Target="mailto:freitas.diogo@gmail.com" TargetMode="External"/><Relationship Id="rId40" Type="http://schemas.openxmlformats.org/officeDocument/2006/relationships/hyperlink" Target="mailto:sequeira.js@mail.telepac.pt" TargetMode="External"/><Relationship Id="rId45" Type="http://schemas.openxmlformats.org/officeDocument/2006/relationships/hyperlink" Target="mailto:florindam543@gmail.com" TargetMode="External"/><Relationship Id="rId53" Type="http://schemas.openxmlformats.org/officeDocument/2006/relationships/vmlDrawing" Target="../drawings/vmlDrawing1.vml"/><Relationship Id="rId5" Type="http://schemas.openxmlformats.org/officeDocument/2006/relationships/hyperlink" Target="mailto:joaorgnovo@gmail.com" TargetMode="External"/><Relationship Id="rId10" Type="http://schemas.openxmlformats.org/officeDocument/2006/relationships/hyperlink" Target="mailto:feliciano03@me.com" TargetMode="External"/><Relationship Id="rId19" Type="http://schemas.openxmlformats.org/officeDocument/2006/relationships/hyperlink" Target="mailto:hugo.mesquita1@gmail.com" TargetMode="External"/><Relationship Id="rId31" Type="http://schemas.openxmlformats.org/officeDocument/2006/relationships/hyperlink" Target="mailto:edenbrizel@gmail.com" TargetMode="External"/><Relationship Id="rId44" Type="http://schemas.openxmlformats.org/officeDocument/2006/relationships/hyperlink" Target="mailto:andre.ferreira@aboutpublicity.com" TargetMode="External"/><Relationship Id="rId52" Type="http://schemas.openxmlformats.org/officeDocument/2006/relationships/printerSettings" Target="../printerSettings/printerSettings2.bin"/><Relationship Id="rId4" Type="http://schemas.openxmlformats.org/officeDocument/2006/relationships/hyperlink" Target="mailto:cfgd.gildaniel@hotmail.com" TargetMode="External"/><Relationship Id="rId9" Type="http://schemas.openxmlformats.org/officeDocument/2006/relationships/hyperlink" Target="mailto:victormanuelpmartins@gmail.com" TargetMode="External"/><Relationship Id="rId14" Type="http://schemas.openxmlformats.org/officeDocument/2006/relationships/hyperlink" Target="mailto:anapaulalourido@gmail.com" TargetMode="External"/><Relationship Id="rId22" Type="http://schemas.openxmlformats.org/officeDocument/2006/relationships/hyperlink" Target="mailto:finogueira@live.com.pt" TargetMode="External"/><Relationship Id="rId27" Type="http://schemas.openxmlformats.org/officeDocument/2006/relationships/hyperlink" Target="mailto:galshvebish@gmail.com" TargetMode="External"/><Relationship Id="rId30" Type="http://schemas.openxmlformats.org/officeDocument/2006/relationships/hyperlink" Target="mailto:andre@dangels.pt" TargetMode="External"/><Relationship Id="rId35" Type="http://schemas.openxmlformats.org/officeDocument/2006/relationships/hyperlink" Target="mailto:nuno@alfacomer.pt" TargetMode="External"/><Relationship Id="rId43" Type="http://schemas.openxmlformats.org/officeDocument/2006/relationships/hyperlink" Target="mailto:miguel.antunes1970@gmial.com" TargetMode="External"/><Relationship Id="rId48" Type="http://schemas.openxmlformats.org/officeDocument/2006/relationships/hyperlink" Target="mailto:sandra.mota.oliveira-5310p@adv.oa.pt" TargetMode="External"/><Relationship Id="rId8" Type="http://schemas.openxmlformats.org/officeDocument/2006/relationships/hyperlink" Target="mailto:acosta2001@sapo.pt" TargetMode="External"/><Relationship Id="rId51" Type="http://schemas.openxmlformats.org/officeDocument/2006/relationships/hyperlink" Target="mailto:freitas.diogo@gmail.com" TargetMode="External"/><Relationship Id="rId3" Type="http://schemas.openxmlformats.org/officeDocument/2006/relationships/hyperlink" Target="mailto:florindam453@gmail.com" TargetMode="External"/><Relationship Id="rId12" Type="http://schemas.openxmlformats.org/officeDocument/2006/relationships/hyperlink" Target="mailto:joaopsilva1995@gmail.com" TargetMode="External"/><Relationship Id="rId17" Type="http://schemas.openxmlformats.org/officeDocument/2006/relationships/hyperlink" Target="mailto:feliciano03@me.com" TargetMode="External"/><Relationship Id="rId25" Type="http://schemas.openxmlformats.org/officeDocument/2006/relationships/hyperlink" Target="mailto:jorge.magalhaes1967@gmail.com" TargetMode="External"/><Relationship Id="rId33" Type="http://schemas.openxmlformats.org/officeDocument/2006/relationships/hyperlink" Target="mailto:vitormendescosta@hotmail.com" TargetMode="External"/><Relationship Id="rId38" Type="http://schemas.openxmlformats.org/officeDocument/2006/relationships/hyperlink" Target="mailto:paulacvg@gmail.com" TargetMode="External"/><Relationship Id="rId46" Type="http://schemas.openxmlformats.org/officeDocument/2006/relationships/hyperlink" Target="mailto:mariojorgesilva1967@gmail.com" TargetMode="External"/><Relationship Id="rId20" Type="http://schemas.openxmlformats.org/officeDocument/2006/relationships/hyperlink" Target="mailto:anasilva0883@gmail.com" TargetMode="External"/><Relationship Id="rId41" Type="http://schemas.openxmlformats.org/officeDocument/2006/relationships/hyperlink" Target="mailto:hugo.mesquita1@gmail.com" TargetMode="External"/><Relationship Id="rId54" Type="http://schemas.openxmlformats.org/officeDocument/2006/relationships/comments" Target="../comments1.xml"/><Relationship Id="rId1" Type="http://schemas.openxmlformats.org/officeDocument/2006/relationships/hyperlink" Target="mailto:tiagosenra@live.com.pt" TargetMode="External"/><Relationship Id="rId6" Type="http://schemas.openxmlformats.org/officeDocument/2006/relationships/hyperlink" Target="mailto:joao.miguel.carreira.almeida@gmail.com" TargetMode="External"/><Relationship Id="rId15" Type="http://schemas.openxmlformats.org/officeDocument/2006/relationships/hyperlink" Target="mailto:gigi.203@hotmail.com" TargetMode="External"/><Relationship Id="rId23" Type="http://schemas.openxmlformats.org/officeDocument/2006/relationships/hyperlink" Target="mailto:diogo_rego89@hotmail.com" TargetMode="External"/><Relationship Id="rId28" Type="http://schemas.openxmlformats.org/officeDocument/2006/relationships/hyperlink" Target="mailto:vitorpinto0778@gmail.com" TargetMode="External"/><Relationship Id="rId36" Type="http://schemas.openxmlformats.org/officeDocument/2006/relationships/hyperlink" Target="mailto:achiya@tagaurbanic.com" TargetMode="External"/><Relationship Id="rId49" Type="http://schemas.openxmlformats.org/officeDocument/2006/relationships/hyperlink" Target="mailto:pedro.maia.carvalho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hb@hbdesignbrands.com" TargetMode="External"/><Relationship Id="rId18" Type="http://schemas.openxmlformats.org/officeDocument/2006/relationships/hyperlink" Target="mailto:horaextra.club@gmail.com" TargetMode="External"/><Relationship Id="rId26" Type="http://schemas.openxmlformats.org/officeDocument/2006/relationships/hyperlink" Target="mailto:maiaceu1@gmail.com" TargetMode="External"/><Relationship Id="rId39" Type="http://schemas.openxmlformats.org/officeDocument/2006/relationships/comments" Target="../comments2.xml"/><Relationship Id="rId21" Type="http://schemas.openxmlformats.org/officeDocument/2006/relationships/hyperlink" Target="mailto:carvalho1951@gmail.com" TargetMode="External"/><Relationship Id="rId34" Type="http://schemas.openxmlformats.org/officeDocument/2006/relationships/hyperlink" Target="mailto:igorquinan@gmail.com" TargetMode="External"/><Relationship Id="rId7" Type="http://schemas.openxmlformats.org/officeDocument/2006/relationships/hyperlink" Target="mailto:paula.truck@gmail.com" TargetMode="External"/><Relationship Id="rId12" Type="http://schemas.openxmlformats.org/officeDocument/2006/relationships/hyperlink" Target="mailto:tiagomfcardoso@gmail.com" TargetMode="External"/><Relationship Id="rId17" Type="http://schemas.openxmlformats.org/officeDocument/2006/relationships/hyperlink" Target="mailto:horaextra.club@gmail.com" TargetMode="External"/><Relationship Id="rId25" Type="http://schemas.openxmlformats.org/officeDocument/2006/relationships/hyperlink" Target="mailto:diogofmfc90@gmail.com" TargetMode="External"/><Relationship Id="rId33" Type="http://schemas.openxmlformats.org/officeDocument/2006/relationships/hyperlink" Target="mailto:linecomn@gmail.com" TargetMode="External"/><Relationship Id="rId38" Type="http://schemas.openxmlformats.org/officeDocument/2006/relationships/vmlDrawing" Target="../drawings/vmlDrawing2.vml"/><Relationship Id="rId2" Type="http://schemas.openxmlformats.org/officeDocument/2006/relationships/hyperlink" Target="mailto:jcastrogreat@gmail.com" TargetMode="External"/><Relationship Id="rId16" Type="http://schemas.openxmlformats.org/officeDocument/2006/relationships/hyperlink" Target="mailto:luisacampos@hotmail.com" TargetMode="External"/><Relationship Id="rId20" Type="http://schemas.openxmlformats.org/officeDocument/2006/relationships/hyperlink" Target="mailto:idazevedo@imda.pt" TargetMode="External"/><Relationship Id="rId29" Type="http://schemas.openxmlformats.org/officeDocument/2006/relationships/hyperlink" Target="mailto:hsilva@ferbar.com" TargetMode="External"/><Relationship Id="rId1" Type="http://schemas.openxmlformats.org/officeDocument/2006/relationships/hyperlink" Target="mailto:sandra.mota.oliveira-5310p@adv.oa.pt" TargetMode="External"/><Relationship Id="rId6" Type="http://schemas.openxmlformats.org/officeDocument/2006/relationships/hyperlink" Target="mailto:loard.lda@gmail.com" TargetMode="External"/><Relationship Id="rId11" Type="http://schemas.openxmlformats.org/officeDocument/2006/relationships/hyperlink" Target="mailto:mariamadalenasousa@gmail.com" TargetMode="External"/><Relationship Id="rId24" Type="http://schemas.openxmlformats.org/officeDocument/2006/relationships/hyperlink" Target="mailto:paula.truck@gmail.com" TargetMode="External"/><Relationship Id="rId32" Type="http://schemas.openxmlformats.org/officeDocument/2006/relationships/hyperlink" Target="mailto:ziman1964@gmail.com" TargetMode="External"/><Relationship Id="rId37" Type="http://schemas.openxmlformats.org/officeDocument/2006/relationships/printerSettings" Target="../printerSettings/printerSettings3.bin"/><Relationship Id="rId5" Type="http://schemas.openxmlformats.org/officeDocument/2006/relationships/hyperlink" Target="mailto:hmartins1958@gmail.com" TargetMode="External"/><Relationship Id="rId15" Type="http://schemas.openxmlformats.org/officeDocument/2006/relationships/hyperlink" Target="mailto:paula.romao.prof@gmail.com" TargetMode="External"/><Relationship Id="rId23" Type="http://schemas.openxmlformats.org/officeDocument/2006/relationships/hyperlink" Target="mailto:mouravalente@gmail.com" TargetMode="External"/><Relationship Id="rId28" Type="http://schemas.openxmlformats.org/officeDocument/2006/relationships/hyperlink" Target="mailto:ruisousa_7@hotmail.com" TargetMode="External"/><Relationship Id="rId36" Type="http://schemas.openxmlformats.org/officeDocument/2006/relationships/hyperlink" Target="mailto:paulo.sousa.martins93@gmail.com" TargetMode="External"/><Relationship Id="rId10" Type="http://schemas.openxmlformats.org/officeDocument/2006/relationships/hyperlink" Target="mailto:pedro.barbosa.rh@hotmail.com" TargetMode="External"/><Relationship Id="rId19" Type="http://schemas.openxmlformats.org/officeDocument/2006/relationships/hyperlink" Target="mailto:mjtpmoura@gmail.com" TargetMode="External"/><Relationship Id="rId31" Type="http://schemas.openxmlformats.org/officeDocument/2006/relationships/hyperlink" Target="mailto:sara_silvago@hotmail.com" TargetMode="External"/><Relationship Id="rId4" Type="http://schemas.openxmlformats.org/officeDocument/2006/relationships/hyperlink" Target="mailto:joninunesortopedia@gmail.com" TargetMode="External"/><Relationship Id="rId9" Type="http://schemas.openxmlformats.org/officeDocument/2006/relationships/hyperlink" Target="mailto:medeirosmig@gmail.com" TargetMode="External"/><Relationship Id="rId14" Type="http://schemas.openxmlformats.org/officeDocument/2006/relationships/hyperlink" Target="mailto:jcastrogreat@gmail.com" TargetMode="External"/><Relationship Id="rId22" Type="http://schemas.openxmlformats.org/officeDocument/2006/relationships/hyperlink" Target="mailto:andremeneses@selectadivison.pt" TargetMode="External"/><Relationship Id="rId27" Type="http://schemas.openxmlformats.org/officeDocument/2006/relationships/hyperlink" Target="mailto:ricardojls@hotmail.com" TargetMode="External"/><Relationship Id="rId30" Type="http://schemas.openxmlformats.org/officeDocument/2006/relationships/hyperlink" Target="mailto:fsbispo@hotmail.com" TargetMode="External"/><Relationship Id="rId35" Type="http://schemas.openxmlformats.org/officeDocument/2006/relationships/hyperlink" Target="mailto:emiliamaria@gmail.com" TargetMode="External"/><Relationship Id="rId8" Type="http://schemas.openxmlformats.org/officeDocument/2006/relationships/hyperlink" Target="mailto:davidbeijoco@bastarda.pt" TargetMode="External"/><Relationship Id="rId3" Type="http://schemas.openxmlformats.org/officeDocument/2006/relationships/hyperlink" Target="mailto:ferreira.andrade.sofia@gmail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tiagofranciscogil93@hotmail.com" TargetMode="External"/><Relationship Id="rId18" Type="http://schemas.openxmlformats.org/officeDocument/2006/relationships/hyperlink" Target="mailto:jose.meneses@diverstock.com" TargetMode="External"/><Relationship Id="rId26" Type="http://schemas.openxmlformats.org/officeDocument/2006/relationships/hyperlink" Target="mailto:vale380engenharia@gmail.com" TargetMode="External"/><Relationship Id="rId39" Type="http://schemas.openxmlformats.org/officeDocument/2006/relationships/hyperlink" Target="mailto:cmoandrade@gmail.com" TargetMode="External"/><Relationship Id="rId21" Type="http://schemas.openxmlformats.org/officeDocument/2006/relationships/hyperlink" Target="mailto:lino.franco@hotmail.com" TargetMode="External"/><Relationship Id="rId34" Type="http://schemas.openxmlformats.org/officeDocument/2006/relationships/hyperlink" Target="mailto:cmoandrade@gmail.com" TargetMode="External"/><Relationship Id="rId42" Type="http://schemas.openxmlformats.org/officeDocument/2006/relationships/hyperlink" Target="mailto:aampf@hotmail.com" TargetMode="External"/><Relationship Id="rId7" Type="http://schemas.openxmlformats.org/officeDocument/2006/relationships/hyperlink" Target="mailto:carloslopesvaranda@hotmail.com" TargetMode="External"/><Relationship Id="rId2" Type="http://schemas.openxmlformats.org/officeDocument/2006/relationships/hyperlink" Target="mailto:heliofiliperibeiro@gmail.com" TargetMode="External"/><Relationship Id="rId16" Type="http://schemas.openxmlformats.org/officeDocument/2006/relationships/hyperlink" Target="mailto:jardinssaguaviva@sapo.pt" TargetMode="External"/><Relationship Id="rId29" Type="http://schemas.openxmlformats.org/officeDocument/2006/relationships/hyperlink" Target="mailto:d.matamartins@live.com" TargetMode="External"/><Relationship Id="rId1" Type="http://schemas.openxmlformats.org/officeDocument/2006/relationships/hyperlink" Target="mailto:abreualonso1964@gmail.com" TargetMode="External"/><Relationship Id="rId6" Type="http://schemas.openxmlformats.org/officeDocument/2006/relationships/hyperlink" Target="mailto:sandra.mota.oliveira-55130p@adv.oa.pt" TargetMode="External"/><Relationship Id="rId11" Type="http://schemas.openxmlformats.org/officeDocument/2006/relationships/hyperlink" Target="mailto:sofia.bessamail@gmail.com" TargetMode="External"/><Relationship Id="rId24" Type="http://schemas.openxmlformats.org/officeDocument/2006/relationships/hyperlink" Target="mailto:eloyfarias@gmail.com" TargetMode="External"/><Relationship Id="rId32" Type="http://schemas.openxmlformats.org/officeDocument/2006/relationships/hyperlink" Target="mailto:lino.franco@hotmail.com" TargetMode="External"/><Relationship Id="rId37" Type="http://schemas.openxmlformats.org/officeDocument/2006/relationships/hyperlink" Target="mailto:florentino-a-santos@sapo.pt" TargetMode="External"/><Relationship Id="rId40" Type="http://schemas.openxmlformats.org/officeDocument/2006/relationships/hyperlink" Target="mailto:davidbeijoco@bastarda.pt" TargetMode="External"/><Relationship Id="rId45" Type="http://schemas.openxmlformats.org/officeDocument/2006/relationships/vmlDrawing" Target="../drawings/vmlDrawing3.vml"/><Relationship Id="rId5" Type="http://schemas.openxmlformats.org/officeDocument/2006/relationships/hyperlink" Target="mailto:qrita1@hotmail.com" TargetMode="External"/><Relationship Id="rId15" Type="http://schemas.openxmlformats.org/officeDocument/2006/relationships/hyperlink" Target="mailto:franciscofbarros@gmail.com" TargetMode="External"/><Relationship Id="rId23" Type="http://schemas.openxmlformats.org/officeDocument/2006/relationships/hyperlink" Target="mailto:ruipquintas@gmail.com" TargetMode="External"/><Relationship Id="rId28" Type="http://schemas.openxmlformats.org/officeDocument/2006/relationships/hyperlink" Target="mailto:pmfumega@gmail.com" TargetMode="External"/><Relationship Id="rId36" Type="http://schemas.openxmlformats.org/officeDocument/2006/relationships/hyperlink" Target="mailto:jose.meneses@diverstock.com" TargetMode="External"/><Relationship Id="rId10" Type="http://schemas.openxmlformats.org/officeDocument/2006/relationships/hyperlink" Target="mailto:p-oliveira-m@hotmail.com" TargetMode="External"/><Relationship Id="rId19" Type="http://schemas.openxmlformats.org/officeDocument/2006/relationships/hyperlink" Target="mailto:ds.magalhaes99@gmail.com" TargetMode="External"/><Relationship Id="rId31" Type="http://schemas.openxmlformats.org/officeDocument/2006/relationships/hyperlink" Target="mailto:eduardovazmacieira@gmail.com" TargetMode="External"/><Relationship Id="rId44" Type="http://schemas.openxmlformats.org/officeDocument/2006/relationships/printerSettings" Target="../printerSettings/printerSettings4.bin"/><Relationship Id="rId4" Type="http://schemas.openxmlformats.org/officeDocument/2006/relationships/hyperlink" Target="mailto:brunocharters@outlook.com" TargetMode="External"/><Relationship Id="rId9" Type="http://schemas.openxmlformats.org/officeDocument/2006/relationships/hyperlink" Target="mailto:joaquimmaiasousa@sapo.pt" TargetMode="External"/><Relationship Id="rId14" Type="http://schemas.openxmlformats.org/officeDocument/2006/relationships/hyperlink" Target="mailto:mesquitab1308@gmail.com" TargetMode="External"/><Relationship Id="rId22" Type="http://schemas.openxmlformats.org/officeDocument/2006/relationships/hyperlink" Target="mailto:luiscampos@hotmail.com" TargetMode="External"/><Relationship Id="rId27" Type="http://schemas.openxmlformats.org/officeDocument/2006/relationships/hyperlink" Target="mailto:ajm.malheiro@gmail.com" TargetMode="External"/><Relationship Id="rId30" Type="http://schemas.openxmlformats.org/officeDocument/2006/relationships/hyperlink" Target="mailto:jennymargarida@outlook.com" TargetMode="External"/><Relationship Id="rId35" Type="http://schemas.openxmlformats.org/officeDocument/2006/relationships/hyperlink" Target="mailto:zimscorp.tina@hotmail.com" TargetMode="External"/><Relationship Id="rId43" Type="http://schemas.openxmlformats.org/officeDocument/2006/relationships/hyperlink" Target="mailto:nunoxu.05070@gmail.com" TargetMode="External"/><Relationship Id="rId8" Type="http://schemas.openxmlformats.org/officeDocument/2006/relationships/hyperlink" Target="mailto:andre.b.goulart@gmail.com" TargetMode="External"/><Relationship Id="rId3" Type="http://schemas.openxmlformats.org/officeDocument/2006/relationships/hyperlink" Target="mailto:anabelaafonso74@gmail.com" TargetMode="External"/><Relationship Id="rId12" Type="http://schemas.openxmlformats.org/officeDocument/2006/relationships/hyperlink" Target="mailto:pedrotet18@gmail.com" TargetMode="External"/><Relationship Id="rId17" Type="http://schemas.openxmlformats.org/officeDocument/2006/relationships/hyperlink" Target="mailto:joaquim.veiga@gmail.com" TargetMode="External"/><Relationship Id="rId25" Type="http://schemas.openxmlformats.org/officeDocument/2006/relationships/hyperlink" Target="mailto:socimpee@gmail.com" TargetMode="External"/><Relationship Id="rId33" Type="http://schemas.openxmlformats.org/officeDocument/2006/relationships/hyperlink" Target="mailto:cblopes84@gmail.com" TargetMode="External"/><Relationship Id="rId38" Type="http://schemas.openxmlformats.org/officeDocument/2006/relationships/hyperlink" Target="mailto:abreualonso1964@gmail.com" TargetMode="External"/><Relationship Id="rId46" Type="http://schemas.openxmlformats.org/officeDocument/2006/relationships/comments" Target="../comments3.xml"/><Relationship Id="rId20" Type="http://schemas.openxmlformats.org/officeDocument/2006/relationships/hyperlink" Target="mailto:joaoaroso18@gmail.com" TargetMode="External"/><Relationship Id="rId41" Type="http://schemas.openxmlformats.org/officeDocument/2006/relationships/hyperlink" Target="mailto:isabel.misc2001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mascarenhas@me.com" TargetMode="External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joanafcsantos.s@gmail.com" TargetMode="External"/><Relationship Id="rId18" Type="http://schemas.openxmlformats.org/officeDocument/2006/relationships/hyperlink" Target="mailto:achiya@tagaurbanic.com" TargetMode="External"/><Relationship Id="rId26" Type="http://schemas.openxmlformats.org/officeDocument/2006/relationships/hyperlink" Target="mailto:ariel@tagaurbanic.com" TargetMode="External"/><Relationship Id="rId3" Type="http://schemas.openxmlformats.org/officeDocument/2006/relationships/hyperlink" Target="mailto:filipeaagoncalves@gmail.com" TargetMode="External"/><Relationship Id="rId21" Type="http://schemas.openxmlformats.org/officeDocument/2006/relationships/hyperlink" Target="mailto:pablolaynez@yahoo.es" TargetMode="External"/><Relationship Id="rId7" Type="http://schemas.openxmlformats.org/officeDocument/2006/relationships/hyperlink" Target="mailto:contact@chronobarcelona.com" TargetMode="External"/><Relationship Id="rId12" Type="http://schemas.openxmlformats.org/officeDocument/2006/relationships/hyperlink" Target="mailto:jcmmf@live.com.pt" TargetMode="External"/><Relationship Id="rId17" Type="http://schemas.openxmlformats.org/officeDocument/2006/relationships/hyperlink" Target="mailto:yoram@bnyadv.com" TargetMode="External"/><Relationship Id="rId25" Type="http://schemas.openxmlformats.org/officeDocument/2006/relationships/hyperlink" Target="mailto:noamt93@gmail.com" TargetMode="External"/><Relationship Id="rId33" Type="http://schemas.openxmlformats.org/officeDocument/2006/relationships/comments" Target="../comments5.xml"/><Relationship Id="rId2" Type="http://schemas.openxmlformats.org/officeDocument/2006/relationships/hyperlink" Target="mailto:vzcn66@gmail.com" TargetMode="External"/><Relationship Id="rId16" Type="http://schemas.openxmlformats.org/officeDocument/2006/relationships/hyperlink" Target="mailto:ricardo.alexandre@guiatel.net" TargetMode="External"/><Relationship Id="rId20" Type="http://schemas.openxmlformats.org/officeDocument/2006/relationships/hyperlink" Target="mailto:lironshilo@gmail.com" TargetMode="External"/><Relationship Id="rId29" Type="http://schemas.openxmlformats.org/officeDocument/2006/relationships/hyperlink" Target="mailto:swilanbrito@icloud.com" TargetMode="External"/><Relationship Id="rId1" Type="http://schemas.openxmlformats.org/officeDocument/2006/relationships/hyperlink" Target="mailto:gustavolazarin@gmail.com" TargetMode="External"/><Relationship Id="rId6" Type="http://schemas.openxmlformats.org/officeDocument/2006/relationships/hyperlink" Target="mailto:hadarazu@gmail.com" TargetMode="External"/><Relationship Id="rId11" Type="http://schemas.openxmlformats.org/officeDocument/2006/relationships/hyperlink" Target="mailto:amgd@amgd.co.il" TargetMode="External"/><Relationship Id="rId24" Type="http://schemas.openxmlformats.org/officeDocument/2006/relationships/hyperlink" Target="mailto:tamar.noiman@gmail.com" TargetMode="External"/><Relationship Id="rId32" Type="http://schemas.openxmlformats.org/officeDocument/2006/relationships/vmlDrawing" Target="../drawings/vmlDrawing5.vml"/><Relationship Id="rId5" Type="http://schemas.openxmlformats.org/officeDocument/2006/relationships/hyperlink" Target="mailto:miguel.malafaia@gmail.com" TargetMode="External"/><Relationship Id="rId15" Type="http://schemas.openxmlformats.org/officeDocument/2006/relationships/hyperlink" Target="mailto:shadinatour.odv@gmail.com" TargetMode="External"/><Relationship Id="rId23" Type="http://schemas.openxmlformats.org/officeDocument/2006/relationships/hyperlink" Target="mailto:info@motorentour.com" TargetMode="External"/><Relationship Id="rId28" Type="http://schemas.openxmlformats.org/officeDocument/2006/relationships/hyperlink" Target="mailto:lironshilo@gmail.com" TargetMode="External"/><Relationship Id="rId10" Type="http://schemas.openxmlformats.org/officeDocument/2006/relationships/hyperlink" Target="mailto:joaocarlos00025@gmail.com" TargetMode="External"/><Relationship Id="rId19" Type="http://schemas.openxmlformats.org/officeDocument/2006/relationships/hyperlink" Target="mailto:sandragg09@gmail.com" TargetMode="External"/><Relationship Id="rId31" Type="http://schemas.openxmlformats.org/officeDocument/2006/relationships/printerSettings" Target="../printerSettings/printerSettings6.bin"/><Relationship Id="rId4" Type="http://schemas.openxmlformats.org/officeDocument/2006/relationships/hyperlink" Target="mailto:flaviodscoelho@gmail.com" TargetMode="External"/><Relationship Id="rId9" Type="http://schemas.openxmlformats.org/officeDocument/2006/relationships/hyperlink" Target="mailto:trajetojf@gmail.com" TargetMode="External"/><Relationship Id="rId14" Type="http://schemas.openxmlformats.org/officeDocument/2006/relationships/hyperlink" Target="mailto:shadinatour.adv@gmail.com" TargetMode="External"/><Relationship Id="rId22" Type="http://schemas.openxmlformats.org/officeDocument/2006/relationships/hyperlink" Target="mailto:joaogomestd@hotmail.com" TargetMode="External"/><Relationship Id="rId27" Type="http://schemas.openxmlformats.org/officeDocument/2006/relationships/hyperlink" Target="mailto:stephanecastroferreira@gmail.com" TargetMode="External"/><Relationship Id="rId30" Type="http://schemas.openxmlformats.org/officeDocument/2006/relationships/hyperlink" Target="mailto:doveden4@gmail.com" TargetMode="External"/><Relationship Id="rId8" Type="http://schemas.openxmlformats.org/officeDocument/2006/relationships/hyperlink" Target="mailto:pedroafonsosantos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guindip@me.com" TargetMode="External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marianacsantos.mcs@gmail.com" TargetMode="External"/><Relationship Id="rId18" Type="http://schemas.openxmlformats.org/officeDocument/2006/relationships/hyperlink" Target="mailto:nmnunes@gamil.com" TargetMode="External"/><Relationship Id="rId26" Type="http://schemas.openxmlformats.org/officeDocument/2006/relationships/hyperlink" Target="mailto:orlandos.amaral@sapo.pt" TargetMode="External"/><Relationship Id="rId3" Type="http://schemas.openxmlformats.org/officeDocument/2006/relationships/hyperlink" Target="mailto:giovanayedid@gmail.com" TargetMode="External"/><Relationship Id="rId21" Type="http://schemas.openxmlformats.org/officeDocument/2006/relationships/hyperlink" Target="mailto:vlmota@sapo.pt" TargetMode="External"/><Relationship Id="rId34" Type="http://schemas.openxmlformats.org/officeDocument/2006/relationships/vmlDrawing" Target="../drawings/vmlDrawing8.vml"/><Relationship Id="rId7" Type="http://schemas.openxmlformats.org/officeDocument/2006/relationships/hyperlink" Target="mailto:vimartinechague@gmail.com" TargetMode="External"/><Relationship Id="rId12" Type="http://schemas.openxmlformats.org/officeDocument/2006/relationships/hyperlink" Target="mailto:borna@emhproductions.com" TargetMode="External"/><Relationship Id="rId17" Type="http://schemas.openxmlformats.org/officeDocument/2006/relationships/hyperlink" Target="mailto:nadav.aharon@gmail.com" TargetMode="External"/><Relationship Id="rId25" Type="http://schemas.openxmlformats.org/officeDocument/2006/relationships/hyperlink" Target="mailto:rodrigodiogoloureiro@gmail.com" TargetMode="External"/><Relationship Id="rId33" Type="http://schemas.openxmlformats.org/officeDocument/2006/relationships/printerSettings" Target="../printerSettings/printerSettings9.bin"/><Relationship Id="rId2" Type="http://schemas.openxmlformats.org/officeDocument/2006/relationships/hyperlink" Target="mailto:luiscrmendes@gmail.com" TargetMode="External"/><Relationship Id="rId16" Type="http://schemas.openxmlformats.org/officeDocument/2006/relationships/hyperlink" Target="mailto:nuno.portela@cat.com" TargetMode="External"/><Relationship Id="rId20" Type="http://schemas.openxmlformats.org/officeDocument/2006/relationships/hyperlink" Target="mailto:brennand.marcelo@gmail.com" TargetMode="External"/><Relationship Id="rId29" Type="http://schemas.openxmlformats.org/officeDocument/2006/relationships/hyperlink" Target="mailto:joanapinto@grupofdt.pt" TargetMode="External"/><Relationship Id="rId1" Type="http://schemas.openxmlformats.org/officeDocument/2006/relationships/hyperlink" Target="mailto:sagia@davideng.co.il" TargetMode="External"/><Relationship Id="rId6" Type="http://schemas.openxmlformats.org/officeDocument/2006/relationships/hyperlink" Target="mailto:p.sneto@hotmail.com" TargetMode="External"/><Relationship Id="rId11" Type="http://schemas.openxmlformats.org/officeDocument/2006/relationships/hyperlink" Target="mailto:mauromellosfc@hotmail.com" TargetMode="External"/><Relationship Id="rId24" Type="http://schemas.openxmlformats.org/officeDocument/2006/relationships/hyperlink" Target="mailto:danielr2816@gmqil.com" TargetMode="External"/><Relationship Id="rId32" Type="http://schemas.openxmlformats.org/officeDocument/2006/relationships/hyperlink" Target="mailto:mneto@marieladesign.com" TargetMode="External"/><Relationship Id="rId5" Type="http://schemas.openxmlformats.org/officeDocument/2006/relationships/hyperlink" Target="mailto:jmiguellobo@gmail.com" TargetMode="External"/><Relationship Id="rId15" Type="http://schemas.openxmlformats.org/officeDocument/2006/relationships/hyperlink" Target="mailto:a.rita.vidal@gmail.com" TargetMode="External"/><Relationship Id="rId23" Type="http://schemas.openxmlformats.org/officeDocument/2006/relationships/hyperlink" Target="mailto:josepedro_costa@yahoo.com" TargetMode="External"/><Relationship Id="rId28" Type="http://schemas.openxmlformats.org/officeDocument/2006/relationships/hyperlink" Target="mailto:nmnunes@gmail.com" TargetMode="External"/><Relationship Id="rId10" Type="http://schemas.openxmlformats.org/officeDocument/2006/relationships/hyperlink" Target="mailto:peterilchenko@gmail.com" TargetMode="External"/><Relationship Id="rId19" Type="http://schemas.openxmlformats.org/officeDocument/2006/relationships/hyperlink" Target="mailto:valdeira@me.com" TargetMode="External"/><Relationship Id="rId31" Type="http://schemas.openxmlformats.org/officeDocument/2006/relationships/hyperlink" Target="mailto:joaoantonio@merc.com.br" TargetMode="External"/><Relationship Id="rId4" Type="http://schemas.openxmlformats.org/officeDocument/2006/relationships/hyperlink" Target="mailto:joanapinto@grupoftd.pt" TargetMode="External"/><Relationship Id="rId9" Type="http://schemas.openxmlformats.org/officeDocument/2006/relationships/hyperlink" Target="mailto:merav1275@gmail.com" TargetMode="External"/><Relationship Id="rId14" Type="http://schemas.openxmlformats.org/officeDocument/2006/relationships/hyperlink" Target="mailto:dra.thaisfalavigna@gmail.com" TargetMode="External"/><Relationship Id="rId22" Type="http://schemas.openxmlformats.org/officeDocument/2006/relationships/hyperlink" Target="mailto:v.dias@premaq.pt" TargetMode="External"/><Relationship Id="rId27" Type="http://schemas.openxmlformats.org/officeDocument/2006/relationships/hyperlink" Target="mailto:nmnunes@gmail.com" TargetMode="External"/><Relationship Id="rId30" Type="http://schemas.openxmlformats.org/officeDocument/2006/relationships/hyperlink" Target="mailto:fredbmm@gmail.com" TargetMode="External"/><Relationship Id="rId35" Type="http://schemas.openxmlformats.org/officeDocument/2006/relationships/comments" Target="../comments8.xml"/><Relationship Id="rId8" Type="http://schemas.openxmlformats.org/officeDocument/2006/relationships/hyperlink" Target="mailto:cnfreitas@gamail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haim.k.nadlan@gmail.com" TargetMode="External"/><Relationship Id="rId13" Type="http://schemas.openxmlformats.org/officeDocument/2006/relationships/hyperlink" Target="mailto:tfw815@gmail.com" TargetMode="External"/><Relationship Id="rId18" Type="http://schemas.openxmlformats.org/officeDocument/2006/relationships/hyperlink" Target="mailto:dgarib@usp.br" TargetMode="External"/><Relationship Id="rId26" Type="http://schemas.openxmlformats.org/officeDocument/2006/relationships/comments" Target="../comments9.xml"/><Relationship Id="rId3" Type="http://schemas.openxmlformats.org/officeDocument/2006/relationships/hyperlink" Target="mailto:faa010@gmail.com" TargetMode="External"/><Relationship Id="rId21" Type="http://schemas.openxmlformats.org/officeDocument/2006/relationships/hyperlink" Target="mailto:jfernandesilv@gmail.com" TargetMode="External"/><Relationship Id="rId7" Type="http://schemas.openxmlformats.org/officeDocument/2006/relationships/hyperlink" Target="mailto:oscarbrandao@sapo.pt" TargetMode="External"/><Relationship Id="rId12" Type="http://schemas.openxmlformats.org/officeDocument/2006/relationships/hyperlink" Target="mailto:jffininha@gmail.com" TargetMode="External"/><Relationship Id="rId17" Type="http://schemas.openxmlformats.org/officeDocument/2006/relationships/hyperlink" Target="mailto:taniapclourenco@gmail.com" TargetMode="External"/><Relationship Id="rId25" Type="http://schemas.openxmlformats.org/officeDocument/2006/relationships/vmlDrawing" Target="../drawings/vmlDrawing9.vml"/><Relationship Id="rId2" Type="http://schemas.openxmlformats.org/officeDocument/2006/relationships/hyperlink" Target="mailto:rosa.maria.bessa@gmail.com" TargetMode="External"/><Relationship Id="rId16" Type="http://schemas.openxmlformats.org/officeDocument/2006/relationships/hyperlink" Target="mailto:almoatasemalmusrati@yahoo.com" TargetMode="External"/><Relationship Id="rId20" Type="http://schemas.openxmlformats.org/officeDocument/2006/relationships/hyperlink" Target="mailto:faissalyunesjr@gmail.com" TargetMode="External"/><Relationship Id="rId1" Type="http://schemas.openxmlformats.org/officeDocument/2006/relationships/hyperlink" Target="mailto:s&#233;rgios.nunes@terra.com.br/felipe.ferreira@va.pt" TargetMode="External"/><Relationship Id="rId6" Type="http://schemas.openxmlformats.org/officeDocument/2006/relationships/hyperlink" Target="mailto:amir.francos@gmail.com" TargetMode="External"/><Relationship Id="rId11" Type="http://schemas.openxmlformats.org/officeDocument/2006/relationships/hyperlink" Target="mailto:hazel@hartintl.com" TargetMode="External"/><Relationship Id="rId24" Type="http://schemas.openxmlformats.org/officeDocument/2006/relationships/printerSettings" Target="../printerSettings/printerSettings10.bin"/><Relationship Id="rId5" Type="http://schemas.openxmlformats.org/officeDocument/2006/relationships/hyperlink" Target="mailto:karin.leitzke@outlook.com" TargetMode="External"/><Relationship Id="rId15" Type="http://schemas.openxmlformats.org/officeDocument/2006/relationships/hyperlink" Target="mailto:brunoxavier2908@gmail.com" TargetMode="External"/><Relationship Id="rId23" Type="http://schemas.openxmlformats.org/officeDocument/2006/relationships/hyperlink" Target="mailto:albsalvador@yahoo.com.br" TargetMode="External"/><Relationship Id="rId10" Type="http://schemas.openxmlformats.org/officeDocument/2006/relationships/hyperlink" Target="mailto:ttaleco@gmail.com" TargetMode="External"/><Relationship Id="rId19" Type="http://schemas.openxmlformats.org/officeDocument/2006/relationships/hyperlink" Target="mailto:josecoutinhocosta99@gmail.com" TargetMode="External"/><Relationship Id="rId4" Type="http://schemas.openxmlformats.org/officeDocument/2006/relationships/hyperlink" Target="mailto:haim.lider7@gmail.com/liderm100@gmail.com" TargetMode="External"/><Relationship Id="rId9" Type="http://schemas.openxmlformats.org/officeDocument/2006/relationships/hyperlink" Target="mailto:gloriamd23@aol.com" TargetMode="External"/><Relationship Id="rId14" Type="http://schemas.openxmlformats.org/officeDocument/2006/relationships/hyperlink" Target="mailto:Carlossantos50@gmail.com" TargetMode="External"/><Relationship Id="rId22" Type="http://schemas.openxmlformats.org/officeDocument/2006/relationships/hyperlink" Target="mailto:juan.antonio.vizcaino@googlemail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8287-3394-4895-B3DD-F51154EAA7CD}">
  <dimension ref="A1:Z113"/>
  <sheetViews>
    <sheetView zoomScale="115" zoomScaleNormal="115" workbookViewId="0">
      <selection activeCell="G20" sqref="G20"/>
    </sheetView>
  </sheetViews>
  <sheetFormatPr defaultColWidth="8.7109375" defaultRowHeight="12.75"/>
  <cols>
    <col min="1" max="1" width="18.85546875" style="4" bestFit="1" customWidth="1"/>
    <col min="2" max="7" width="11.28515625" style="4" customWidth="1"/>
    <col min="8" max="8" width="15.28515625" style="4" bestFit="1" customWidth="1"/>
    <col min="9" max="9" width="11.7109375" style="739" bestFit="1" customWidth="1"/>
    <col min="10" max="13" width="11.28515625" style="4" customWidth="1"/>
    <col min="14" max="14" width="11.42578125" style="4" customWidth="1"/>
    <col min="15" max="15" width="10.5703125" style="4" customWidth="1"/>
    <col min="16" max="16" width="11.5703125" style="4" customWidth="1"/>
    <col min="17" max="17" width="11.42578125" style="4" customWidth="1"/>
    <col min="18" max="18" width="11" style="4" customWidth="1"/>
    <col min="19" max="19" width="13.140625" style="1" customWidth="1"/>
    <col min="20" max="21" width="11" style="1" customWidth="1"/>
    <col min="22" max="22" width="13.140625" style="1" bestFit="1" customWidth="1"/>
    <col min="23" max="23" width="10.28515625" style="1" hidden="1" customWidth="1"/>
    <col min="24" max="24" width="12" style="1" customWidth="1"/>
    <col min="25" max="16384" width="8.7109375" style="1"/>
  </cols>
  <sheetData>
    <row r="1" spans="1:24" s="3" customFormat="1" ht="29.25" customHeight="1" thickBot="1">
      <c r="A1" s="742" t="s">
        <v>9</v>
      </c>
      <c r="B1" s="742" t="s">
        <v>17404</v>
      </c>
      <c r="C1" s="742" t="s">
        <v>17397</v>
      </c>
      <c r="D1" s="742" t="s">
        <v>17472</v>
      </c>
      <c r="E1" s="742" t="s">
        <v>17396</v>
      </c>
      <c r="F1" s="742" t="s">
        <v>17398</v>
      </c>
      <c r="G1" s="742" t="s">
        <v>10</v>
      </c>
      <c r="H1" s="742" t="s">
        <v>259</v>
      </c>
      <c r="I1" s="742" t="s">
        <v>17405</v>
      </c>
      <c r="J1" s="743" t="s">
        <v>260</v>
      </c>
      <c r="K1" s="1223" t="s">
        <v>17406</v>
      </c>
      <c r="L1" s="742" t="s">
        <v>17407</v>
      </c>
      <c r="M1" s="742" t="s">
        <v>17408</v>
      </c>
      <c r="N1" s="742" t="s">
        <v>17402</v>
      </c>
      <c r="O1" s="742" t="s">
        <v>17409</v>
      </c>
      <c r="P1" s="742" t="s">
        <v>17815</v>
      </c>
      <c r="Q1" s="742" t="s">
        <v>17816</v>
      </c>
      <c r="R1" s="1212" t="s">
        <v>17561</v>
      </c>
      <c r="S1" s="1223" t="s">
        <v>17401</v>
      </c>
      <c r="T1" s="1213" t="s">
        <v>18380</v>
      </c>
      <c r="U1" s="1212" t="s">
        <v>17562</v>
      </c>
      <c r="V1" s="1212" t="s">
        <v>17610</v>
      </c>
      <c r="W1" s="1262" t="s">
        <v>17611</v>
      </c>
      <c r="X1" s="1213" t="s">
        <v>17612</v>
      </c>
    </row>
    <row r="2" spans="1:24">
      <c r="A2" s="744" t="s">
        <v>209</v>
      </c>
      <c r="B2" s="744">
        <f>'PANORAMA (SETUBAL)'!G93</f>
        <v>77</v>
      </c>
      <c r="C2" s="745">
        <f>'PANORAMA (SETUBAL)'!C82</f>
        <v>76</v>
      </c>
      <c r="D2" s="1430">
        <f>C2/B2</f>
        <v>0.98701298701298701</v>
      </c>
      <c r="E2" s="745">
        <f>'PANORAMA (SETUBAL)'!C83</f>
        <v>0</v>
      </c>
      <c r="F2" s="745">
        <f>'PANORAMA (SETUBAL)'!C85</f>
        <v>1</v>
      </c>
      <c r="G2" s="745">
        <f>'PANORAMA (SETUBAL)'!C84</f>
        <v>0</v>
      </c>
      <c r="H2" s="746">
        <f>'PANORAMA (SETUBAL)'!D82</f>
        <v>23838560</v>
      </c>
      <c r="I2" s="746">
        <f>'PANORAMA (SETUBAL)'!D86</f>
        <v>24458560</v>
      </c>
      <c r="J2" s="1316">
        <f>'PANORAMA (SETUBAL)'!G103</f>
        <v>313665.26315789472</v>
      </c>
      <c r="K2" s="1327">
        <f>'PANORAMA (SETUBAL)'!G97</f>
        <v>3224.9652765642327</v>
      </c>
      <c r="L2" s="1321" t="e">
        <f>'PANORAMA (SETUBAL)'!E83</f>
        <v>#DIV/0!</v>
      </c>
      <c r="M2" s="746">
        <f>'PANORAMA (SETUBAL)'!E85</f>
        <v>3445.727020613228</v>
      </c>
      <c r="N2" s="746">
        <v>2700</v>
      </c>
      <c r="O2" s="747" t="s">
        <v>17391</v>
      </c>
      <c r="P2" s="745">
        <v>12</v>
      </c>
      <c r="Q2" s="1218">
        <f>'PANORAMA (SETUBAL)'!H85</f>
        <v>11</v>
      </c>
      <c r="R2" s="1215">
        <f>Q2/P2</f>
        <v>0.91666666666666663</v>
      </c>
      <c r="S2" s="1228">
        <f ca="1">COUNTIFS('PANORAMA (SETUBAL)'!AC2:AC78,"&gt;="&amp;EOMONTH(TODAY(),-1)+1,'PANORAMA (SETUBAL)'!AC2:AC78,"&lt;"&amp;EOMONTH(TODAY(),0)+1)</f>
        <v>0</v>
      </c>
      <c r="T2" s="1218">
        <v>0</v>
      </c>
      <c r="U2" s="1215" t="e">
        <f ca="1">S2/T2</f>
        <v>#DIV/0!</v>
      </c>
      <c r="V2" s="1257">
        <f ca="1">SUMIFS('PANORAMA (SETUBAL)'!R2:R78,'PANORAMA (SETUBAL)'!AC2:AC78,"&gt;="&amp;EOMONTH(TODAY(),-1)+1,'PANORAMA (SETUBAL)'!AC2:AC78,"&lt;"&amp;EOMONTH(TODAY(),0)+1,'PANORAMA (SETUBAL)'!Q2:Q78,'PANORAMA (SETUBAL)'!Q2)</f>
        <v>0</v>
      </c>
      <c r="W2" s="1264" t="e">
        <f ca="1">V2/S2</f>
        <v>#DIV/0!</v>
      </c>
      <c r="X2" s="1257" t="e">
        <f t="shared" ref="X2:X17" ca="1" si="0">V2/S2</f>
        <v>#DIV/0!</v>
      </c>
    </row>
    <row r="3" spans="1:24">
      <c r="A3" s="1124" t="s">
        <v>17316</v>
      </c>
      <c r="B3" s="1124">
        <f>'VERDE VALE H1 (MAIA)'!C73</f>
        <v>64</v>
      </c>
      <c r="C3" s="126">
        <f>'VERDE VALE H1 (MAIA)'!C69</f>
        <v>64</v>
      </c>
      <c r="D3" s="550">
        <f t="shared" ref="D3:D16" si="1">C3/B3</f>
        <v>1</v>
      </c>
      <c r="E3" s="126">
        <f>'VERDE VALE H1 (MAIA)'!C70</f>
        <v>0</v>
      </c>
      <c r="F3" s="126">
        <f>'VERDE VALE H1 (MAIA)'!C72</f>
        <v>0</v>
      </c>
      <c r="G3" s="126">
        <f>'VERDE VALE H1 (MAIA)'!C71</f>
        <v>0</v>
      </c>
      <c r="H3" s="276">
        <f>'VERDE VALE H1 (MAIA)'!D69</f>
        <v>19176340</v>
      </c>
      <c r="I3" s="276">
        <f>'VERDE VALE H1 (MAIA)'!D73</f>
        <v>19176340</v>
      </c>
      <c r="J3" s="448">
        <f>'VERDE VALE H1 (MAIA)'!H90</f>
        <v>299630.3125</v>
      </c>
      <c r="K3" s="1328">
        <f>'VERDE VALE H1 (MAIA)'!E69</f>
        <v>2803.7764996629762</v>
      </c>
      <c r="L3" s="1322" t="e">
        <f>'VERDE VALE H1 (MAIA)'!E70</f>
        <v>#DIV/0!</v>
      </c>
      <c r="M3" s="276" t="e">
        <f>'VERDE VALE H1 (MAIA)'!E72</f>
        <v>#DIV/0!</v>
      </c>
      <c r="N3" s="276">
        <v>2550</v>
      </c>
      <c r="O3" s="1130" t="s">
        <v>17436</v>
      </c>
      <c r="P3" s="126">
        <v>1</v>
      </c>
      <c r="Q3" s="537">
        <f>'VERDE VALE H1 (MAIA)'!H72</f>
        <v>1</v>
      </c>
      <c r="R3" s="1216">
        <f t="shared" ref="R3:R16" si="2">Q3/P3</f>
        <v>1</v>
      </c>
      <c r="S3" s="1229">
        <f ca="1">COUNTIFS('VERDE VALE H1 (MAIA)'!AB2:AB65,"&gt;="&amp;EOMONTH(TODAY(),-1)+1,'VERDE VALE H1 (MAIA)'!AB2:AB65,"&lt;"&amp;EOMONTH(TODAY(),0)+1)</f>
        <v>0</v>
      </c>
      <c r="T3" s="537">
        <v>0</v>
      </c>
      <c r="U3" s="1216" t="e">
        <f ca="1">S3/T3</f>
        <v>#DIV/0!</v>
      </c>
      <c r="V3" s="1258">
        <f ca="1">SUMIFS('VERDE VALE H1 (MAIA)'!R2:R65,'VERDE VALE H1 (MAIA)'!AB2:AB65,"&gt;="&amp;EOMONTH(TODAY(),-1)+1,'VERDE VALE H1 (MAIA)'!AB2:AB65,"&lt;"&amp;EOMONTH(TODAY(),0)+1,'VERDE VALE H1 (MAIA)'!J2:J65,'VERDE VALE H1 (MAIA)'!J3)</f>
        <v>0</v>
      </c>
      <c r="W3" s="1263"/>
      <c r="X3" s="1258" t="e">
        <f t="shared" ca="1" si="0"/>
        <v>#DIV/0!</v>
      </c>
    </row>
    <row r="4" spans="1:24">
      <c r="A4" s="1124" t="s">
        <v>17386</v>
      </c>
      <c r="B4" s="1124">
        <f>'VERDE VALE H3 A&amp;B (MAIA)'!C65</f>
        <v>56</v>
      </c>
      <c r="C4" s="126">
        <f>'VERDE VALE H3 A&amp;B (MAIA)'!C61</f>
        <v>56</v>
      </c>
      <c r="D4" s="550">
        <f t="shared" si="1"/>
        <v>1</v>
      </c>
      <c r="E4" s="126">
        <f>'VERDE VALE H3 A&amp;B (MAIA)'!C62</f>
        <v>0</v>
      </c>
      <c r="F4" s="126">
        <f>'VERDE VALE H3 A&amp;B (MAIA)'!C64</f>
        <v>0</v>
      </c>
      <c r="G4" s="126">
        <f>'VERDE VALE H3 A&amp;B (MAIA)'!C63</f>
        <v>0</v>
      </c>
      <c r="H4" s="276">
        <f>'VERDE VALE H3 A&amp;B (MAIA)'!D61</f>
        <v>20851972</v>
      </c>
      <c r="I4" s="276">
        <f>'VERDE VALE H3 A&amp;B (MAIA)'!D65</f>
        <v>20851972</v>
      </c>
      <c r="J4" s="448">
        <f>'VERDE VALE H3 A&amp;B (MAIA)'!G82</f>
        <v>372356.64285714284</v>
      </c>
      <c r="K4" s="1328">
        <f>'VERDE VALE H3 A&amp;B (MAIA)'!E61</f>
        <v>3268.6119136167822</v>
      </c>
      <c r="L4" s="1322" t="e">
        <f>'VERDE VALE H3 A&amp;B (MAIA)'!E62</f>
        <v>#DIV/0!</v>
      </c>
      <c r="M4" s="276" t="e">
        <f>'VERDE VALE H3 A&amp;B (MAIA)'!E64</f>
        <v>#DIV/0!</v>
      </c>
      <c r="N4" s="276">
        <v>2550</v>
      </c>
      <c r="O4" s="1130" t="s">
        <v>17436</v>
      </c>
      <c r="P4" s="126">
        <v>6</v>
      </c>
      <c r="Q4" s="277">
        <f>'VERDE VALE H3 A&amp;B (MAIA)'!H62</f>
        <v>6</v>
      </c>
      <c r="R4" s="1216">
        <f t="shared" si="2"/>
        <v>1</v>
      </c>
      <c r="S4" s="1230">
        <f ca="1">COUNTIFS('VERDE VALE H3 A&amp;B (MAIA)'!AC2:AC57,"&gt;="&amp;EOMONTH(TODAY(),-1)+1,'VERDE VALE H3 A&amp;B (MAIA)'!AC2:AC57,"&lt;"&amp;EOMONTH(TODAY(),0)+1)</f>
        <v>0</v>
      </c>
      <c r="T4" s="277">
        <v>0</v>
      </c>
      <c r="U4" s="1216" t="e">
        <f t="shared" ref="U4:U16" ca="1" si="3">S4/T4</f>
        <v>#DIV/0!</v>
      </c>
      <c r="V4" s="1258">
        <f ca="1">SUMIFS('VERDE VALE H3 A&amp;B (MAIA)'!S2:S57,'VERDE VALE H3 A&amp;B (MAIA)'!AC2:AC57,"&gt;="&amp;EOMONTH(TODAY(),-1)+1,'VERDE VALE H3 A&amp;B (MAIA)'!AC2:AC57,"&lt;"&amp;EOMONTH(TODAY(),0)+1,'VERDE VALE H3 A&amp;B (MAIA)'!Q2:Q57,'VERDE VALE H3 A&amp;B (MAIA)'!Q55)</f>
        <v>0</v>
      </c>
      <c r="W4" s="1263"/>
      <c r="X4" s="1258" t="e">
        <f t="shared" ca="1" si="0"/>
        <v>#DIV/0!</v>
      </c>
    </row>
    <row r="5" spans="1:24">
      <c r="A5" s="1124" t="s">
        <v>17425</v>
      </c>
      <c r="B5" s="1124">
        <f>'VERDE VALE H2 (MAIA)'!C63</f>
        <v>54</v>
      </c>
      <c r="C5" s="126">
        <f>'VERDE VALE H2 (MAIA)'!C59</f>
        <v>53</v>
      </c>
      <c r="D5" s="550">
        <f t="shared" si="1"/>
        <v>0.98148148148148151</v>
      </c>
      <c r="E5" s="126">
        <f>'VERDE VALE H2 (MAIA)'!C60</f>
        <v>0</v>
      </c>
      <c r="F5" s="126">
        <f>'VERDE VALE H2 (MAIA)'!C62</f>
        <v>0</v>
      </c>
      <c r="G5" s="126">
        <f>'VERDE VALE H2 (MAIA)'!C61</f>
        <v>1</v>
      </c>
      <c r="H5" s="276">
        <f>'VERDE VALE H2 (MAIA)'!D59</f>
        <v>19448392</v>
      </c>
      <c r="I5" s="276">
        <f>'VERDE VALE H2 (MAIA)'!D63</f>
        <v>20197192</v>
      </c>
      <c r="J5" s="448">
        <f>'VERDE VALE H2 (MAIA)'!G80</f>
        <v>366950.79245283018</v>
      </c>
      <c r="K5" s="1328">
        <f>'VERDE VALE H2 (MAIA)'!E59</f>
        <v>3282.694147342464</v>
      </c>
      <c r="L5" s="1322" t="e">
        <f>'VERDE VALE H2 (MAIA)'!E60</f>
        <v>#DIV/0!</v>
      </c>
      <c r="M5" s="276" t="e">
        <f>'VERDE VALE H2 (MAIA)'!E62</f>
        <v>#DIV/0!</v>
      </c>
      <c r="N5" s="276">
        <v>2550</v>
      </c>
      <c r="O5" s="1130" t="s">
        <v>17400</v>
      </c>
      <c r="P5" s="126">
        <v>6</v>
      </c>
      <c r="Q5" s="277">
        <f>'VERDE VALE H2 (MAIA)'!H60</f>
        <v>7</v>
      </c>
      <c r="R5" s="1216">
        <f t="shared" si="2"/>
        <v>1.1666666666666667</v>
      </c>
      <c r="S5" s="1230">
        <f ca="1">COUNTIFS('VERDE VALE H2 (MAIA)'!AB2:AB55,"&gt;="&amp;EOMONTH(TODAY(),-1)+1,'VERDE VALE H2 (MAIA)'!AB2:AB55,"&lt;"&amp;EOMONTH(TODAY(),0)+1)</f>
        <v>0</v>
      </c>
      <c r="T5" s="277">
        <v>0</v>
      </c>
      <c r="U5" s="1216" t="e">
        <f t="shared" ca="1" si="3"/>
        <v>#DIV/0!</v>
      </c>
      <c r="V5" s="1258">
        <f ca="1">SUMIFS('VERDE VALE H2 (MAIA)'!R2:R55,'VERDE VALE H2 (MAIA)'!AB2:AB55,"&gt;="&amp;EOMONTH(TODAY(),-1)+1,'VERDE VALE H2 (MAIA)'!AB2:AB55,"&lt;"&amp;EOMONTH(TODAY(),0)+1,'VERDE VALE H2 (MAIA)'!J2:J55,'VERDE VALE H2 (MAIA)'!J50)</f>
        <v>0</v>
      </c>
      <c r="W5" s="1263"/>
      <c r="X5" s="1258" t="e">
        <f t="shared" ca="1" si="0"/>
        <v>#DIV/0!</v>
      </c>
    </row>
    <row r="6" spans="1:24">
      <c r="A6" s="1124" t="s">
        <v>17426</v>
      </c>
      <c r="B6" s="1124">
        <f>'VERDE VALE H4 A&amp;B (MAIA)'!C91</f>
        <v>80</v>
      </c>
      <c r="C6" s="126">
        <f>'VERDE VALE H4 A&amp;B (MAIA)'!C87</f>
        <v>76</v>
      </c>
      <c r="D6" s="550">
        <f t="shared" si="1"/>
        <v>0.95</v>
      </c>
      <c r="E6" s="126">
        <f>'VERDE VALE H4 A&amp;B (MAIA)'!C88</f>
        <v>0</v>
      </c>
      <c r="F6" s="126">
        <f>'VERDE VALE H4 A&amp;B (MAIA)'!C90</f>
        <v>1</v>
      </c>
      <c r="G6" s="126">
        <f>'VERDE VALE H4 A&amp;B (MAIA)'!C89</f>
        <v>3</v>
      </c>
      <c r="H6" s="276">
        <f>'VERDE VALE H4 A&amp;B (MAIA)'!D87</f>
        <v>29531403</v>
      </c>
      <c r="I6" s="276">
        <f>'VERDE VALE H4 A&amp;B (MAIA)'!D91</f>
        <v>32747403</v>
      </c>
      <c r="J6" s="448">
        <f>'VERDE VALE H4 A&amp;B (MAIA)'!H108</f>
        <v>388571.09210526315</v>
      </c>
      <c r="K6" s="1328">
        <f>'VERDE VALE H4 A&amp;B (MAIA)'!E87</f>
        <v>3550.731500150283</v>
      </c>
      <c r="L6" s="1322" t="e">
        <f>'VERDE VALE H4 A&amp;B (MAIA)'!E88</f>
        <v>#DIV/0!</v>
      </c>
      <c r="M6" s="276">
        <f>'VERDE VALE H4 A&amp;B (MAIA)'!E90</f>
        <v>4027.9016101117109</v>
      </c>
      <c r="N6" s="276">
        <v>2550</v>
      </c>
      <c r="O6" s="1130" t="s">
        <v>17400</v>
      </c>
      <c r="P6" s="126">
        <v>40</v>
      </c>
      <c r="Q6" s="277">
        <f>'VERDE VALE H4 A&amp;B (MAIA)'!H88</f>
        <v>40</v>
      </c>
      <c r="R6" s="1216">
        <f t="shared" si="2"/>
        <v>1</v>
      </c>
      <c r="S6" s="1230">
        <f ca="1">COUNTIFS('VERDE VALE H4 A&amp;B (MAIA)'!AC4:AC83,"&gt;="&amp;EOMONTH(TODAY(),-1)+1,'VERDE VALE H4 A&amp;B (MAIA)'!AC4:AC83,"&lt;"&amp;EOMONTH(TODAY(),0)+1)</f>
        <v>0</v>
      </c>
      <c r="T6" s="277">
        <v>1</v>
      </c>
      <c r="U6" s="1216">
        <f t="shared" ca="1" si="3"/>
        <v>0</v>
      </c>
      <c r="V6" s="1258" cm="1">
        <f t="array" aca="1" ref="V6:W6" ca="1">SUMIFS('VERDE VALE H4 A&amp;B (MAIA)'!S4:S83,'VERDE VALE H4 A&amp;B (MAIA)'!AC4:AC83,"&gt;="&amp;EOMONTH(TODAY(),-1)+1,'VERDE VALE H4 A&amp;B (MAIA)'!AC4:AC83,"&lt;"&amp;EOMONTH(TODAY(),0)+1,'VERDE VALE H4 A&amp;B (MAIA)'!K4:K83,'VERDE VALE H4 A&amp;B (MAIA)'!A87:B87)</f>
        <v>0</v>
      </c>
      <c r="W6" s="1263">
        <f ca="1"/>
        <v>0</v>
      </c>
      <c r="X6" s="1258" t="e">
        <f t="shared" ca="1" si="0"/>
        <v>#DIV/0!</v>
      </c>
    </row>
    <row r="7" spans="1:24">
      <c r="A7" s="1125" t="s">
        <v>17317</v>
      </c>
      <c r="B7" s="1125">
        <f>'SAL D''OURO OCEAN (8)'!C40</f>
        <v>31</v>
      </c>
      <c r="C7" s="1126">
        <f>'SAL D''OURO OCEAN (8)'!C36</f>
        <v>31</v>
      </c>
      <c r="D7" s="1431">
        <f t="shared" si="1"/>
        <v>1</v>
      </c>
      <c r="E7" s="1126">
        <f>'SAL D''OURO OCEAN (8)'!C37</f>
        <v>0</v>
      </c>
      <c r="F7" s="1126">
        <f>'SAL D''OURO OCEAN (8)'!C39</f>
        <v>0</v>
      </c>
      <c r="G7" s="1126">
        <f>'SAL D''OURO OCEAN (8)'!C38</f>
        <v>0</v>
      </c>
      <c r="H7" s="1127">
        <f>'SAL D''OURO OCEAN (8)'!D36</f>
        <v>15514480</v>
      </c>
      <c r="I7" s="1127">
        <f>'SAL D''OURO OCEAN (8)'!D40</f>
        <v>15514480</v>
      </c>
      <c r="J7" s="1317">
        <f>'SAL D''OURO OCEAN (8)'!G57</f>
        <v>500467.09677419357</v>
      </c>
      <c r="K7" s="1329">
        <f>'SAL D''OURO OCEAN (8)'!E36</f>
        <v>4449.2005647352762</v>
      </c>
      <c r="L7" s="1323" t="e">
        <f>'SAL D''OURO OCEAN (8)'!E37</f>
        <v>#DIV/0!</v>
      </c>
      <c r="M7" s="1127" t="e">
        <f>'SAL D''OURO OCEAN (8)'!E39</f>
        <v>#DIV/0!</v>
      </c>
      <c r="N7" s="1127">
        <v>3600</v>
      </c>
      <c r="O7" s="1126" t="s">
        <v>17391</v>
      </c>
      <c r="P7" s="1126">
        <v>6</v>
      </c>
      <c r="Q7" s="1219">
        <f>'SAL D''OURO OCEAN (8)'!H39</f>
        <v>6</v>
      </c>
      <c r="R7" s="1217">
        <f t="shared" si="2"/>
        <v>1</v>
      </c>
      <c r="S7" s="1231">
        <f ca="1">COUNTIFS('SAL D''OURO OCEAN (8)'!W2:W32,"&gt;="&amp;EOMONTH(TODAY(),-1)+1,'SAL D''OURO OCEAN (8)'!W2:W32,"&lt;"&amp;EOMONTH(TODAY(),0)+1)</f>
        <v>0</v>
      </c>
      <c r="T7" s="1219">
        <v>0</v>
      </c>
      <c r="U7" s="1217" t="e">
        <f t="shared" ca="1" si="3"/>
        <v>#DIV/0!</v>
      </c>
      <c r="V7" s="1259" cm="1">
        <f t="array" aca="1" ref="V7:W7" ca="1">SUMIFS('SAL D''OURO OCEAN (8)'!N2:N32,'SAL D''OURO OCEAN (8)'!W2:W32,"&gt;="&amp;EOMONTH(TODAY(),-1)+1,'SAL D''OURO OCEAN (8)'!W2:W32,"&lt;"&amp;EOMONTH(TODAY(),0)+1,'SAL D''OURO OCEAN (8)'!K2:K32,'SAL D''OURO OCEAN (8)'!A36:B36)</f>
        <v>0</v>
      </c>
      <c r="W7" s="1263">
        <f ca="1"/>
        <v>0</v>
      </c>
      <c r="X7" s="1259" t="e">
        <f t="shared" ca="1" si="0"/>
        <v>#DIV/0!</v>
      </c>
    </row>
    <row r="8" spans="1:24">
      <c r="A8" s="1125" t="s">
        <v>17318</v>
      </c>
      <c r="B8" s="1125">
        <f>'SAL D''OURO PARK (12,2)'!C46</f>
        <v>37</v>
      </c>
      <c r="C8" s="1128">
        <f>'SAL D''OURO PARK (12,2)'!C42</f>
        <v>35</v>
      </c>
      <c r="D8" s="1431">
        <f t="shared" si="1"/>
        <v>0.94594594594594594</v>
      </c>
      <c r="E8" s="1128">
        <f>'SAL D''OURO PARK (12,2)'!C43</f>
        <v>0</v>
      </c>
      <c r="F8" s="1128">
        <f>'SAL D''OURO PARK (12,2)'!C45</f>
        <v>1</v>
      </c>
      <c r="G8" s="1128">
        <f>'SAL D''OURO PARK (12,2)'!C44</f>
        <v>1</v>
      </c>
      <c r="H8" s="1129">
        <f>'SAL D''OURO PARK (12,2)'!D42</f>
        <v>14869817</v>
      </c>
      <c r="I8" s="1129">
        <f>'SAL D''OURO PARK (12,2)'!D46</f>
        <v>15705673</v>
      </c>
      <c r="J8" s="1318">
        <f>'SAL D''OURO PARK (12,2)'!G63</f>
        <v>424851.91428571427</v>
      </c>
      <c r="K8" s="1330">
        <f>'SAL D''OURO PARK (12,2)'!E42</f>
        <v>4320.9015190665577</v>
      </c>
      <c r="L8" s="1324" t="e">
        <f>'SAL D''OURO PARK (12,2)'!E43</f>
        <v>#DIV/0!</v>
      </c>
      <c r="M8" s="1129">
        <f>'SAL D''OURO PARK (12,2)'!E45</f>
        <v>4212.5697646202379</v>
      </c>
      <c r="N8" s="1129">
        <v>3600</v>
      </c>
      <c r="O8" s="1128" t="s">
        <v>17399</v>
      </c>
      <c r="P8" s="1128">
        <v>13</v>
      </c>
      <c r="Q8" s="1220">
        <f>'SAL D''OURO PARK (12,2)'!H44</f>
        <v>11</v>
      </c>
      <c r="R8" s="1217">
        <f t="shared" si="2"/>
        <v>0.84615384615384615</v>
      </c>
      <c r="S8" s="1232">
        <f ca="1">COUNTIFS('SAL D''OURO PARK (12,2)'!AA2:AA38,"&gt;="&amp;EOMONTH(TODAY(),-1)+1,'SAL D''OURO PARK (12,2)'!AA2:AA38,"&lt;"&amp;EOMONTH(TODAY(),0)+1)</f>
        <v>0</v>
      </c>
      <c r="T8" s="1219">
        <v>0</v>
      </c>
      <c r="U8" s="1217" t="e">
        <f t="shared" ca="1" si="3"/>
        <v>#DIV/0!</v>
      </c>
      <c r="V8" s="1259" cm="1">
        <f t="array" aca="1" ref="V8:W8" ca="1">SUMIFS('SAL D''OURO PARK (12,2)'!P2:P38,'SAL D''OURO PARK (12,2)'!AA2:AA38,"&gt;="&amp;EOMONTH(TODAY(),-1)+1,'SAL D''OURO PARK (12,2)'!AA2:AA38,"&lt;"&amp;EOMONTH(TODAY(),0)+1,'SAL D''OURO PARK (12,2)'!M2:M38,'SAL D''OURO PARK (12,2)'!A42:B42)</f>
        <v>0</v>
      </c>
      <c r="W8" s="1263">
        <f ca="1"/>
        <v>0</v>
      </c>
      <c r="X8" s="1259" t="e">
        <f t="shared" ca="1" si="0"/>
        <v>#DIV/0!</v>
      </c>
    </row>
    <row r="9" spans="1:24">
      <c r="A9" s="1125" t="s">
        <v>17319</v>
      </c>
      <c r="B9" s="1125">
        <f>'SAL D''OURO RESERVE (6)'!C34</f>
        <v>25</v>
      </c>
      <c r="C9" s="1128">
        <f>'SAL D''OURO RESERVE (6)'!C30</f>
        <v>18</v>
      </c>
      <c r="D9" s="1431">
        <f t="shared" si="1"/>
        <v>0.72</v>
      </c>
      <c r="E9" s="1128">
        <f>'SAL D''OURO RESERVE (6)'!C31</f>
        <v>0</v>
      </c>
      <c r="F9" s="1128">
        <f>'SAL D''OURO RESERVE (6)'!C33</f>
        <v>0</v>
      </c>
      <c r="G9" s="1128">
        <f>'SAL D''OURO RESERVE (6)'!C32</f>
        <v>7</v>
      </c>
      <c r="H9" s="1129">
        <f>'SAL D''OURO RESERVE (6)'!D30</f>
        <v>10808865</v>
      </c>
      <c r="I9" s="1129">
        <f>'SAL D''OURO RESERVE (6)'!D34</f>
        <v>14672865</v>
      </c>
      <c r="J9" s="1318">
        <f>'SAL D''OURO RESERVE (6)'!F51</f>
        <v>600492.5</v>
      </c>
      <c r="K9" s="1330">
        <f>'SAL D''OURO RESERVE (6)'!F45</f>
        <v>5120.560985246444</v>
      </c>
      <c r="L9" s="1324" t="e">
        <f>'SAL D''OURO RESERVE (6)'!E31</f>
        <v>#DIV/0!</v>
      </c>
      <c r="M9" s="1129" t="e">
        <f>'SAL D''OURO RESERVE (6)'!E33</f>
        <v>#DIV/0!</v>
      </c>
      <c r="N9" s="1129">
        <v>3600</v>
      </c>
      <c r="O9" s="1128" t="s">
        <v>17400</v>
      </c>
      <c r="P9" s="1128">
        <v>9</v>
      </c>
      <c r="Q9" s="1220">
        <f>'SAL D''OURO RESERVE (6)'!H31</f>
        <v>4</v>
      </c>
      <c r="R9" s="1217">
        <f t="shared" si="2"/>
        <v>0.44444444444444442</v>
      </c>
      <c r="S9" s="1232">
        <f ca="1">COUNTIFS('SAL D''OURO RESERVE (6)'!Z2:Z26,"&gt;="&amp;EOMONTH(TODAY(),-1)+1,'SAL D''OURO RESERVE (6)'!Z2:Z26,"&lt;"&amp;EOMONTH(TODAY(),0)+1)</f>
        <v>0</v>
      </c>
      <c r="T9" s="1219">
        <v>0</v>
      </c>
      <c r="U9" s="1217" t="e">
        <f t="shared" ca="1" si="3"/>
        <v>#DIV/0!</v>
      </c>
      <c r="V9" s="1259" cm="1">
        <f t="array" aca="1" ref="V9:W9" ca="1">SUMIFS('SAL D''OURO RESERVE (6)'!P2:P26,'SAL D''OURO RESERVE (6)'!Z2:Z26,"&gt;="&amp;EOMONTH(TODAY(),-1)+1,'SAL D''OURO RESERVE (6)'!Z2:Z26,"&lt;"&amp;EOMONTH(TODAY(),0)+1,'SAL D''OURO RESERVE (6)'!M2:M26,'SAL D''OURO RESERVE (6)'!A30:B30)</f>
        <v>0</v>
      </c>
      <c r="W9" s="1263">
        <f ca="1"/>
        <v>0</v>
      </c>
      <c r="X9" s="1259" t="e">
        <f t="shared" ca="1" si="0"/>
        <v>#DIV/0!</v>
      </c>
    </row>
    <row r="10" spans="1:24" ht="14.25" customHeight="1">
      <c r="A10" s="1125" t="s">
        <v>17387</v>
      </c>
      <c r="B10" s="1125">
        <f>'SAL D''OURO HORIZON (9)'!C55</f>
        <v>46</v>
      </c>
      <c r="C10" s="1128">
        <f>'SAL D''OURO HORIZON (9)'!C51</f>
        <v>38</v>
      </c>
      <c r="D10" s="1431">
        <f t="shared" si="1"/>
        <v>0.82608695652173914</v>
      </c>
      <c r="E10" s="1128">
        <f>'SAL D''OURO HORIZON (9)'!C52</f>
        <v>0</v>
      </c>
      <c r="F10" s="1128">
        <f>'SAL D''OURO HORIZON (9)'!C54</f>
        <v>1</v>
      </c>
      <c r="G10" s="1128">
        <f>'SAL D''OURO HORIZON (9)'!C53</f>
        <v>7</v>
      </c>
      <c r="H10" s="1129">
        <f>'SAL D''OURO HORIZON (9)'!D51</f>
        <v>17073910</v>
      </c>
      <c r="I10" s="1129">
        <f>'SAL D''OURO HORIZON (9)'!D55</f>
        <v>23374930</v>
      </c>
      <c r="J10" s="1318">
        <f>'SAL D''OURO HORIZON (9)'!G72</f>
        <v>449313.42105263157</v>
      </c>
      <c r="K10" s="1330">
        <f>'SAL D''OURO HORIZON (9)'!E51</f>
        <v>4414.9337567226667</v>
      </c>
      <c r="L10" s="1324" t="e">
        <f>'SAL D''OURO HORIZON (9)'!E52</f>
        <v>#DIV/0!</v>
      </c>
      <c r="M10" s="1129">
        <f>'SAL D''OURO HORIZON (9)'!E54</f>
        <v>3867.9535700704419</v>
      </c>
      <c r="N10" s="1129">
        <v>3600</v>
      </c>
      <c r="O10" s="1128" t="s">
        <v>17393</v>
      </c>
      <c r="P10" s="1128">
        <v>12</v>
      </c>
      <c r="Q10" s="1220">
        <f>'SAL D''OURO HORIZON (9)'!H52</f>
        <v>9</v>
      </c>
      <c r="R10" s="1217">
        <f t="shared" si="2"/>
        <v>0.75</v>
      </c>
      <c r="S10" s="1232">
        <f ca="1">COUNTIFS('SAL D''OURO HORIZON (9)'!AA2:AA47,"&gt;="&amp;EOMONTH(TODAY(),-1)+1,'SAL D''OURO HORIZON (9)'!AA2:AA47,"&lt;"&amp;EOMONTH(TODAY(),0)+1)</f>
        <v>1</v>
      </c>
      <c r="T10" s="1219">
        <v>0</v>
      </c>
      <c r="U10" s="1217" t="e">
        <f t="shared" ca="1" si="3"/>
        <v>#DIV/0!</v>
      </c>
      <c r="V10" s="1259" cm="1">
        <f t="array" aca="1" ref="V10:W10" ca="1">SUMIFS('SAL D''OURO HORIZON (9)'!Q2:Q47,'SAL D''OURO HORIZON (9)'!AA2:AA47,"&gt;="&amp;EOMONTH(TODAY(),-1)+1,'SAL D''OURO HORIZON (9)'!AA2:AA47,"&lt;"&amp;EOMONTH(TODAY(),0)+1,'SAL D''OURO HORIZON (9)'!P2:P47,'SAL D''OURO HORIZON (9)'!A51:B51)</f>
        <v>868800</v>
      </c>
      <c r="W10" s="1263">
        <f ca="1"/>
        <v>0</v>
      </c>
      <c r="X10" s="1259">
        <f t="shared" ca="1" si="0"/>
        <v>868800</v>
      </c>
    </row>
    <row r="11" spans="1:24">
      <c r="A11" s="1125" t="s">
        <v>17388</v>
      </c>
      <c r="B11" s="1125">
        <f>'SAL D''OURO COAST (10)'!C71</f>
        <v>62</v>
      </c>
      <c r="C11" s="1128">
        <f>'SAL D''OURO COAST (10)'!C67</f>
        <v>56</v>
      </c>
      <c r="D11" s="1431">
        <f t="shared" si="1"/>
        <v>0.90322580645161288</v>
      </c>
      <c r="E11" s="1128">
        <f>'SAL D''OURO COAST (10)'!C68</f>
        <v>0</v>
      </c>
      <c r="F11" s="1128">
        <f>'SAL D''OURO COAST (10)'!C70</f>
        <v>0</v>
      </c>
      <c r="G11" s="1128">
        <f>'SAL D''OURO COAST (10)'!C69</f>
        <v>6</v>
      </c>
      <c r="H11" s="1129">
        <f>'SAL D''OURO COAST (10)'!D67</f>
        <v>28253280</v>
      </c>
      <c r="I11" s="1129">
        <f>'SAL D''OURO COAST (10)'!D71</f>
        <v>32501280</v>
      </c>
      <c r="J11" s="1318">
        <f>'SAL D''OURO COAST (10)'!H88</f>
        <v>504522.85714285716</v>
      </c>
      <c r="K11" s="1330">
        <f>'SAL D''OURO COAST (10)'!E67</f>
        <v>4540.1533483859212</v>
      </c>
      <c r="L11" s="1324" t="e">
        <f>'SAL D''OURO COAST (10)'!E68</f>
        <v>#DIV/0!</v>
      </c>
      <c r="M11" s="1129" t="e">
        <f>'SAL D''OURO COAST (10)'!E70</f>
        <v>#DIV/0!</v>
      </c>
      <c r="N11" s="1129">
        <v>3600</v>
      </c>
      <c r="O11" s="1128" t="s">
        <v>17393</v>
      </c>
      <c r="P11" s="1128">
        <v>20</v>
      </c>
      <c r="Q11" s="1220">
        <f>'SAL D''OURO COAST (10)'!H68</f>
        <v>40</v>
      </c>
      <c r="R11" s="1217">
        <f t="shared" si="2"/>
        <v>2</v>
      </c>
      <c r="S11" s="1232">
        <f ca="1">COUNTIFS('SAL D''OURO COAST (10)'!Y2:Y63,"&gt;="&amp;EOMONTH(TODAY(),-1)+1,'SAL D''OURO COAST (10)'!Y2:Y63,"&lt;"&amp;EOMONTH(TODAY(),0)+1)</f>
        <v>0</v>
      </c>
      <c r="T11" s="1219">
        <v>0</v>
      </c>
      <c r="U11" s="1217" t="e">
        <f t="shared" ca="1" si="3"/>
        <v>#DIV/0!</v>
      </c>
      <c r="V11" s="1259" cm="1">
        <f t="array" aca="1" ref="V11:W11" ca="1">SUMIFS('SAL D''OURO COAST (10)'!P2:P63,'SAL D''OURO COAST (10)'!Y2:Y63,"&gt;="&amp;EOMONTH(TODAY(),-1)+1,'SAL D''OURO COAST (10)'!Y2:Y63,"&lt;"&amp;EOMONTH(TODAY(),0)+1,'SAL D''OURO COAST (10)'!O2:O63,'SAL D''OURO COAST (10)'!A67:B67)</f>
        <v>0</v>
      </c>
      <c r="W11" s="1263">
        <f ca="1"/>
        <v>0</v>
      </c>
      <c r="X11" s="1259" t="e">
        <f t="shared" ca="1" si="0"/>
        <v>#DIV/0!</v>
      </c>
    </row>
    <row r="12" spans="1:24">
      <c r="A12" s="1125" t="s">
        <v>17392</v>
      </c>
      <c r="B12" s="1125">
        <f>'SAL D''OURO 17.2'!C33</f>
        <v>24</v>
      </c>
      <c r="C12" s="1128">
        <f>'SAL D''OURO 17.2'!C29</f>
        <v>0</v>
      </c>
      <c r="D12" s="1431">
        <f t="shared" si="1"/>
        <v>0</v>
      </c>
      <c r="E12" s="1128">
        <f>'SAL D''OURO 17.2'!C30</f>
        <v>0</v>
      </c>
      <c r="F12" s="1128">
        <f>'SAL D''OURO 17.2'!C32</f>
        <v>0</v>
      </c>
      <c r="G12" s="1128">
        <f>'SAL D''OURO 17.2'!C31</f>
        <v>24</v>
      </c>
      <c r="H12" s="1129">
        <f>'SAL D''OURO 17.2'!D29</f>
        <v>0</v>
      </c>
      <c r="I12" s="1129">
        <f>'SAL D''OURO 17.2'!D33</f>
        <v>18288000</v>
      </c>
      <c r="J12" s="1318" t="e">
        <f>'SAL D''OURO 17.2'!H50</f>
        <v>#DIV/0!</v>
      </c>
      <c r="K12" s="1330" t="e">
        <f>'SAL D''OURO 17.2'!E29</f>
        <v>#DIV/0!</v>
      </c>
      <c r="L12" s="1324" t="e">
        <f>'SAL D''OURO 17.2'!E30</f>
        <v>#DIV/0!</v>
      </c>
      <c r="M12" s="1129" t="e">
        <f>'SAL D''OURO 17.2'!E32</f>
        <v>#DIV/0!</v>
      </c>
      <c r="N12" s="1129">
        <v>3600</v>
      </c>
      <c r="O12" s="1128" t="s">
        <v>17395</v>
      </c>
      <c r="P12" s="1128">
        <v>0</v>
      </c>
      <c r="Q12" s="1220">
        <f>'SAL D''OURO 17.2'!H30</f>
        <v>0</v>
      </c>
      <c r="R12" s="1217" t="e">
        <f t="shared" si="2"/>
        <v>#DIV/0!</v>
      </c>
      <c r="S12" s="1232">
        <f ca="1">COUNTIFS('SAL D''OURO 17.2'!Y2:Y25,"&gt;="&amp;EOMONTH(TODAY(),-1)+1,'SAL D''OURO 17.2'!Y2:Y25,"&lt;"&amp;EOMONTH(TODAY(),0)+1)</f>
        <v>0</v>
      </c>
      <c r="T12" s="1220">
        <v>0</v>
      </c>
      <c r="U12" s="1217" t="e">
        <f t="shared" ca="1" si="3"/>
        <v>#DIV/0!</v>
      </c>
      <c r="V12" s="1259" cm="1">
        <f t="array" aca="1" ref="V12:W12" ca="1">SUMIFS('SAL D''OURO 17.2'!P2:P25,'SAL D''OURO 17.2'!Y2:Y25,"&gt;="&amp;EOMONTH(TODAY(),-1)+1,'SAL D''OURO 17.2'!Y2:Y25,"&lt;"&amp;EOMONTH(TODAY(),0)+1,'SAL D''OURO 17.2'!O2:O25,'SAL D''OURO 17.2'!A29:B29)</f>
        <v>0</v>
      </c>
      <c r="W12" s="1263">
        <f ca="1"/>
        <v>0</v>
      </c>
      <c r="X12" s="1259" t="e">
        <f t="shared" ca="1" si="0"/>
        <v>#DIV/0!</v>
      </c>
    </row>
    <row r="13" spans="1:24">
      <c r="A13" s="741" t="s">
        <v>17389</v>
      </c>
      <c r="B13" s="741">
        <v>95</v>
      </c>
      <c r="C13" s="25">
        <f>'ELEVEN (CITY HALL)'!C101</f>
        <v>93</v>
      </c>
      <c r="D13" s="343">
        <f t="shared" si="1"/>
        <v>0.97894736842105268</v>
      </c>
      <c r="E13" s="25">
        <f>'ELEVEN (CITY HALL)'!C102</f>
        <v>0</v>
      </c>
      <c r="F13" s="25">
        <f>'ELEVEN (CITY HALL)'!C104</f>
        <v>1</v>
      </c>
      <c r="G13" s="25">
        <f>'ELEVEN (CITY HALL)'!C103</f>
        <v>1</v>
      </c>
      <c r="H13" s="109">
        <f>'ELEVEN (CITY HALL)'!D101</f>
        <v>30009214.670000002</v>
      </c>
      <c r="I13" s="109">
        <f>'ELEVEN (CITY HALL)'!D105</f>
        <v>31310014.670000002</v>
      </c>
      <c r="J13" s="1319">
        <f>'ELEVEN (CITY HALL)'!J130</f>
        <v>345214.76923076925</v>
      </c>
      <c r="K13" s="1331">
        <f>'ELEVEN (CITY HALL)'!E109</f>
        <v>3504.6471664654428</v>
      </c>
      <c r="L13" s="1325" t="e">
        <f>'ELEVEN (CITY HALL)'!E102</f>
        <v>#DIV/0!</v>
      </c>
      <c r="M13" s="109">
        <f>'ELEVEN (CITY HALL)'!E104</f>
        <v>3645.0511945392491</v>
      </c>
      <c r="N13" s="109">
        <v>3200</v>
      </c>
      <c r="O13" s="25" t="s">
        <v>17391</v>
      </c>
      <c r="P13" s="25">
        <v>14</v>
      </c>
      <c r="Q13" s="1035">
        <f>'ELEVEN (CITY HALL)'!H103</f>
        <v>10</v>
      </c>
      <c r="R13" s="1195">
        <f t="shared" si="2"/>
        <v>0.7142857142857143</v>
      </c>
      <c r="S13" s="1233">
        <f ca="1">COUNTIFS('ELEVEN (CITY HALL)'!AB2:AB96,"&gt;="&amp;EOMONTH(TODAY(),-1)+1,'ELEVEN (CITY HALL)'!AB2:AB96,"&lt;"&amp;EOMONTH(TODAY(),0)+1)</f>
        <v>0</v>
      </c>
      <c r="T13" s="1214">
        <v>0</v>
      </c>
      <c r="U13" s="1195" t="e">
        <f t="shared" ca="1" si="3"/>
        <v>#DIV/0!</v>
      </c>
      <c r="V13" s="1260" cm="1">
        <f t="array" aca="1" ref="V13:W13" ca="1">SUMIFS('ELEVEN (CITY HALL)'!R2:R96,'ELEVEN (CITY HALL)'!AB2:AB96,"&gt;="&amp;EOMONTH(TODAY(),-1)+1,'ELEVEN (CITY HALL)'!AB2:AB96,"&lt;"&amp;EOMONTH(TODAY(),0)+1,'ELEVEN (CITY HALL)'!Q2:Q96,'ELEVEN (CITY HALL)'!A101:B101)</f>
        <v>0</v>
      </c>
      <c r="W13" s="1263">
        <f ca="1"/>
        <v>0</v>
      </c>
      <c r="X13" s="1260" t="e">
        <f t="shared" ca="1" si="0"/>
        <v>#DIV/0!</v>
      </c>
    </row>
    <row r="14" spans="1:24">
      <c r="A14" s="1131" t="s">
        <v>287</v>
      </c>
      <c r="B14" s="1131">
        <v>65</v>
      </c>
      <c r="C14" s="1132">
        <f>'URBAN INFANTE 10B'!C69</f>
        <v>65</v>
      </c>
      <c r="D14" s="1396">
        <f t="shared" si="1"/>
        <v>1</v>
      </c>
      <c r="E14" s="1132">
        <f>'URBAN INFANTE 10B'!C70</f>
        <v>0</v>
      </c>
      <c r="F14" s="1132">
        <f>'URBAN INFANTE 10B'!C70</f>
        <v>0</v>
      </c>
      <c r="G14" s="1132">
        <f>'URBAN INFANTE 10B'!C71</f>
        <v>0</v>
      </c>
      <c r="H14" s="1133">
        <f>'URBAN INFANTE 10B'!D69</f>
        <v>14358915</v>
      </c>
      <c r="I14" s="1133">
        <f>'URBAN INFANTE 10B'!D72</f>
        <v>14358915</v>
      </c>
      <c r="J14" s="1320">
        <f>'URBAN INFANTE 10B'!H86</f>
        <v>220906.38461538462</v>
      </c>
      <c r="K14" s="1332">
        <f>'URBAN INFANTE 10B'!E69</f>
        <v>2544.7551004542643</v>
      </c>
      <c r="L14" s="1326" t="e">
        <f>'URBAN INFANTE 10B'!E70</f>
        <v>#DIV/0!</v>
      </c>
      <c r="M14" s="1133" t="e">
        <f>'URBAN INFANTE 10B'!E70</f>
        <v>#DIV/0!</v>
      </c>
      <c r="N14" s="1133">
        <v>2000</v>
      </c>
      <c r="O14" s="1132" t="s">
        <v>17403</v>
      </c>
      <c r="P14" s="1132">
        <v>0</v>
      </c>
      <c r="Q14" s="1221">
        <f ca="1">S14</f>
        <v>0</v>
      </c>
      <c r="R14" s="1235" t="e">
        <f t="shared" ca="1" si="2"/>
        <v>#DIV/0!</v>
      </c>
      <c r="S14" s="1234">
        <f ca="1">COUNTIFS('URBAN INFANTE 10B'!P2:P66,"&gt;="&amp;EOMONTH(TODAY(),-1)+1,'URBAN INFANTE 10B'!P2:P66,"&lt;"&amp;EOMONTH(TODAY(),0)+1)</f>
        <v>0</v>
      </c>
      <c r="T14" s="1221">
        <v>0</v>
      </c>
      <c r="U14" s="1235" t="e">
        <f ca="1">S14/T14</f>
        <v>#DIV/0!</v>
      </c>
      <c r="V14" s="1261" t="s">
        <v>455</v>
      </c>
      <c r="W14" s="1263"/>
      <c r="X14" s="1261" t="e">
        <f t="shared" ca="1" si="0"/>
        <v>#VALUE!</v>
      </c>
    </row>
    <row r="15" spans="1:24">
      <c r="A15" s="1131" t="s">
        <v>288</v>
      </c>
      <c r="B15" s="1131">
        <f>'URBAN INFANTE 10 A'!C58</f>
        <v>48</v>
      </c>
      <c r="C15" s="1132">
        <f>'URBAN INFANTE 10 A'!C54</f>
        <v>48</v>
      </c>
      <c r="D15" s="1396">
        <f t="shared" si="1"/>
        <v>1</v>
      </c>
      <c r="E15" s="1132">
        <f>'URBAN INFANTE 10 A'!C55</f>
        <v>0</v>
      </c>
      <c r="F15" s="1132">
        <f>'URBAN INFANTE 10 A'!C57</f>
        <v>0</v>
      </c>
      <c r="G15" s="1132">
        <f>'URBAN INFANTE 10 A'!C56</f>
        <v>0</v>
      </c>
      <c r="H15" s="1133">
        <f>'URBAN INFANTE 10 A'!D54</f>
        <v>14545595</v>
      </c>
      <c r="I15" s="1133">
        <f>'URBAN INFANTE 10 A'!D58</f>
        <v>14545595</v>
      </c>
      <c r="J15" s="1320">
        <f>'URBAN INFANTE 10 A'!H75</f>
        <v>303033.22916666669</v>
      </c>
      <c r="K15" s="1332">
        <f>'URBAN INFANTE 10 A'!E54</f>
        <v>2592.3718637328434</v>
      </c>
      <c r="L15" s="1326" t="e">
        <f>'URBAN INFANTE 10 A'!E55</f>
        <v>#DIV/0!</v>
      </c>
      <c r="M15" s="1133" t="e">
        <f>'URBAN INFANTE 10 A'!E57</f>
        <v>#DIV/0!</v>
      </c>
      <c r="N15" s="1133">
        <v>2000</v>
      </c>
      <c r="O15" s="1132" t="s">
        <v>17391</v>
      </c>
      <c r="P15" s="1132">
        <v>0</v>
      </c>
      <c r="Q15" s="1221">
        <v>0</v>
      </c>
      <c r="R15" s="1235" t="e">
        <f t="shared" si="2"/>
        <v>#DIV/0!</v>
      </c>
      <c r="S15" s="1234">
        <f ca="1">COUNTIFS(Table4[Date of CPCV],"&gt;="&amp;EOMONTH(TODAY(),-1)+1,Table4[Date of CPCV],"&lt;"&amp;EOMONTH(TODAY(),0)+1)</f>
        <v>0</v>
      </c>
      <c r="T15" s="1221">
        <v>0</v>
      </c>
      <c r="U15" s="1235" t="e">
        <f t="shared" ca="1" si="3"/>
        <v>#DIV/0!</v>
      </c>
      <c r="V15" s="1261" cm="1">
        <f t="array" aca="1" ref="V15:W15" ca="1">SUMIFS(Table4[Closing Price],Table4[Date of CPCV],"&gt;="&amp;EOMONTH(TODAY(),-1)+1,Table4[Date of CPCV],"&lt;"&amp;EOMONTH(TODAY(),0)+1,Table4[Status],'URBAN INFANTE 10 A'!A54:B54)</f>
        <v>0</v>
      </c>
      <c r="W15" s="1263">
        <f ca="1"/>
        <v>0</v>
      </c>
      <c r="X15" s="1261" t="e">
        <f t="shared" ca="1" si="0"/>
        <v>#DIV/0!</v>
      </c>
    </row>
    <row r="16" spans="1:24">
      <c r="A16" s="1467" t="s">
        <v>17390</v>
      </c>
      <c r="B16" s="1467">
        <v>39</v>
      </c>
      <c r="C16" s="1468">
        <f>'PARKVIEW 5'!C44</f>
        <v>39</v>
      </c>
      <c r="D16" s="1469">
        <f t="shared" si="1"/>
        <v>1</v>
      </c>
      <c r="E16" s="1468">
        <f>'PARKVIEW 5'!C45</f>
        <v>0</v>
      </c>
      <c r="F16" s="1468">
        <f>'PARKVIEW 5'!C47</f>
        <v>0</v>
      </c>
      <c r="G16" s="1468">
        <f>'PARKVIEW 5'!C46</f>
        <v>0</v>
      </c>
      <c r="H16" s="1470">
        <f>'PARKVIEW 5'!D44</f>
        <v>11771318.399999999</v>
      </c>
      <c r="I16" s="1470">
        <f>'PARKVIEW 5'!D48</f>
        <v>0</v>
      </c>
      <c r="J16" s="1471">
        <f>'PARKVIEW 5'!E65</f>
        <v>301828.67692307691</v>
      </c>
      <c r="K16" s="1472">
        <f>'PARKVIEW 5'!E59</f>
        <v>3160.85431921185</v>
      </c>
      <c r="L16" s="1473" t="e">
        <f>'PARKVIEW 5'!E45</f>
        <v>#DIV/0!</v>
      </c>
      <c r="M16" s="1470" t="e">
        <f>'PARKVIEW 5'!E47</f>
        <v>#DIV/0!</v>
      </c>
      <c r="N16" s="1470">
        <v>2250</v>
      </c>
      <c r="O16" s="1468" t="s">
        <v>17400</v>
      </c>
      <c r="P16" s="1468">
        <v>25</v>
      </c>
      <c r="Q16" s="1474">
        <f>'PARKVIEW 5'!H45</f>
        <v>27</v>
      </c>
      <c r="R16" s="1475">
        <f t="shared" si="2"/>
        <v>1.08</v>
      </c>
      <c r="S16" s="1476">
        <f ca="1">COUNTIFS('PARKVIEW 5'!AD2:AD40,"&gt;="&amp;EOMONTH(TODAY(),-1)+1,'PARKVIEW 5'!AD2:AD40,"&lt;"&amp;EOMONTH(TODAY(),0)+1)</f>
        <v>0</v>
      </c>
      <c r="T16" s="1474">
        <v>1</v>
      </c>
      <c r="U16" s="1475">
        <f t="shared" ca="1" si="3"/>
        <v>0</v>
      </c>
      <c r="V16" s="1477" cm="1">
        <f t="array" aca="1" ref="V16:W16" ca="1">SUMIFS('PARKVIEW 5'!N2:N40,'PARKVIEW 5'!AD2:AD40,"&gt;="&amp;EOMONTH(TODAY(),-1)+1,'PARKVIEW 5'!AD2:AD40,"&lt;"&amp;EOMONTH(TODAY(),0)+1,'PARKVIEW 5'!M2:M40,'PARKVIEW 5'!A44:B44)</f>
        <v>0</v>
      </c>
      <c r="W16" s="1478">
        <f ca="1"/>
        <v>0</v>
      </c>
      <c r="X16" s="1477" t="e">
        <f t="shared" ca="1" si="0"/>
        <v>#DIV/0!</v>
      </c>
    </row>
    <row r="17" spans="1:24">
      <c r="A17" s="1479" t="s">
        <v>17818</v>
      </c>
      <c r="B17" s="1479">
        <f>'RED CLIP'!C39</f>
        <v>30</v>
      </c>
      <c r="C17" s="1480">
        <f>'RED CLIP'!C35</f>
        <v>0</v>
      </c>
      <c r="D17" s="1481">
        <f>'RED CLIP'!H39</f>
        <v>0</v>
      </c>
      <c r="E17" s="1480">
        <f>'RED CLIP'!C36</f>
        <v>3</v>
      </c>
      <c r="F17" s="1480">
        <f>'RED CLIP'!C38</f>
        <v>0</v>
      </c>
      <c r="G17" s="1480">
        <f>'RED CLIP'!C37</f>
        <v>27</v>
      </c>
      <c r="H17" s="1482">
        <f>'RED CLIP'!D35</f>
        <v>0</v>
      </c>
      <c r="I17" s="1482">
        <f>'RED CLIP'!D39</f>
        <v>17673600</v>
      </c>
      <c r="J17" s="1482" t="e">
        <f>'RED CLIP'!G56</f>
        <v>#DIV/0!</v>
      </c>
      <c r="K17" s="1482" t="e">
        <f>'RED CLIP'!G50</f>
        <v>#DIV/0!</v>
      </c>
      <c r="L17" s="1482">
        <f>'RED CLIP'!G51</f>
        <v>6688.7700222415706</v>
      </c>
      <c r="M17" s="1482" t="e">
        <f>'RED CLIP'!G53</f>
        <v>#DIV/0!</v>
      </c>
      <c r="N17" s="1482">
        <v>5215</v>
      </c>
      <c r="O17" s="1480" t="s">
        <v>17819</v>
      </c>
      <c r="P17" s="1480">
        <v>18</v>
      </c>
      <c r="Q17" s="1480">
        <f>'RED CLIP'!H35</f>
        <v>0</v>
      </c>
      <c r="R17" s="1483">
        <f>Q17/P17</f>
        <v>0</v>
      </c>
      <c r="S17" s="1480">
        <f ca="1">COUNTIFS('RED CLIP'!X2:X31,"&gt;="&amp;EOMONTH(TODAY(),-1)+1,'RED CLIP'!X2:X31,"&lt;"&amp;EOMONTH(TODAY(),0)+1)</f>
        <v>0</v>
      </c>
      <c r="T17" s="1480">
        <v>1</v>
      </c>
      <c r="U17" s="1483">
        <f ca="1">S17/T17</f>
        <v>0</v>
      </c>
      <c r="V17" s="1484" cm="1">
        <f t="array" aca="1" ref="V17:W17" ca="1">SUMIFS('RED CLIP'!P2:P31,'RED CLIP'!X2:X31,"&gt;="&amp;EOMONTH(TODAY(),-1)+1,'RED CLIP'!X2:X31,"&lt;"&amp;EOMONTH(TODAY(),0)+1,'RED CLIP'!O2:O31,'RED CLIP'!A35:B35)</f>
        <v>0</v>
      </c>
      <c r="W17" s="1485">
        <f ca="1"/>
        <v>0</v>
      </c>
      <c r="X17" s="1486" t="e">
        <f t="shared" ca="1" si="0"/>
        <v>#DIV/0!</v>
      </c>
    </row>
    <row r="18" spans="1:24" s="106" customFormat="1">
      <c r="A18" s="1711" t="s">
        <v>18043</v>
      </c>
      <c r="B18" s="1711">
        <f>'SETUBAL SEA VIEW'!C80</f>
        <v>71</v>
      </c>
      <c r="C18" s="1712">
        <f>'SETUBAL SEA VIEW'!C76</f>
        <v>0</v>
      </c>
      <c r="D18" s="1713">
        <f>C18/B18</f>
        <v>0</v>
      </c>
      <c r="E18" s="1712">
        <f>'SETUBAL SEA VIEW'!C77</f>
        <v>0</v>
      </c>
      <c r="F18" s="1712">
        <f>'SETUBAL SEA VIEW'!C79</f>
        <v>0</v>
      </c>
      <c r="G18" s="1712">
        <f>'SETUBAL SEA VIEW'!C78</f>
        <v>71</v>
      </c>
      <c r="H18" s="1714">
        <f>'SETUBAL SEA VIEW'!D76</f>
        <v>0</v>
      </c>
      <c r="I18" s="1714">
        <f>'SETUBAL SEA VIEW'!D80</f>
        <v>36566400</v>
      </c>
      <c r="J18" s="1714" t="e">
        <f>'SETUBAL SEA VIEW'!H90</f>
        <v>#DIV/0!</v>
      </c>
      <c r="K18" s="1714" t="e">
        <f>'SETUBAL SEA VIEW'!E76</f>
        <v>#DIV/0!</v>
      </c>
      <c r="L18" s="1714" t="e">
        <f>'SETUBAL SEA VIEW'!E77</f>
        <v>#DIV/0!</v>
      </c>
      <c r="M18" s="1714" t="e">
        <f>'SETUBAL SEA VIEW'!E79</f>
        <v>#DIV/0!</v>
      </c>
      <c r="N18" s="1714">
        <v>4850</v>
      </c>
      <c r="O18" s="1712" t="s">
        <v>18045</v>
      </c>
      <c r="P18" s="1712">
        <v>35</v>
      </c>
      <c r="Q18" s="1712">
        <f>'SETUBAL SEA VIEW'!H76</f>
        <v>0</v>
      </c>
      <c r="R18" s="1715">
        <f>Q18/P18</f>
        <v>0</v>
      </c>
      <c r="S18" s="1712"/>
      <c r="T18" s="1712">
        <v>7</v>
      </c>
      <c r="U18" s="1715"/>
      <c r="V18" s="1716"/>
      <c r="W18" s="1717"/>
      <c r="X18" s="1718"/>
    </row>
    <row r="19" spans="1:24" s="106" customFormat="1">
      <c r="A19" s="1777" t="s">
        <v>18044</v>
      </c>
      <c r="B19" s="1777">
        <f>'CELAS PARQUE 9 &amp; 8'!C37</f>
        <v>28</v>
      </c>
      <c r="C19" s="1778">
        <f>'CELAS PARQUE 9 &amp; 8'!C33</f>
        <v>0</v>
      </c>
      <c r="D19" s="1779">
        <f>'CELAS PARQUE 9 &amp; 8'!H37</f>
        <v>0</v>
      </c>
      <c r="E19" s="1778">
        <f>'CELAS PARQUE 9 &amp; 8'!C34</f>
        <v>0</v>
      </c>
      <c r="F19" s="1778">
        <f>'CELAS PARQUE 9 &amp; 8'!C36</f>
        <v>0</v>
      </c>
      <c r="G19" s="1778">
        <f>'CELAS PARQUE 9 &amp; 8'!C35</f>
        <v>28</v>
      </c>
      <c r="H19" s="1780">
        <f>'CELAS PARQUE 9 &amp; 8'!D33</f>
        <v>0</v>
      </c>
      <c r="I19" s="1780">
        <f>'CELAS PARQUE 9 &amp; 8'!D37</f>
        <v>12687360</v>
      </c>
      <c r="J19" s="1780" t="e">
        <f>'CELAS PARQUE 9 &amp; 8'!E54</f>
        <v>#DIV/0!</v>
      </c>
      <c r="K19" s="1780" t="e">
        <f>'CELAS PARQUE 9 &amp; 8'!E33</f>
        <v>#DIV/0!</v>
      </c>
      <c r="L19" s="1780" t="e">
        <f>'CELAS PARQUE 9 &amp; 8'!E34</f>
        <v>#DIV/0!</v>
      </c>
      <c r="M19" s="1780" t="e">
        <f>'CELAS PARQUE 9 &amp; 8'!E36</f>
        <v>#DIV/0!</v>
      </c>
      <c r="N19" s="1780">
        <v>3800</v>
      </c>
      <c r="O19" s="1778" t="s">
        <v>18045</v>
      </c>
      <c r="P19" s="1778">
        <v>45</v>
      </c>
      <c r="Q19" s="1778">
        <v>0</v>
      </c>
      <c r="R19" s="1781">
        <f>Q19/P19</f>
        <v>0</v>
      </c>
      <c r="S19" s="1778"/>
      <c r="T19" s="1778">
        <v>7</v>
      </c>
      <c r="U19" s="1781"/>
      <c r="V19" s="1782"/>
      <c r="W19" s="1783"/>
      <c r="X19" s="1784"/>
    </row>
    <row r="20" spans="1:24" s="106" customFormat="1">
      <c r="A20" s="1490"/>
      <c r="B20" s="1490"/>
      <c r="C20" s="1719"/>
      <c r="D20" s="343"/>
      <c r="E20" s="1719"/>
      <c r="F20" s="1719"/>
      <c r="G20" s="1719"/>
      <c r="H20" s="1720"/>
      <c r="I20" s="1720"/>
      <c r="J20" s="1720"/>
      <c r="K20" s="1720"/>
      <c r="L20" s="1720"/>
      <c r="M20" s="1720"/>
      <c r="N20" s="1720"/>
      <c r="O20" s="1719"/>
      <c r="P20" s="1719"/>
      <c r="Q20" s="1719"/>
      <c r="R20" s="1195"/>
      <c r="S20" s="1719"/>
      <c r="T20" s="1719"/>
      <c r="U20" s="1195"/>
      <c r="V20" s="1260"/>
      <c r="W20" s="1654"/>
      <c r="X20" s="1721"/>
    </row>
    <row r="21" spans="1:24" s="106" customFormat="1">
      <c r="A21" s="1490"/>
      <c r="B21" s="1490"/>
      <c r="C21" s="1719"/>
      <c r="D21" s="343"/>
      <c r="E21" s="1719"/>
      <c r="F21" s="1719"/>
      <c r="G21" s="1719"/>
      <c r="H21" s="1720"/>
      <c r="I21" s="1720"/>
      <c r="J21" s="1720"/>
      <c r="K21" s="1720"/>
      <c r="L21" s="1720"/>
      <c r="M21" s="1720"/>
      <c r="N21" s="1720"/>
      <c r="O21" s="1719"/>
      <c r="P21" s="1719"/>
      <c r="Q21" s="1719"/>
      <c r="R21" s="1195"/>
      <c r="S21" s="1719"/>
      <c r="T21" s="1719"/>
      <c r="U21" s="1195"/>
      <c r="V21" s="1260"/>
      <c r="W21" s="1654"/>
      <c r="X21" s="1260"/>
    </row>
    <row r="22" spans="1:24" ht="13.5" thickBot="1">
      <c r="I22" s="4"/>
      <c r="J22" s="739"/>
      <c r="S22" s="1224"/>
    </row>
    <row r="23" spans="1:24" ht="16.5" thickBot="1">
      <c r="B23" s="748">
        <f>SUM(B2:B16)-B12</f>
        <v>779</v>
      </c>
      <c r="C23" s="748">
        <f>SUM(C2:C16)</f>
        <v>748</v>
      </c>
      <c r="D23" s="1119">
        <f>C23/B23</f>
        <v>0.96020539152759954</v>
      </c>
      <c r="E23" s="748">
        <f>SUM(E2:E16)</f>
        <v>0</v>
      </c>
      <c r="F23" s="748">
        <f>SUM(F2:F16)</f>
        <v>5</v>
      </c>
      <c r="G23" s="748">
        <f>SUM(G2:G11,G13:G16)</f>
        <v>26</v>
      </c>
      <c r="I23" s="4"/>
      <c r="J23" s="739"/>
      <c r="P23" s="748">
        <f>SUM(P2:P16)</f>
        <v>164</v>
      </c>
      <c r="Q23" s="1222">
        <f ca="1">SUM(Q2:Q17)</f>
        <v>172</v>
      </c>
      <c r="R23" s="1236">
        <f ca="1">Q23/P23</f>
        <v>1.0487804878048781</v>
      </c>
      <c r="S23" s="748">
        <f ca="1">SUM(S2:S17)</f>
        <v>1</v>
      </c>
      <c r="T23" s="748">
        <f>SUM(T2:T16)</f>
        <v>2</v>
      </c>
      <c r="U23" s="1267">
        <f ca="1">S23/T23</f>
        <v>0.5</v>
      </c>
      <c r="V23" s="1265">
        <f ca="1">SUM(V2:V17)</f>
        <v>868800</v>
      </c>
      <c r="W23" s="1589"/>
      <c r="X23" s="1591">
        <f ca="1">V23/S23</f>
        <v>868800</v>
      </c>
    </row>
    <row r="24" spans="1:24" ht="39.75" customHeight="1" thickBot="1">
      <c r="B24" s="749" t="s">
        <v>17412</v>
      </c>
      <c r="C24" s="749" t="s">
        <v>17413</v>
      </c>
      <c r="D24" s="749" t="s">
        <v>17473</v>
      </c>
      <c r="E24" s="749" t="s">
        <v>17414</v>
      </c>
      <c r="F24" s="749" t="s">
        <v>17415</v>
      </c>
      <c r="G24" s="749" t="s">
        <v>17416</v>
      </c>
      <c r="I24" s="4"/>
      <c r="J24" s="739"/>
      <c r="P24" s="748" t="s">
        <v>18016</v>
      </c>
      <c r="Q24" s="1587" t="s">
        <v>17830</v>
      </c>
      <c r="R24" s="749"/>
      <c r="S24" s="749" t="s">
        <v>17898</v>
      </c>
      <c r="T24" s="749" t="s">
        <v>17897</v>
      </c>
      <c r="U24" s="1266" t="s">
        <v>17614</v>
      </c>
      <c r="V24" s="1588" t="s">
        <v>17613</v>
      </c>
      <c r="W24" s="1589"/>
      <c r="X24" s="1590" t="s">
        <v>17615</v>
      </c>
    </row>
    <row r="25" spans="1:24" ht="13.5" thickBot="1">
      <c r="A25" s="1026"/>
      <c r="B25" s="1031"/>
      <c r="C25" s="1031"/>
      <c r="D25" s="1031"/>
      <c r="E25" s="1031"/>
      <c r="F25" s="1031"/>
      <c r="G25" s="1026"/>
      <c r="H25" s="1026"/>
      <c r="I25" s="1027"/>
      <c r="J25" s="1026"/>
      <c r="K25" s="1026"/>
      <c r="L25" s="1026"/>
      <c r="M25" s="1026"/>
      <c r="N25" s="1026"/>
      <c r="O25" s="1026"/>
      <c r="P25" s="1031"/>
      <c r="Q25" s="1031"/>
      <c r="R25" s="1031"/>
      <c r="S25" s="1086"/>
      <c r="T25" s="1086"/>
      <c r="U25" s="1086"/>
      <c r="V25" s="1086"/>
      <c r="W25" s="1086"/>
      <c r="X25" s="1086"/>
    </row>
    <row r="26" spans="1:24" ht="13.5" thickBot="1"/>
    <row r="27" spans="1:24" ht="15.75" customHeight="1" thickBot="1">
      <c r="A27" s="1881" t="s">
        <v>17817</v>
      </c>
      <c r="B27" s="1882"/>
      <c r="C27" s="1882"/>
      <c r="D27" s="1882"/>
      <c r="E27" s="1882"/>
      <c r="F27" s="1882"/>
      <c r="G27" s="1882"/>
      <c r="H27" s="1882"/>
      <c r="I27" s="1882"/>
      <c r="J27" s="1882"/>
      <c r="K27" s="1882"/>
      <c r="L27" s="1882"/>
      <c r="M27" s="1882"/>
      <c r="N27" s="1883"/>
      <c r="P27" s="1887" t="s">
        <v>17454</v>
      </c>
      <c r="Q27" s="1888"/>
      <c r="R27" s="1889"/>
    </row>
    <row r="28" spans="1:24" ht="15" customHeight="1">
      <c r="A28" s="1033"/>
      <c r="B28" s="1015" t="s">
        <v>17303</v>
      </c>
      <c r="C28" s="1015" t="s">
        <v>17304</v>
      </c>
      <c r="D28" s="1016" t="s">
        <v>17305</v>
      </c>
      <c r="E28" s="1017" t="s">
        <v>17306</v>
      </c>
      <c r="F28" s="1017" t="s">
        <v>17307</v>
      </c>
      <c r="G28" s="1017" t="s">
        <v>17308</v>
      </c>
      <c r="H28" s="1018" t="s">
        <v>17309</v>
      </c>
      <c r="I28" s="1018" t="s">
        <v>17310</v>
      </c>
      <c r="J28" s="1018" t="s">
        <v>17311</v>
      </c>
      <c r="K28" s="1018" t="s">
        <v>17312</v>
      </c>
      <c r="L28" s="1018" t="s">
        <v>17313</v>
      </c>
      <c r="M28" s="1050" t="s">
        <v>17314</v>
      </c>
      <c r="N28" s="1051" t="s">
        <v>17820</v>
      </c>
      <c r="P28" s="557" t="s">
        <v>17461</v>
      </c>
      <c r="Q28" s="411" t="s">
        <v>139</v>
      </c>
      <c r="R28" s="398" t="s">
        <v>17444</v>
      </c>
    </row>
    <row r="29" spans="1:24" ht="15" customHeight="1">
      <c r="A29" s="1047" t="s">
        <v>209</v>
      </c>
      <c r="B29" s="1039">
        <f>'PANORAMA (SETUBAL)'!J93</f>
        <v>2</v>
      </c>
      <c r="C29" s="1039">
        <f>'PANORAMA (SETUBAL)'!K93</f>
        <v>2</v>
      </c>
      <c r="D29" s="1039">
        <f>'PANORAMA (SETUBAL)'!L93</f>
        <v>1</v>
      </c>
      <c r="E29" s="1039">
        <f>'PANORAMA (SETUBAL)'!M93</f>
        <v>0</v>
      </c>
      <c r="F29" s="1039">
        <f>'PANORAMA (SETUBAL)'!N93</f>
        <v>3</v>
      </c>
      <c r="G29" s="1039">
        <f>'PANORAMA (SETUBAL)'!O93</f>
        <v>1</v>
      </c>
      <c r="H29" s="1039">
        <v>0</v>
      </c>
      <c r="I29" s="1039">
        <f>'PANORAMA (SETUBAL)'!Q93</f>
        <v>1</v>
      </c>
      <c r="J29" s="1039">
        <f>'PANORAMA (SETUBAL)'!R93</f>
        <v>0</v>
      </c>
      <c r="K29" s="1039">
        <f>'PANORAMA (SETUBAL)'!S93</f>
        <v>1</v>
      </c>
      <c r="L29" s="1039">
        <f>'PANORAMA (SETUBAL)'!T93</f>
        <v>0</v>
      </c>
      <c r="M29" s="1039">
        <f>'PANORAMA (SETUBAL)'!U93</f>
        <v>0</v>
      </c>
      <c r="N29" s="1041">
        <f t="shared" ref="N29:N44" si="4">SUM(A29:L29)</f>
        <v>11</v>
      </c>
      <c r="P29" s="1106" t="s">
        <v>17462</v>
      </c>
      <c r="Q29" s="365">
        <f>B46</f>
        <v>21</v>
      </c>
      <c r="R29" s="1093">
        <f t="shared" ref="R29:R40" si="5">Q29/SUM($Q$29:$Q$40)</f>
        <v>0.12138728323699421</v>
      </c>
    </row>
    <row r="30" spans="1:24" ht="15" customHeight="1">
      <c r="A30" s="741" t="s">
        <v>17316</v>
      </c>
      <c r="B30" s="1025">
        <f>'VERDE VALE H1 (MAIA)'!J80</f>
        <v>0</v>
      </c>
      <c r="C30" s="1025">
        <f>'VERDE VALE H1 (MAIA)'!K80</f>
        <v>1</v>
      </c>
      <c r="D30" s="1025">
        <f>'VERDE VALE H1 (MAIA)'!L80</f>
        <v>0</v>
      </c>
      <c r="E30" s="1025">
        <f>'VERDE VALE H1 (MAIA)'!M80</f>
        <v>0</v>
      </c>
      <c r="F30" s="1025">
        <f>'VERDE VALE H1 (MAIA)'!N80</f>
        <v>0</v>
      </c>
      <c r="G30" s="1025">
        <f>'VERDE VALE H1 (MAIA)'!O80</f>
        <v>0</v>
      </c>
      <c r="H30" s="1025">
        <f>'VERDE VALE H1 (MAIA)'!P80</f>
        <v>0</v>
      </c>
      <c r="I30" s="1025">
        <f>'VERDE VALE H1 (MAIA)'!Q80</f>
        <v>0</v>
      </c>
      <c r="J30" s="1025">
        <f>'VERDE VALE H1 (MAIA)'!R80</f>
        <v>0</v>
      </c>
      <c r="K30" s="1025">
        <f>'VERDE VALE H1 (MAIA)'!S80</f>
        <v>0</v>
      </c>
      <c r="L30" s="1025">
        <f>'VERDE VALE H1 (MAIA)'!T80</f>
        <v>0</v>
      </c>
      <c r="M30" s="1025">
        <f>'VERDE VALE H1 (MAIA)'!U80</f>
        <v>0</v>
      </c>
      <c r="N30" s="1036">
        <f t="shared" si="4"/>
        <v>1</v>
      </c>
      <c r="P30" s="1106" t="s">
        <v>17463</v>
      </c>
      <c r="Q30" s="365">
        <f>C46</f>
        <v>9</v>
      </c>
      <c r="R30" s="1093">
        <f t="shared" si="5"/>
        <v>5.2023121387283239E-2</v>
      </c>
    </row>
    <row r="31" spans="1:24" ht="15" customHeight="1">
      <c r="A31" s="1048" t="s">
        <v>17386</v>
      </c>
      <c r="B31" s="1039">
        <f>'VERDE VALE H3 A&amp;B (MAIA)'!J68</f>
        <v>2</v>
      </c>
      <c r="C31" s="1039">
        <f>'VERDE VALE H3 A&amp;B (MAIA)'!K68</f>
        <v>1</v>
      </c>
      <c r="D31" s="1039">
        <f>'VERDE VALE H3 A&amp;B (MAIA)'!L68</f>
        <v>2</v>
      </c>
      <c r="E31" s="1039">
        <f>'VERDE VALE H3 A&amp;B (MAIA)'!M68</f>
        <v>1</v>
      </c>
      <c r="F31" s="1039">
        <f>'VERDE VALE H3 A&amp;B (MAIA)'!N68</f>
        <v>0</v>
      </c>
      <c r="G31" s="1039">
        <f>'VERDE VALE H3 A&amp;B (MAIA)'!O68</f>
        <v>0</v>
      </c>
      <c r="H31" s="1039">
        <f>'VERDE VALE H3 A&amp;B (MAIA)'!P68</f>
        <v>0</v>
      </c>
      <c r="I31" s="1039">
        <f>'VERDE VALE H3 A&amp;B (MAIA)'!Q68</f>
        <v>0</v>
      </c>
      <c r="J31" s="1039">
        <f>'VERDE VALE H3 A&amp;B (MAIA)'!R68</f>
        <v>0</v>
      </c>
      <c r="K31" s="1039">
        <f>'VERDE VALE H3 A&amp;B (MAIA)'!S68</f>
        <v>0</v>
      </c>
      <c r="L31" s="1039">
        <f>'VERDE VALE H3 A&amp;B (MAIA)'!T68</f>
        <v>0</v>
      </c>
      <c r="M31" s="1039">
        <f>'VERDE VALE H3 A&amp;B (MAIA)'!U68</f>
        <v>0</v>
      </c>
      <c r="N31" s="1041">
        <f t="shared" si="4"/>
        <v>6</v>
      </c>
      <c r="P31" s="1106" t="s">
        <v>17305</v>
      </c>
      <c r="Q31" s="365">
        <f>D46</f>
        <v>23</v>
      </c>
      <c r="R31" s="1093">
        <f t="shared" si="5"/>
        <v>0.13294797687861271</v>
      </c>
    </row>
    <row r="32" spans="1:24" ht="15" customHeight="1">
      <c r="A32" s="741" t="s">
        <v>17425</v>
      </c>
      <c r="B32" s="1025">
        <f>'VERDE VALE H2 (MAIA)'!J64</f>
        <v>0</v>
      </c>
      <c r="C32" s="1025">
        <f>'VERDE VALE H2 (MAIA)'!K64</f>
        <v>0</v>
      </c>
      <c r="D32" s="1025">
        <f>'VERDE VALE H2 (MAIA)'!L64</f>
        <v>2</v>
      </c>
      <c r="E32" s="1025">
        <f>'VERDE VALE H2 (MAIA)'!M64</f>
        <v>0</v>
      </c>
      <c r="F32" s="1025">
        <f>'VERDE VALE H2 (MAIA)'!N64</f>
        <v>0</v>
      </c>
      <c r="G32" s="1025">
        <f>'VERDE VALE H2 (MAIA)'!O64</f>
        <v>0</v>
      </c>
      <c r="H32" s="1025">
        <f>'VERDE VALE H2 (MAIA)'!P64</f>
        <v>0</v>
      </c>
      <c r="I32" s="1025">
        <f>'VERDE VALE H2 (MAIA)'!Q64</f>
        <v>2</v>
      </c>
      <c r="J32" s="1025">
        <f>'VERDE VALE H2 (MAIA)'!R64</f>
        <v>2</v>
      </c>
      <c r="K32" s="1025">
        <f>'VERDE VALE H2 (MAIA)'!S64</f>
        <v>1</v>
      </c>
      <c r="L32" s="1025">
        <f>'VERDE VALE H2 (MAIA)'!T64</f>
        <v>0</v>
      </c>
      <c r="M32" s="1025">
        <f>'VERDE VALE H2 (MAIA)'!U64</f>
        <v>0</v>
      </c>
      <c r="N32" s="1036">
        <f t="shared" si="4"/>
        <v>7</v>
      </c>
      <c r="P32" s="1106" t="s">
        <v>17464</v>
      </c>
      <c r="Q32" s="365">
        <f>E46</f>
        <v>22</v>
      </c>
      <c r="R32" s="1093">
        <f t="shared" si="5"/>
        <v>0.12716763005780346</v>
      </c>
    </row>
    <row r="33" spans="1:24" ht="15" customHeight="1">
      <c r="A33" s="1048" t="s">
        <v>17426</v>
      </c>
      <c r="B33" s="1039">
        <f>'VERDE VALE H4 A&amp;B (MAIA)'!J92</f>
        <v>4</v>
      </c>
      <c r="C33" s="1039">
        <f>'VERDE VALE H4 A&amp;B (MAIA)'!K92</f>
        <v>0</v>
      </c>
      <c r="D33" s="1039">
        <f>'VERDE VALE H4 A&amp;B (MAIA)'!L92</f>
        <v>5</v>
      </c>
      <c r="E33" s="1039">
        <f>'VERDE VALE H4 A&amp;B (MAIA)'!M92</f>
        <v>8</v>
      </c>
      <c r="F33" s="1039">
        <f>'VERDE VALE H4 A&amp;B (MAIA)'!N92</f>
        <v>8</v>
      </c>
      <c r="G33" s="1039">
        <f>'VERDE VALE H4 A&amp;B (MAIA)'!O92</f>
        <v>1</v>
      </c>
      <c r="H33" s="1039">
        <f>'VERDE VALE H4 A&amp;B (MAIA)'!P92</f>
        <v>4</v>
      </c>
      <c r="I33" s="1039">
        <f>'VERDE VALE H4 A&amp;B (MAIA)'!Q92</f>
        <v>1</v>
      </c>
      <c r="J33" s="1039">
        <f>'VERDE VALE H4 A&amp;B (MAIA)'!R92</f>
        <v>1</v>
      </c>
      <c r="K33" s="1039">
        <f>'VERDE VALE H4 A&amp;B (MAIA)'!S92</f>
        <v>5</v>
      </c>
      <c r="L33" s="1039">
        <f>'VERDE VALE H4 A&amp;B (MAIA)'!T92</f>
        <v>3</v>
      </c>
      <c r="M33" s="1039">
        <f>'VERDE VALE H4 A&amp;B (MAIA)'!U92</f>
        <v>0</v>
      </c>
      <c r="N33" s="1041">
        <f t="shared" si="4"/>
        <v>40</v>
      </c>
      <c r="P33" s="1106" t="s">
        <v>17307</v>
      </c>
      <c r="Q33" s="365">
        <f>F46</f>
        <v>18</v>
      </c>
      <c r="R33" s="1093">
        <f t="shared" si="5"/>
        <v>0.10404624277456648</v>
      </c>
    </row>
    <row r="34" spans="1:24" ht="15" customHeight="1">
      <c r="A34" s="741" t="s">
        <v>17317</v>
      </c>
      <c r="B34" s="1025">
        <f>'SAL D''OURO OCEAN (8)'!J46</f>
        <v>1</v>
      </c>
      <c r="C34" s="1025">
        <f>'SAL D''OURO OCEAN (8)'!K46</f>
        <v>0</v>
      </c>
      <c r="D34" s="1025">
        <f>'SAL D''OURO OCEAN (8)'!L46</f>
        <v>2</v>
      </c>
      <c r="E34" s="1025">
        <f>'SAL D''OURO OCEAN (8)'!M46</f>
        <v>2</v>
      </c>
      <c r="F34" s="1025">
        <f>'SAL D''OURO OCEAN (8)'!N46</f>
        <v>1</v>
      </c>
      <c r="G34" s="1025">
        <f>'SAL D''OURO OCEAN (8)'!O46</f>
        <v>0</v>
      </c>
      <c r="H34" s="1025">
        <f>'SAL D''OURO OCEAN (8)'!P46</f>
        <v>0</v>
      </c>
      <c r="I34" s="1025">
        <f>'SAL D''OURO OCEAN (8)'!Q46</f>
        <v>0</v>
      </c>
      <c r="J34" s="1025">
        <f>'SAL D''OURO OCEAN (8)'!R46</f>
        <v>0</v>
      </c>
      <c r="K34" s="1025">
        <f>'SAL D''OURO OCEAN (8)'!S46</f>
        <v>0</v>
      </c>
      <c r="L34" s="1025">
        <f>'SAL D''OURO OCEAN (8)'!T46</f>
        <v>0</v>
      </c>
      <c r="M34" s="1025">
        <f>'SAL D''OURO OCEAN (8)'!U46</f>
        <v>0</v>
      </c>
      <c r="N34" s="1036">
        <f t="shared" si="4"/>
        <v>6</v>
      </c>
      <c r="P34" s="1106" t="s">
        <v>17308</v>
      </c>
      <c r="Q34" s="365">
        <f>G46</f>
        <v>16</v>
      </c>
      <c r="R34" s="1093">
        <f t="shared" si="5"/>
        <v>9.2485549132947972E-2</v>
      </c>
    </row>
    <row r="35" spans="1:24" ht="15" customHeight="1">
      <c r="A35" s="1048" t="s">
        <v>17318</v>
      </c>
      <c r="B35" s="1039">
        <f>'SAL D''OURO PARK (12,2)'!J52</f>
        <v>0</v>
      </c>
      <c r="C35" s="1039">
        <f>'SAL D''OURO PARK (12,2)'!K52</f>
        <v>0</v>
      </c>
      <c r="D35" s="1039">
        <f>'SAL D''OURO PARK (12,2)'!L52</f>
        <v>1</v>
      </c>
      <c r="E35" s="1039">
        <f>'SAL D''OURO PARK (12,2)'!M52</f>
        <v>1</v>
      </c>
      <c r="F35" s="1039">
        <f>'SAL D''OURO PARK (12,2)'!N52</f>
        <v>1</v>
      </c>
      <c r="G35" s="1039">
        <f>'SAL D''OURO PARK (12,2)'!O52</f>
        <v>2</v>
      </c>
      <c r="H35" s="1039">
        <f>'SAL D''OURO PARK (12,2)'!P52</f>
        <v>2</v>
      </c>
      <c r="I35" s="1039">
        <f>'SAL D''OURO PARK (12,2)'!Q52</f>
        <v>2</v>
      </c>
      <c r="J35" s="1039">
        <f>'SAL D''OURO PARK (12,2)'!R52</f>
        <v>1</v>
      </c>
      <c r="K35" s="1039">
        <f>'SAL D''OURO PARK (12,2)'!S52</f>
        <v>0</v>
      </c>
      <c r="L35" s="1039">
        <f>'SAL D''OURO PARK (12,2)'!T52</f>
        <v>1</v>
      </c>
      <c r="M35" s="1039">
        <f>'SAL D''OURO PARK (12,2)'!U52</f>
        <v>0</v>
      </c>
      <c r="N35" s="1041">
        <f t="shared" si="4"/>
        <v>11</v>
      </c>
      <c r="P35" s="1106" t="s">
        <v>17309</v>
      </c>
      <c r="Q35" s="365">
        <f>H46</f>
        <v>18</v>
      </c>
      <c r="R35" s="1093">
        <f t="shared" si="5"/>
        <v>0.10404624277456648</v>
      </c>
    </row>
    <row r="36" spans="1:24" ht="15" customHeight="1">
      <c r="A36" s="741" t="s">
        <v>17319</v>
      </c>
      <c r="B36" s="1025">
        <f>'SAL D''OURO RESERVE (6)'!J34</f>
        <v>0</v>
      </c>
      <c r="C36" s="1025">
        <f>'SAL D''OURO RESERVE (6)'!K34</f>
        <v>0</v>
      </c>
      <c r="D36" s="1025">
        <f>'SAL D''OURO RESERVE (6)'!L34</f>
        <v>1</v>
      </c>
      <c r="E36" s="1025">
        <f>'SAL D''OURO RESERVE (6)'!M34</f>
        <v>1</v>
      </c>
      <c r="F36" s="1025">
        <f>'SAL D''OURO RESERVE (6)'!N34</f>
        <v>0</v>
      </c>
      <c r="G36" s="1025">
        <f>'SAL D''OURO RESERVE (6)'!O34</f>
        <v>0</v>
      </c>
      <c r="H36" s="1025">
        <f>'SAL D''OURO RESERVE (6)'!P34</f>
        <v>0</v>
      </c>
      <c r="I36" s="1025">
        <f>'SAL D''OURO RESERVE (6)'!R34</f>
        <v>0</v>
      </c>
      <c r="J36" s="1025">
        <f>'SAL D''OURO RESERVE (6)'!S34</f>
        <v>2</v>
      </c>
      <c r="K36" s="1025">
        <f>'SAL D''OURO RESERVE (6)'!T34</f>
        <v>0</v>
      </c>
      <c r="L36" s="1025">
        <f>'SAL D''OURO RESERVE (6)'!V34</f>
        <v>0</v>
      </c>
      <c r="M36" s="1025">
        <f>'SAL D''OURO RESERVE (6)'!W34</f>
        <v>0</v>
      </c>
      <c r="N36" s="1036">
        <f t="shared" si="4"/>
        <v>4</v>
      </c>
      <c r="P36" s="1106" t="s">
        <v>17465</v>
      </c>
      <c r="Q36" s="365">
        <f>I46</f>
        <v>9</v>
      </c>
      <c r="R36" s="1093">
        <f t="shared" si="5"/>
        <v>5.2023121387283239E-2</v>
      </c>
    </row>
    <row r="37" spans="1:24" ht="15" customHeight="1">
      <c r="A37" s="1048" t="s">
        <v>17387</v>
      </c>
      <c r="B37" s="1039">
        <f>'SAL D''OURO HORIZON (9)'!J55</f>
        <v>1</v>
      </c>
      <c r="C37" s="1039">
        <f>'SAL D''OURO HORIZON (9)'!K55</f>
        <v>0</v>
      </c>
      <c r="D37" s="1039">
        <f>'SAL D''OURO HORIZON (9)'!L55</f>
        <v>1</v>
      </c>
      <c r="E37" s="1039">
        <f>'SAL D''OURO HORIZON (9)'!M55</f>
        <v>0</v>
      </c>
      <c r="F37" s="1039">
        <f>'SAL D''OURO HORIZON (9)'!N55</f>
        <v>0</v>
      </c>
      <c r="G37" s="1039">
        <f>'SAL D''OURO HORIZON (9)'!O55</f>
        <v>2</v>
      </c>
      <c r="H37" s="1039">
        <f>'SAL D''OURO HORIZON (9)'!P55</f>
        <v>1</v>
      </c>
      <c r="I37" s="1039">
        <f>'SAL D''OURO HORIZON (9)'!Q55</f>
        <v>0</v>
      </c>
      <c r="J37" s="1039">
        <f>'SAL D''OURO HORIZON (9)'!S55</f>
        <v>1</v>
      </c>
      <c r="K37" s="1039">
        <f>'SAL D''OURO HORIZON (9)'!T55</f>
        <v>0</v>
      </c>
      <c r="L37" s="1039">
        <f>'SAL D''OURO HORIZON (9)'!U55</f>
        <v>2</v>
      </c>
      <c r="M37" s="1039">
        <f>'SAL D''OURO HORIZON (9)'!V55</f>
        <v>1</v>
      </c>
      <c r="N37" s="1041">
        <f t="shared" si="4"/>
        <v>8</v>
      </c>
      <c r="P37" s="1106" t="s">
        <v>17466</v>
      </c>
      <c r="Q37" s="365">
        <f>J46</f>
        <v>14</v>
      </c>
      <c r="R37" s="1093">
        <f t="shared" si="5"/>
        <v>8.0924855491329481E-2</v>
      </c>
    </row>
    <row r="38" spans="1:24" ht="15" customHeight="1">
      <c r="A38" s="741" t="s">
        <v>17388</v>
      </c>
      <c r="B38" s="1025">
        <f>'SAL D''OURO COAST (10)'!J72</f>
        <v>1</v>
      </c>
      <c r="C38" s="1025">
        <f>'SAL D''OURO COAST (10)'!K72</f>
        <v>2</v>
      </c>
      <c r="D38" s="1025">
        <f>'SAL D''OURO COAST (10)'!L72</f>
        <v>2</v>
      </c>
      <c r="E38" s="1025">
        <f>'SAL D''OURO COAST (10)'!M72</f>
        <v>2</v>
      </c>
      <c r="F38" s="1025">
        <f>'SAL D''OURO COAST (10)'!N72</f>
        <v>4</v>
      </c>
      <c r="G38" s="1025">
        <f>'SAL D''OURO COAST (10)'!O72</f>
        <v>7</v>
      </c>
      <c r="H38" s="1025">
        <f>'SAL D''OURO COAST (10)'!P72</f>
        <v>7</v>
      </c>
      <c r="I38" s="1025">
        <f>'SAL D''OURO COAST (10)'!Q72</f>
        <v>3</v>
      </c>
      <c r="J38" s="1025">
        <f>'SAL D''OURO COAST (10)'!R72</f>
        <v>5</v>
      </c>
      <c r="K38" s="1025">
        <f>'SAL D''OURO COAST (10)'!S72</f>
        <v>5</v>
      </c>
      <c r="L38" s="1025">
        <f>'SAL D''OURO COAST (10)'!T72</f>
        <v>2</v>
      </c>
      <c r="M38" s="1025">
        <f>'SAL D''OURO COAST (10)'!U72</f>
        <v>0</v>
      </c>
      <c r="N38" s="1036">
        <f t="shared" si="4"/>
        <v>40</v>
      </c>
      <c r="P38" s="1106" t="s">
        <v>17467</v>
      </c>
      <c r="Q38" s="365">
        <f>K46</f>
        <v>12</v>
      </c>
      <c r="R38" s="1093">
        <f t="shared" si="5"/>
        <v>6.9364161849710976E-2</v>
      </c>
    </row>
    <row r="39" spans="1:24" ht="15" customHeight="1">
      <c r="A39" s="1048" t="s">
        <v>17392</v>
      </c>
      <c r="B39" s="1039"/>
      <c r="C39" s="1039"/>
      <c r="D39" s="1039"/>
      <c r="E39" s="1039"/>
      <c r="F39" s="1039"/>
      <c r="G39" s="1039"/>
      <c r="H39" s="1039"/>
      <c r="I39" s="1039"/>
      <c r="J39" s="1039"/>
      <c r="K39" s="1039"/>
      <c r="L39" s="1039"/>
      <c r="M39" s="1040"/>
      <c r="N39" s="1041">
        <f t="shared" si="4"/>
        <v>0</v>
      </c>
      <c r="P39" s="1106" t="s">
        <v>17468</v>
      </c>
      <c r="Q39" s="365">
        <f>L46</f>
        <v>10</v>
      </c>
      <c r="R39" s="1093">
        <f t="shared" si="5"/>
        <v>5.7803468208092484E-2</v>
      </c>
    </row>
    <row r="40" spans="1:24" ht="15" customHeight="1" thickBot="1">
      <c r="A40" s="741" t="s">
        <v>17389</v>
      </c>
      <c r="B40" s="25">
        <f>'ELEVEN (CITY HALL)'!L108</f>
        <v>6</v>
      </c>
      <c r="C40" s="25">
        <f>'ELEVEN (CITY HALL)'!M108</f>
        <v>1</v>
      </c>
      <c r="D40" s="25">
        <f>'ELEVEN (CITY HALL)'!N108</f>
        <v>1</v>
      </c>
      <c r="E40" s="25">
        <f>'ELEVEN (CITY HALL)'!O108</f>
        <v>0</v>
      </c>
      <c r="F40" s="25">
        <f>'ELEVEN (CITY HALL)'!P108</f>
        <v>1</v>
      </c>
      <c r="G40" s="25">
        <f>'ELEVEN (CITY HALL)'!Q108</f>
        <v>1</v>
      </c>
      <c r="H40" s="25">
        <f>'ELEVEN (CITY HALL)'!R108</f>
        <v>0</v>
      </c>
      <c r="I40" s="25">
        <f>'ELEVEN (CITY HALL)'!S108</f>
        <v>0</v>
      </c>
      <c r="J40" s="25">
        <f>'ELEVEN (CITY HALL)'!T108</f>
        <v>0</v>
      </c>
      <c r="K40" s="25">
        <f>'ELEVEN (CITY HALL)'!U108</f>
        <v>0</v>
      </c>
      <c r="L40" s="25">
        <f>'ELEVEN (CITY HALL)'!V108</f>
        <v>0</v>
      </c>
      <c r="M40" s="25">
        <f>'ELEVEN (CITY HALL)'!W108</f>
        <v>0</v>
      </c>
      <c r="N40" s="1036">
        <f t="shared" si="4"/>
        <v>10</v>
      </c>
      <c r="P40" s="1107" t="s">
        <v>17469</v>
      </c>
      <c r="Q40" s="443">
        <f>M46</f>
        <v>1</v>
      </c>
      <c r="R40" s="1108">
        <f t="shared" si="5"/>
        <v>5.7803468208092483E-3</v>
      </c>
    </row>
    <row r="41" spans="1:24" ht="15" customHeight="1">
      <c r="A41" s="1048" t="s">
        <v>287</v>
      </c>
      <c r="B41" s="1042">
        <v>1</v>
      </c>
      <c r="C41" s="1042"/>
      <c r="D41" s="1042"/>
      <c r="E41" s="1042"/>
      <c r="F41" s="1042"/>
      <c r="G41" s="1042"/>
      <c r="H41" s="1042"/>
      <c r="I41" s="1039"/>
      <c r="J41" s="1042"/>
      <c r="K41" s="1042"/>
      <c r="L41" s="1042"/>
      <c r="M41" s="1043"/>
      <c r="N41" s="1041">
        <f t="shared" si="4"/>
        <v>1</v>
      </c>
      <c r="P41" s="1066"/>
      <c r="Q41" s="1066"/>
      <c r="R41" s="1066"/>
    </row>
    <row r="42" spans="1:24" ht="15" customHeight="1">
      <c r="A42" s="741" t="s">
        <v>288</v>
      </c>
      <c r="B42" s="1025"/>
      <c r="C42" s="1025"/>
      <c r="D42" s="1025"/>
      <c r="E42" s="1025"/>
      <c r="F42" s="1025"/>
      <c r="G42" s="1025"/>
      <c r="H42" s="1025"/>
      <c r="I42" s="1025"/>
      <c r="J42" s="1025"/>
      <c r="K42" s="1025"/>
      <c r="L42" s="1025"/>
      <c r="M42" s="1034"/>
      <c r="N42" s="1036">
        <f t="shared" si="4"/>
        <v>0</v>
      </c>
      <c r="P42" s="1066"/>
      <c r="Q42" s="1066"/>
      <c r="R42" s="1066"/>
    </row>
    <row r="43" spans="1:24" ht="15.75" customHeight="1">
      <c r="A43" s="1044" t="s">
        <v>17390</v>
      </c>
      <c r="B43" s="1045">
        <f>'PARKVIEW 5'!G55</f>
        <v>3</v>
      </c>
      <c r="C43" s="1045">
        <f>'PARKVIEW 5'!H55</f>
        <v>2</v>
      </c>
      <c r="D43" s="1045">
        <f>'PARKVIEW 5'!I55</f>
        <v>5</v>
      </c>
      <c r="E43" s="1045">
        <f>'PARKVIEW 5'!J55</f>
        <v>7</v>
      </c>
      <c r="F43" s="1045">
        <f>'PARKVIEW 5'!K55</f>
        <v>0</v>
      </c>
      <c r="G43" s="1045">
        <f>'PARKVIEW 5'!L55</f>
        <v>2</v>
      </c>
      <c r="H43" s="1045">
        <f>'PARKVIEW 5'!M55</f>
        <v>4</v>
      </c>
      <c r="I43" s="1045">
        <f>'PARKVIEW 5'!N55</f>
        <v>0</v>
      </c>
      <c r="J43" s="1045">
        <f>'PARKVIEW 5'!O55</f>
        <v>2</v>
      </c>
      <c r="K43" s="1045">
        <f>'PARKVIEW 5'!P55</f>
        <v>0</v>
      </c>
      <c r="L43" s="1045">
        <f>'PARKVIEW 5'!Q55</f>
        <v>2</v>
      </c>
      <c r="M43" s="1045">
        <f>'PARKVIEW 5'!R55</f>
        <v>0</v>
      </c>
      <c r="N43" s="1046">
        <f t="shared" si="4"/>
        <v>27</v>
      </c>
      <c r="P43" s="1066"/>
      <c r="Q43" s="1066"/>
      <c r="R43" s="1066"/>
    </row>
    <row r="44" spans="1:24" ht="15.75" customHeight="1">
      <c r="A44" s="1490" t="s">
        <v>17818</v>
      </c>
      <c r="B44" s="1111">
        <f>'RED CLIP'!J37</f>
        <v>0</v>
      </c>
      <c r="C44" s="1111">
        <f>'RED CLIP'!K37</f>
        <v>0</v>
      </c>
      <c r="D44" s="1111">
        <f>'RED CLIP'!L37</f>
        <v>0</v>
      </c>
      <c r="E44" s="1111">
        <f>'RED CLIP'!M37</f>
        <v>0</v>
      </c>
      <c r="F44" s="1111">
        <f>'RED CLIP'!O37</f>
        <v>0</v>
      </c>
      <c r="G44" s="1111">
        <f>'RED CLIP'!P37</f>
        <v>0</v>
      </c>
      <c r="H44" s="1111">
        <f>'RED CLIP'!Q37</f>
        <v>0</v>
      </c>
      <c r="I44" s="1111">
        <f>'RED CLIP'!R37</f>
        <v>0</v>
      </c>
      <c r="J44" s="1111">
        <f>'RED CLIP'!S37</f>
        <v>0</v>
      </c>
      <c r="K44" s="1111">
        <f>'RED CLIP'!T37</f>
        <v>0</v>
      </c>
      <c r="L44" s="1111">
        <f>'RED CLIP'!U37</f>
        <v>0</v>
      </c>
      <c r="M44" s="1491">
        <f>'RED CLIP'!V37</f>
        <v>0</v>
      </c>
      <c r="N44" s="1111">
        <f t="shared" si="4"/>
        <v>0</v>
      </c>
      <c r="P44" s="1066"/>
      <c r="Q44" s="1066"/>
      <c r="R44" s="1066"/>
    </row>
    <row r="45" spans="1:24" ht="15.75" customHeight="1" thickBot="1">
      <c r="A45" s="1487"/>
      <c r="B45" s="1031"/>
      <c r="C45" s="1031"/>
      <c r="D45" s="1031"/>
      <c r="E45" s="1031"/>
      <c r="F45" s="1031"/>
      <c r="G45" s="1031"/>
      <c r="H45" s="1031"/>
      <c r="I45" s="1032"/>
      <c r="J45" s="1031"/>
      <c r="K45" s="1031"/>
      <c r="L45" s="1031"/>
      <c r="M45" s="1488"/>
      <c r="N45" s="1489"/>
      <c r="P45" s="1066"/>
      <c r="Q45" s="1066"/>
      <c r="R45" s="1066"/>
    </row>
    <row r="46" spans="1:24" ht="15.75" customHeight="1" thickBot="1">
      <c r="A46" s="1037" t="s">
        <v>17450</v>
      </c>
      <c r="B46" s="1038">
        <f>SUM(B29:B44)</f>
        <v>21</v>
      </c>
      <c r="C46" s="1038">
        <f t="shared" ref="C46:M46" si="6">SUM(C29:C44)</f>
        <v>9</v>
      </c>
      <c r="D46" s="1038">
        <f>SUM(D29:D44)</f>
        <v>23</v>
      </c>
      <c r="E46" s="1038">
        <f t="shared" si="6"/>
        <v>22</v>
      </c>
      <c r="F46" s="1038">
        <f t="shared" si="6"/>
        <v>18</v>
      </c>
      <c r="G46" s="1038">
        <f t="shared" si="6"/>
        <v>16</v>
      </c>
      <c r="H46" s="1038">
        <f t="shared" si="6"/>
        <v>18</v>
      </c>
      <c r="I46" s="1038">
        <f t="shared" si="6"/>
        <v>9</v>
      </c>
      <c r="J46" s="1038">
        <f t="shared" si="6"/>
        <v>14</v>
      </c>
      <c r="K46" s="1038">
        <f t="shared" si="6"/>
        <v>12</v>
      </c>
      <c r="L46" s="1038">
        <f t="shared" si="6"/>
        <v>10</v>
      </c>
      <c r="M46" s="1038">
        <f t="shared" si="6"/>
        <v>1</v>
      </c>
      <c r="N46" s="1049">
        <f>SUM(N29:N44)</f>
        <v>172</v>
      </c>
      <c r="P46" s="1066" t="s">
        <v>17673</v>
      </c>
      <c r="Q46" s="1066"/>
      <c r="R46" s="1066"/>
    </row>
    <row r="48" spans="1:24" ht="13.5" thickBot="1">
      <c r="A48" s="1031"/>
      <c r="B48" s="1031"/>
      <c r="C48" s="1031"/>
      <c r="D48" s="1031"/>
      <c r="E48" s="1031"/>
      <c r="F48" s="1031"/>
      <c r="G48" s="1031"/>
      <c r="H48" s="1031"/>
      <c r="I48" s="1032"/>
      <c r="J48" s="1031"/>
      <c r="K48" s="1031"/>
      <c r="L48" s="1031"/>
      <c r="M48" s="1031"/>
      <c r="N48" s="1031"/>
      <c r="O48" s="1031"/>
      <c r="P48" s="1031"/>
      <c r="Q48" s="1031"/>
      <c r="R48" s="1031"/>
      <c r="S48" s="1086"/>
      <c r="T48" s="1086"/>
      <c r="U48" s="1086"/>
      <c r="V48" s="1086"/>
      <c r="W48" s="1086"/>
      <c r="X48" s="1086"/>
    </row>
    <row r="49" spans="1:18" ht="13.5" thickBot="1"/>
    <row r="50" spans="1:18" ht="15.75" customHeight="1" thickBot="1">
      <c r="A50" s="1881" t="s">
        <v>17437</v>
      </c>
      <c r="B50" s="1882"/>
      <c r="C50" s="1882"/>
      <c r="D50" s="1882"/>
      <c r="E50" s="1882"/>
      <c r="F50" s="1882"/>
      <c r="G50" s="1882"/>
      <c r="H50" s="1883"/>
      <c r="I50" s="4"/>
      <c r="K50" s="1884" t="s">
        <v>17455</v>
      </c>
      <c r="L50" s="1885"/>
      <c r="M50" s="1886"/>
      <c r="N50" s="1"/>
      <c r="O50" s="1"/>
      <c r="P50" s="1"/>
      <c r="Q50" s="1"/>
      <c r="R50" s="1"/>
    </row>
    <row r="51" spans="1:18">
      <c r="A51" s="1052"/>
      <c r="B51" s="1053" t="s">
        <v>247</v>
      </c>
      <c r="C51" s="1053" t="s">
        <v>274</v>
      </c>
      <c r="D51" s="1054" t="s">
        <v>103</v>
      </c>
      <c r="E51" s="1055" t="s">
        <v>248</v>
      </c>
      <c r="F51" s="1055" t="s">
        <v>222</v>
      </c>
      <c r="G51" s="1055" t="s">
        <v>17451</v>
      </c>
      <c r="H51" s="1056" t="s">
        <v>326</v>
      </c>
      <c r="I51" s="4"/>
      <c r="K51" s="1225" t="s">
        <v>755</v>
      </c>
      <c r="L51" s="1226" t="s">
        <v>139</v>
      </c>
      <c r="M51" s="1227" t="s">
        <v>17444</v>
      </c>
      <c r="N51" s="1"/>
      <c r="O51" s="1"/>
      <c r="P51" s="1"/>
      <c r="Q51" s="1"/>
      <c r="R51" s="1"/>
    </row>
    <row r="52" spans="1:18">
      <c r="A52" s="1057" t="s">
        <v>209</v>
      </c>
      <c r="B52" s="1039">
        <f>'PANORAMA (SETUBAL)'!K99</f>
        <v>12</v>
      </c>
      <c r="C52" s="1039">
        <f>'PANORAMA (SETUBAL)'!K100</f>
        <v>7</v>
      </c>
      <c r="D52" s="1039" t="s">
        <v>455</v>
      </c>
      <c r="E52" s="1039" t="s">
        <v>455</v>
      </c>
      <c r="F52" s="1039">
        <f>'PANORAMA (SETUBAL)'!K98</f>
        <v>51</v>
      </c>
      <c r="G52" s="1039" t="s">
        <v>455</v>
      </c>
      <c r="H52" s="1039">
        <f>'PANORAMA (SETUBAL)'!K101</f>
        <v>6</v>
      </c>
      <c r="I52" s="4"/>
      <c r="K52" s="1094" t="s">
        <v>247</v>
      </c>
      <c r="L52" s="1095">
        <f>B68</f>
        <v>233</v>
      </c>
      <c r="M52" s="1096">
        <f t="shared" ref="M52:M58" si="7">L52/(SUM($L$52:$L$58))</f>
        <v>0.43068391866913125</v>
      </c>
      <c r="N52" s="1"/>
      <c r="O52" s="1"/>
      <c r="P52" s="1"/>
      <c r="Q52" s="1"/>
      <c r="R52" s="1"/>
    </row>
    <row r="53" spans="1:18">
      <c r="A53" s="1059" t="s">
        <v>17316</v>
      </c>
      <c r="B53" s="1025">
        <f>'VERDE VALE H1 (MAIA)'!K85</f>
        <v>43</v>
      </c>
      <c r="C53" s="1025">
        <f>'VERDE VALE H1 (MAIA)'!K87</f>
        <v>10</v>
      </c>
      <c r="D53" s="1025" t="s">
        <v>455</v>
      </c>
      <c r="E53" s="1025">
        <f>'VERDE VALE H1 (MAIA)'!K86</f>
        <v>11</v>
      </c>
      <c r="F53" s="1025" t="s">
        <v>455</v>
      </c>
      <c r="G53" s="1025" t="s">
        <v>455</v>
      </c>
      <c r="H53" s="1025" t="s">
        <v>455</v>
      </c>
      <c r="I53" s="4"/>
      <c r="K53" s="1091" t="s">
        <v>274</v>
      </c>
      <c r="L53" s="364">
        <f>C68</f>
        <v>76</v>
      </c>
      <c r="M53" s="1093">
        <f t="shared" si="7"/>
        <v>0.14048059149722736</v>
      </c>
      <c r="N53" s="1"/>
      <c r="O53" s="1"/>
      <c r="P53" s="1"/>
      <c r="Q53" s="1"/>
      <c r="R53" s="1"/>
    </row>
    <row r="54" spans="1:18">
      <c r="A54" s="1061" t="s">
        <v>17386</v>
      </c>
      <c r="B54" s="1039">
        <f>'VERDE VALE H3 A&amp;B (MAIA)'!K73</f>
        <v>38</v>
      </c>
      <c r="C54" s="1039">
        <f>'VERDE VALE H3 A&amp;B (MAIA)'!K75</f>
        <v>5</v>
      </c>
      <c r="D54" s="1039" t="s">
        <v>455</v>
      </c>
      <c r="E54" s="1039">
        <f>'VERDE VALE H3 A&amp;B (MAIA)'!K74</f>
        <v>13</v>
      </c>
      <c r="F54" s="1039" t="s">
        <v>455</v>
      </c>
      <c r="G54" s="1039" t="s">
        <v>455</v>
      </c>
      <c r="H54" s="1039" t="s">
        <v>455</v>
      </c>
      <c r="I54" s="4"/>
      <c r="K54" s="1094" t="s">
        <v>103</v>
      </c>
      <c r="L54" s="1095">
        <f>D68</f>
        <v>105</v>
      </c>
      <c r="M54" s="1096">
        <f t="shared" si="7"/>
        <v>0.19408502772643252</v>
      </c>
      <c r="N54" s="1"/>
      <c r="O54" s="1"/>
      <c r="P54" s="1"/>
      <c r="Q54" s="1"/>
      <c r="R54" s="1"/>
    </row>
    <row r="55" spans="1:18">
      <c r="A55" s="1059" t="s">
        <v>17425</v>
      </c>
      <c r="B55" s="1025">
        <f>'VERDE VALE H2 (MAIA)'!K69</f>
        <v>25</v>
      </c>
      <c r="C55" s="1025">
        <f>'VERDE VALE H2 (MAIA)'!K71</f>
        <v>0</v>
      </c>
      <c r="D55" s="1025" t="s">
        <v>455</v>
      </c>
      <c r="E55" s="1025">
        <f>'VERDE VALE H2 (MAIA)'!K70</f>
        <v>28</v>
      </c>
      <c r="F55" s="1025" t="s">
        <v>455</v>
      </c>
      <c r="G55" s="1025" t="s">
        <v>455</v>
      </c>
      <c r="H55" s="1025" t="s">
        <v>455</v>
      </c>
      <c r="I55" s="4"/>
      <c r="K55" s="1091" t="s">
        <v>248</v>
      </c>
      <c r="L55" s="364">
        <f>E68</f>
        <v>52</v>
      </c>
      <c r="M55" s="1093">
        <f t="shared" si="7"/>
        <v>9.6118299445471345E-2</v>
      </c>
      <c r="N55" s="1"/>
      <c r="O55" s="1"/>
      <c r="P55" s="1"/>
      <c r="Q55" s="1"/>
      <c r="R55" s="1"/>
    </row>
    <row r="56" spans="1:18">
      <c r="A56" s="1061" t="s">
        <v>17426</v>
      </c>
      <c r="B56" s="1039">
        <f>'VERDE VALE H4 A&amp;B (MAIA)'!K97</f>
        <v>0</v>
      </c>
      <c r="C56" s="1039">
        <f>'VERDE VALE H4 A&amp;B (MAIA)'!K99</f>
        <v>0</v>
      </c>
      <c r="D56" s="1039" t="s">
        <v>455</v>
      </c>
      <c r="E56" s="1039">
        <f>'VERDE VALE H4 A&amp;B (MAIA)'!K98</f>
        <v>0</v>
      </c>
      <c r="F56" s="1039" t="s">
        <v>455</v>
      </c>
      <c r="G56" s="1039" t="s">
        <v>455</v>
      </c>
      <c r="H56" s="1039" t="s">
        <v>455</v>
      </c>
      <c r="I56" s="4"/>
      <c r="K56" s="1094" t="s">
        <v>222</v>
      </c>
      <c r="L56" s="1095">
        <f>F68</f>
        <v>64</v>
      </c>
      <c r="M56" s="1096">
        <f t="shared" si="7"/>
        <v>0.11829944547134935</v>
      </c>
      <c r="N56" s="1"/>
      <c r="O56" s="1"/>
      <c r="P56" s="1"/>
      <c r="Q56" s="1"/>
      <c r="R56" s="1"/>
    </row>
    <row r="57" spans="1:18">
      <c r="A57" s="1059" t="s">
        <v>17317</v>
      </c>
      <c r="B57" s="1025">
        <f>'SAL D''OURO OCEAN (8)'!K51</f>
        <v>15</v>
      </c>
      <c r="C57" s="1025">
        <f>'SAL D''OURO OCEAN (8)'!K53+'SAL D''OURO OCEAN (8)'!K54</f>
        <v>11</v>
      </c>
      <c r="D57" s="1025" t="s">
        <v>455</v>
      </c>
      <c r="E57" s="1025" t="s">
        <v>455</v>
      </c>
      <c r="F57" s="1025">
        <f>'SAL D''OURO OCEAN (8)'!K55</f>
        <v>0</v>
      </c>
      <c r="G57" s="1025">
        <f>'SAL D''OURO OCEAN (8)'!K52</f>
        <v>5</v>
      </c>
      <c r="H57" s="1025" t="s">
        <v>455</v>
      </c>
      <c r="I57" s="4"/>
      <c r="K57" s="1091" t="s">
        <v>17451</v>
      </c>
      <c r="L57" s="364">
        <f>G68</f>
        <v>5</v>
      </c>
      <c r="M57" s="1093">
        <f t="shared" si="7"/>
        <v>9.242144177449169E-3</v>
      </c>
      <c r="N57" s="1"/>
      <c r="O57" s="1"/>
      <c r="P57" s="1"/>
      <c r="Q57" s="1"/>
      <c r="R57" s="1"/>
    </row>
    <row r="58" spans="1:18">
      <c r="A58" s="1061" t="s">
        <v>17318</v>
      </c>
      <c r="B58" s="1039">
        <f>'SAL D''OURO PARK (12,2)'!K57</f>
        <v>24</v>
      </c>
      <c r="C58" s="1039">
        <f>'SAL D''OURO PARK (12,2)'!K58</f>
        <v>6</v>
      </c>
      <c r="D58" s="1039" t="s">
        <v>455</v>
      </c>
      <c r="E58" s="1039" t="s">
        <v>455</v>
      </c>
      <c r="F58" s="1039">
        <f>'SAL D''OURO PARK (12,2)'!K60</f>
        <v>2</v>
      </c>
      <c r="G58" s="1039" t="s">
        <v>455</v>
      </c>
      <c r="H58" s="1039" t="s">
        <v>455</v>
      </c>
      <c r="I58" s="4"/>
      <c r="K58" s="1094" t="s">
        <v>326</v>
      </c>
      <c r="L58" s="1095">
        <f>H68</f>
        <v>6</v>
      </c>
      <c r="M58" s="1096">
        <f t="shared" si="7"/>
        <v>1.1090573012939002E-2</v>
      </c>
      <c r="N58" s="1"/>
      <c r="O58" s="1"/>
      <c r="P58" s="1"/>
      <c r="Q58" s="1"/>
      <c r="R58" s="1"/>
    </row>
    <row r="59" spans="1:18">
      <c r="A59" s="1059" t="s">
        <v>17319</v>
      </c>
      <c r="B59" s="1025">
        <f>'SAL D''OURO RESERVE (6)'!K40</f>
        <v>9</v>
      </c>
      <c r="C59" s="1025">
        <f>'SAL D''OURO RESERVE (6)'!K41</f>
        <v>3</v>
      </c>
      <c r="D59" s="1025" t="s">
        <v>455</v>
      </c>
      <c r="E59" s="1025" t="s">
        <v>455</v>
      </c>
      <c r="F59" s="1025">
        <f>'SAL D''OURO RESERVE (6)'!K42</f>
        <v>4</v>
      </c>
      <c r="G59" s="1025" t="s">
        <v>455</v>
      </c>
      <c r="H59" s="1025" t="s">
        <v>455</v>
      </c>
      <c r="I59" s="4"/>
      <c r="K59" s="1091"/>
      <c r="L59" s="5"/>
      <c r="M59" s="1092"/>
      <c r="N59" s="1"/>
      <c r="O59" s="1"/>
      <c r="P59" s="1"/>
      <c r="Q59" s="1"/>
      <c r="R59" s="1"/>
    </row>
    <row r="60" spans="1:18">
      <c r="A60" s="1061" t="s">
        <v>17387</v>
      </c>
      <c r="B60" s="1039">
        <f>'SAL D''OURO HORIZON (9)'!K61</f>
        <v>0</v>
      </c>
      <c r="C60" s="1039">
        <f>'SAL D''OURO HORIZON (9)'!K62</f>
        <v>0</v>
      </c>
      <c r="D60" s="1039" t="s">
        <v>455</v>
      </c>
      <c r="E60" s="1039" t="s">
        <v>455</v>
      </c>
      <c r="F60" s="1039">
        <f>'SAL D''OURO HORIZON (9)'!L63</f>
        <v>3</v>
      </c>
      <c r="G60" s="1039" t="s">
        <v>455</v>
      </c>
      <c r="H60" s="1039" t="s">
        <v>455</v>
      </c>
      <c r="I60" s="4"/>
      <c r="K60" s="1094"/>
      <c r="L60" s="641"/>
      <c r="M60" s="1103"/>
      <c r="N60" s="1"/>
      <c r="O60" s="1"/>
      <c r="P60" s="1"/>
      <c r="Q60" s="1"/>
      <c r="R60" s="1"/>
    </row>
    <row r="61" spans="1:18">
      <c r="A61" s="1059" t="s">
        <v>17388</v>
      </c>
      <c r="B61" s="1025">
        <f>'SAL D''OURO COAST (10)'!K78</f>
        <v>0</v>
      </c>
      <c r="C61" s="1025">
        <f>'SAL D''OURO COAST (10)'!K79</f>
        <v>0</v>
      </c>
      <c r="D61" s="1025" t="s">
        <v>455</v>
      </c>
      <c r="E61" s="1025" t="s">
        <v>455</v>
      </c>
      <c r="F61" s="1025">
        <f>'SAL D''OURO COAST (10)'!L80</f>
        <v>4</v>
      </c>
      <c r="G61" s="1025" t="s">
        <v>455</v>
      </c>
      <c r="H61" s="1025" t="s">
        <v>455</v>
      </c>
      <c r="I61" s="4"/>
      <c r="K61" s="1091"/>
      <c r="L61" s="5"/>
      <c r="M61" s="1092"/>
      <c r="N61" s="1"/>
      <c r="O61" s="1"/>
      <c r="P61" s="1"/>
      <c r="Q61" s="1"/>
      <c r="R61" s="1"/>
    </row>
    <row r="62" spans="1:18">
      <c r="A62" s="1061" t="s">
        <v>17392</v>
      </c>
      <c r="B62" s="1039">
        <f>'SAL D''OURO 17.2'!K42</f>
        <v>0</v>
      </c>
      <c r="C62" s="1039">
        <f>'SAL D''OURO 17.2'!K43</f>
        <v>0</v>
      </c>
      <c r="D62" s="1039" t="s">
        <v>455</v>
      </c>
      <c r="E62" s="1039" t="s">
        <v>455</v>
      </c>
      <c r="F62" s="1039">
        <f>'SAL D''OURO COAST (10)'!K80</f>
        <v>0</v>
      </c>
      <c r="G62" s="1039" t="s">
        <v>455</v>
      </c>
      <c r="H62" s="1039" t="s">
        <v>455</v>
      </c>
      <c r="I62" s="4"/>
      <c r="K62" s="1104"/>
      <c r="L62" s="640"/>
      <c r="M62" s="1105"/>
      <c r="N62" s="1"/>
      <c r="O62" s="1"/>
      <c r="P62" s="1"/>
      <c r="Q62" s="1"/>
      <c r="R62" s="1"/>
    </row>
    <row r="63" spans="1:18" ht="13.5" thickBot="1">
      <c r="A63" s="1059" t="s">
        <v>17389</v>
      </c>
      <c r="B63" s="25">
        <f>'ELEVEN (CITY HALL)'!M114</f>
        <v>44</v>
      </c>
      <c r="C63" s="25">
        <f>'ELEVEN (CITY HALL)'!M115</f>
        <v>32</v>
      </c>
      <c r="D63" s="25">
        <f>'ELEVEN (CITY HALL)'!M116</f>
        <v>17</v>
      </c>
      <c r="E63" s="25" t="s">
        <v>455</v>
      </c>
      <c r="F63" s="25" t="s">
        <v>455</v>
      </c>
      <c r="G63" s="25" t="s">
        <v>455</v>
      </c>
      <c r="H63" s="25" t="s">
        <v>455</v>
      </c>
      <c r="I63" s="4"/>
      <c r="K63" s="1087"/>
      <c r="L63" s="1088"/>
      <c r="M63" s="1089"/>
      <c r="N63" s="1"/>
      <c r="O63" s="1"/>
      <c r="P63" s="1"/>
      <c r="Q63" s="1"/>
      <c r="R63" s="1"/>
    </row>
    <row r="64" spans="1:18">
      <c r="A64" s="1061" t="s">
        <v>287</v>
      </c>
      <c r="B64" s="1042">
        <f>'URBAN INFANTE 10B'!K73</f>
        <v>13</v>
      </c>
      <c r="C64" s="1042">
        <f>'URBAN INFANTE 10B'!K74</f>
        <v>0</v>
      </c>
      <c r="D64" s="1042">
        <f>'URBAN INFANTE 10B'!K75</f>
        <v>52</v>
      </c>
      <c r="E64" s="1042" t="s">
        <v>455</v>
      </c>
      <c r="F64" s="1042" t="s">
        <v>455</v>
      </c>
      <c r="G64" s="1042" t="s">
        <v>455</v>
      </c>
      <c r="H64" s="1042" t="s">
        <v>455</v>
      </c>
      <c r="I64" s="4"/>
      <c r="L64" s="1"/>
      <c r="M64" s="1"/>
      <c r="N64" s="1"/>
      <c r="O64" s="1"/>
      <c r="P64" s="1"/>
      <c r="Q64" s="1"/>
      <c r="R64" s="1"/>
    </row>
    <row r="65" spans="1:26">
      <c r="A65" s="1059" t="s">
        <v>288</v>
      </c>
      <c r="B65" s="1025">
        <f>'URBAN INFANTE 10 A'!K65</f>
        <v>10</v>
      </c>
      <c r="C65" s="1025">
        <f>'URBAN INFANTE 10 A'!K66</f>
        <v>2</v>
      </c>
      <c r="D65" s="1025">
        <f>'URBAN INFANTE 10 A'!K67</f>
        <v>36</v>
      </c>
      <c r="E65" s="1025" t="s">
        <v>455</v>
      </c>
      <c r="F65" s="1025" t="s">
        <v>455</v>
      </c>
      <c r="G65" s="1025" t="s">
        <v>455</v>
      </c>
      <c r="H65" s="1025" t="s">
        <v>455</v>
      </c>
      <c r="I65" s="4"/>
      <c r="L65" s="1"/>
      <c r="M65" s="1"/>
      <c r="N65" s="1"/>
      <c r="O65" s="1"/>
      <c r="P65" s="1"/>
      <c r="Q65" s="1"/>
      <c r="R65" s="1"/>
    </row>
    <row r="66" spans="1:26" ht="13.5" thickBot="1">
      <c r="A66" s="1062" t="s">
        <v>17390</v>
      </c>
      <c r="B66" s="1063">
        <f>'PARKVIEW 5'!H64</f>
        <v>0</v>
      </c>
      <c r="C66" s="1063">
        <f>'PARKVIEW 5'!H64</f>
        <v>0</v>
      </c>
      <c r="D66" s="1063" t="s">
        <v>455</v>
      </c>
      <c r="E66" s="1063">
        <f>'PARKVIEW 5'!H63</f>
        <v>0</v>
      </c>
      <c r="F66" s="1063" t="s">
        <v>455</v>
      </c>
      <c r="G66" s="1063" t="s">
        <v>455</v>
      </c>
      <c r="H66" s="1063" t="s">
        <v>455</v>
      </c>
      <c r="I66" s="4"/>
      <c r="L66" s="1"/>
      <c r="M66" s="1"/>
      <c r="N66" s="1"/>
      <c r="O66" s="1"/>
      <c r="P66" s="1"/>
      <c r="Q66" s="1"/>
      <c r="R66" s="1"/>
    </row>
    <row r="67" spans="1:26" ht="13.5" thickBot="1">
      <c r="A67" s="1029"/>
      <c r="B67" s="1030"/>
      <c r="C67" s="1030"/>
      <c r="D67" s="1030"/>
      <c r="E67" s="1030"/>
      <c r="F67" s="1030"/>
      <c r="G67" s="1030"/>
      <c r="H67" s="1030"/>
      <c r="I67" s="4"/>
      <c r="L67" s="1"/>
      <c r="M67" s="1"/>
      <c r="N67" s="1"/>
      <c r="O67" s="1"/>
      <c r="P67" s="1"/>
      <c r="Q67" s="1"/>
      <c r="R67" s="1"/>
    </row>
    <row r="68" spans="1:26" ht="13.5" thickBot="1">
      <c r="A68" s="1037" t="s">
        <v>17460</v>
      </c>
      <c r="B68" s="1038">
        <f t="shared" ref="B68:H68" si="8">SUM(B52:B66)</f>
        <v>233</v>
      </c>
      <c r="C68" s="1038">
        <f t="shared" si="8"/>
        <v>76</v>
      </c>
      <c r="D68" s="1038">
        <f t="shared" si="8"/>
        <v>105</v>
      </c>
      <c r="E68" s="1038">
        <f t="shared" si="8"/>
        <v>52</v>
      </c>
      <c r="F68" s="1038">
        <f t="shared" si="8"/>
        <v>64</v>
      </c>
      <c r="G68" s="1038">
        <f t="shared" si="8"/>
        <v>5</v>
      </c>
      <c r="H68" s="1038">
        <f t="shared" si="8"/>
        <v>6</v>
      </c>
      <c r="I68" s="4"/>
      <c r="L68" s="1"/>
      <c r="M68" s="1"/>
      <c r="N68" s="1"/>
      <c r="O68" s="1"/>
      <c r="P68" s="1"/>
      <c r="Q68" s="1"/>
      <c r="R68" s="1"/>
    </row>
    <row r="69" spans="1:26" ht="13.5" thickBot="1">
      <c r="A69" s="1031"/>
      <c r="B69" s="1031"/>
      <c r="C69" s="1031"/>
      <c r="D69" s="1031"/>
      <c r="E69" s="1031"/>
      <c r="F69" s="1031"/>
      <c r="G69" s="1031"/>
      <c r="H69" s="1031"/>
      <c r="I69" s="1032"/>
      <c r="J69" s="1031"/>
      <c r="K69" s="1031"/>
      <c r="L69" s="1031"/>
      <c r="M69" s="1031"/>
      <c r="N69" s="1031"/>
      <c r="O69" s="1031"/>
      <c r="P69" s="1031"/>
      <c r="Q69" s="1031"/>
      <c r="R69" s="1031"/>
      <c r="S69" s="1086"/>
      <c r="T69" s="1086"/>
      <c r="U69" s="1086"/>
      <c r="V69" s="1086"/>
      <c r="W69" s="1086"/>
      <c r="X69" s="1086"/>
    </row>
    <row r="70" spans="1:26" ht="15.75" customHeight="1"/>
    <row r="71" spans="1:26" ht="15.75" customHeight="1">
      <c r="A71" s="1879" t="s">
        <v>17441</v>
      </c>
      <c r="B71" s="1880"/>
      <c r="C71" s="1880"/>
      <c r="D71" s="1880"/>
      <c r="E71" s="1880"/>
      <c r="F71" s="1880"/>
      <c r="G71" s="1880"/>
      <c r="H71" s="1880"/>
      <c r="I71" s="1880"/>
      <c r="J71" s="1880"/>
      <c r="K71" s="1880"/>
      <c r="L71" s="1880"/>
      <c r="M71" s="1880"/>
      <c r="N71" s="1880"/>
      <c r="O71" s="1880"/>
      <c r="P71" s="1880"/>
      <c r="Q71" s="1880"/>
      <c r="R71" s="1880"/>
      <c r="S71" s="1880"/>
      <c r="T71" s="1880"/>
      <c r="U71" s="1880"/>
      <c r="V71" s="1880"/>
      <c r="W71" s="1880"/>
      <c r="X71" s="1880"/>
    </row>
    <row r="72" spans="1:26" ht="13.5" thickBot="1">
      <c r="A72" s="25"/>
      <c r="B72" s="1073" t="s">
        <v>265</v>
      </c>
      <c r="C72" s="1073" t="s">
        <v>517</v>
      </c>
      <c r="D72" s="1074" t="s">
        <v>565</v>
      </c>
      <c r="E72" s="1075" t="s">
        <v>17421</v>
      </c>
      <c r="F72" s="1075" t="s">
        <v>17448</v>
      </c>
      <c r="G72" s="1075" t="s">
        <v>734</v>
      </c>
      <c r="H72" s="1075" t="s">
        <v>525</v>
      </c>
      <c r="I72" s="1076" t="s">
        <v>558</v>
      </c>
      <c r="J72" s="1076" t="s">
        <v>541</v>
      </c>
      <c r="K72" s="1076" t="s">
        <v>561</v>
      </c>
      <c r="L72" s="1076" t="s">
        <v>563</v>
      </c>
      <c r="M72" s="1076" t="s">
        <v>566</v>
      </c>
      <c r="N72" s="1076" t="s">
        <v>17219</v>
      </c>
      <c r="O72" s="1076" t="s">
        <v>17246</v>
      </c>
      <c r="P72" s="1076" t="s">
        <v>17200</v>
      </c>
      <c r="Q72" s="1076" t="s">
        <v>17283</v>
      </c>
      <c r="R72" s="1076" t="s">
        <v>17174</v>
      </c>
      <c r="S72" s="1076" t="s">
        <v>591</v>
      </c>
      <c r="T72" s="1077" t="s">
        <v>17442</v>
      </c>
      <c r="U72" s="1077" t="s">
        <v>514</v>
      </c>
      <c r="V72" s="1077" t="s">
        <v>17721</v>
      </c>
      <c r="W72" s="1077" t="s">
        <v>730</v>
      </c>
      <c r="X72" s="4" t="s">
        <v>141</v>
      </c>
      <c r="Y72" s="1" t="s">
        <v>17470</v>
      </c>
      <c r="Z72" s="1" t="s">
        <v>17471</v>
      </c>
    </row>
    <row r="73" spans="1:26">
      <c r="A73" s="1069" t="s">
        <v>209</v>
      </c>
      <c r="B73" s="1078">
        <f>'PANORAMA (SETUBAL)'!P98</f>
        <v>34</v>
      </c>
      <c r="C73" s="1079">
        <f>'PANORAMA (SETUBAL)'!P99</f>
        <v>18</v>
      </c>
      <c r="D73" s="1079">
        <f>'PANORAMA (SETUBAL)'!P108</f>
        <v>6</v>
      </c>
      <c r="E73" s="1079" t="s">
        <v>455</v>
      </c>
      <c r="F73" s="1079">
        <f>'PANORAMA (SETUBAL)'!P100</f>
        <v>1</v>
      </c>
      <c r="G73" s="1079" t="s">
        <v>455</v>
      </c>
      <c r="H73" s="1079">
        <f>'PANORAMA (SETUBAL)'!P101</f>
        <v>1</v>
      </c>
      <c r="I73" s="1079">
        <f>'PANORAMA (SETUBAL)'!P102</f>
        <v>1</v>
      </c>
      <c r="J73" s="1079">
        <f>'PANORAMA (SETUBAL)'!P103</f>
        <v>1</v>
      </c>
      <c r="K73" s="1079">
        <f>'PANORAMA (SETUBAL)'!P104</f>
        <v>3</v>
      </c>
      <c r="L73" s="1079">
        <f>'PANORAMA (SETUBAL)'!P105</f>
        <v>3</v>
      </c>
      <c r="M73" s="1079">
        <f>'PANORAMA (SETUBAL)'!P106</f>
        <v>2</v>
      </c>
      <c r="N73" s="1079">
        <f>'PANORAMA (SETUBAL)'!P107</f>
        <v>1</v>
      </c>
      <c r="O73" s="1079" t="s">
        <v>455</v>
      </c>
      <c r="P73" s="1079" t="s">
        <v>455</v>
      </c>
      <c r="Q73" s="1079" t="s">
        <v>455</v>
      </c>
      <c r="R73" s="1079" t="s">
        <v>455</v>
      </c>
      <c r="S73" s="1079" t="s">
        <v>455</v>
      </c>
      <c r="T73" s="1079">
        <f>'PANORAMA (SETUBAL)'!P109</f>
        <v>2</v>
      </c>
      <c r="U73" s="1079">
        <f>'PANORAMA (SETUBAL)'!P110</f>
        <v>1</v>
      </c>
      <c r="V73" s="1502"/>
      <c r="W73" s="1080" t="s">
        <v>455</v>
      </c>
      <c r="X73" s="1028">
        <f t="shared" ref="X73:X87" si="9">SUM(B73:W73)</f>
        <v>74</v>
      </c>
      <c r="Y73" s="1109">
        <f t="shared" ref="Y73:Y87" si="10">B73/X73</f>
        <v>0.45945945945945948</v>
      </c>
      <c r="Z73" s="646">
        <f t="shared" ref="Z73:Z87" si="11">SUM(C73:W73)</f>
        <v>40</v>
      </c>
    </row>
    <row r="74" spans="1:26">
      <c r="A74" s="1070" t="s">
        <v>17316</v>
      </c>
      <c r="B74" s="1081">
        <f>'VERDE VALE H1 (MAIA)'!P85</f>
        <v>50</v>
      </c>
      <c r="C74" s="1025">
        <f>'VERDE VALE H1 (MAIA)'!P86</f>
        <v>11</v>
      </c>
      <c r="D74" s="1025">
        <f>'VERDE VALE H1 (MAIA)'!L123</f>
        <v>0</v>
      </c>
      <c r="E74" s="1025">
        <f>'VERDE VALE H1 (MAIA)'!P88</f>
        <v>2</v>
      </c>
      <c r="F74" s="1025" t="s">
        <v>455</v>
      </c>
      <c r="G74" s="1025" t="s">
        <v>455</v>
      </c>
      <c r="H74" s="1025" t="s">
        <v>455</v>
      </c>
      <c r="I74" s="1025" t="s">
        <v>455</v>
      </c>
      <c r="J74" s="1025" t="s">
        <v>455</v>
      </c>
      <c r="K74" s="1025" t="s">
        <v>455</v>
      </c>
      <c r="L74" s="1025" t="s">
        <v>455</v>
      </c>
      <c r="M74" s="1025" t="s">
        <v>455</v>
      </c>
      <c r="N74" s="1034" t="s">
        <v>455</v>
      </c>
      <c r="O74" s="1034" t="s">
        <v>455</v>
      </c>
      <c r="P74" s="1034" t="s">
        <v>455</v>
      </c>
      <c r="Q74" s="1034" t="s">
        <v>455</v>
      </c>
      <c r="R74" s="1034" t="s">
        <v>455</v>
      </c>
      <c r="S74" s="1034" t="s">
        <v>455</v>
      </c>
      <c r="T74" s="1025" t="s">
        <v>455</v>
      </c>
      <c r="U74" s="1025">
        <f>'VERDE VALE H1 (MAIA)'!P87</f>
        <v>1</v>
      </c>
      <c r="V74" s="1034"/>
      <c r="W74" s="1060" t="s">
        <v>455</v>
      </c>
      <c r="X74" s="1028">
        <f t="shared" si="9"/>
        <v>64</v>
      </c>
      <c r="Y74" s="1109">
        <f t="shared" si="10"/>
        <v>0.78125</v>
      </c>
      <c r="Z74" s="646">
        <f t="shared" si="11"/>
        <v>14</v>
      </c>
    </row>
    <row r="75" spans="1:26">
      <c r="A75" s="1071" t="s">
        <v>17386</v>
      </c>
      <c r="B75" s="1082">
        <f>'VERDE VALE H3 A&amp;B (MAIA)'!P73</f>
        <v>49</v>
      </c>
      <c r="C75" s="1039">
        <f>'VERDE VALE H3 A&amp;B (MAIA)'!P74</f>
        <v>2</v>
      </c>
      <c r="D75" s="1039">
        <f>'VERDE VALE H3 A&amp;B (MAIA)'!P76</f>
        <v>1</v>
      </c>
      <c r="E75" s="1039" t="s">
        <v>455</v>
      </c>
      <c r="F75" s="1039" t="s">
        <v>455</v>
      </c>
      <c r="G75" s="1039" t="s">
        <v>455</v>
      </c>
      <c r="H75" s="1039" t="s">
        <v>455</v>
      </c>
      <c r="I75" s="1039" t="s">
        <v>455</v>
      </c>
      <c r="J75" s="1039" t="s">
        <v>455</v>
      </c>
      <c r="K75" s="1039" t="s">
        <v>455</v>
      </c>
      <c r="L75" s="1039" t="s">
        <v>455</v>
      </c>
      <c r="M75" s="1039" t="s">
        <v>455</v>
      </c>
      <c r="N75" s="1040" t="s">
        <v>455</v>
      </c>
      <c r="O75" s="1040" t="s">
        <v>455</v>
      </c>
      <c r="P75" s="1040" t="s">
        <v>455</v>
      </c>
      <c r="Q75" s="1040" t="s">
        <v>455</v>
      </c>
      <c r="R75" s="1040" t="s">
        <v>455</v>
      </c>
      <c r="S75" s="1040" t="s">
        <v>455</v>
      </c>
      <c r="T75" s="1039" t="s">
        <v>455</v>
      </c>
      <c r="U75" s="1039" t="s">
        <v>455</v>
      </c>
      <c r="V75" s="1040"/>
      <c r="W75" s="1058">
        <f>'VERDE VALE H3 A&amp;B (MAIA)'!P75</f>
        <v>1</v>
      </c>
      <c r="X75" s="1028">
        <f t="shared" si="9"/>
        <v>53</v>
      </c>
      <c r="Y75" s="1109">
        <f t="shared" si="10"/>
        <v>0.92452830188679247</v>
      </c>
      <c r="Z75" s="646">
        <f t="shared" si="11"/>
        <v>4</v>
      </c>
    </row>
    <row r="76" spans="1:26">
      <c r="A76" s="1070" t="s">
        <v>17425</v>
      </c>
      <c r="B76" s="1081">
        <f>'VERDE VALE H2 (MAIA)'!P69</f>
        <v>50</v>
      </c>
      <c r="C76" s="1025">
        <f>'VERDE VALE H2 (MAIA)'!P70</f>
        <v>0</v>
      </c>
      <c r="D76" s="1025">
        <f>'VERDE VALE H2 (MAIA)'!P71</f>
        <v>1</v>
      </c>
      <c r="E76" s="1025" t="s">
        <v>455</v>
      </c>
      <c r="F76" s="1025" t="s">
        <v>455</v>
      </c>
      <c r="G76" s="1025" t="s">
        <v>455</v>
      </c>
      <c r="H76" s="1025" t="s">
        <v>455</v>
      </c>
      <c r="I76" s="1025" t="s">
        <v>455</v>
      </c>
      <c r="J76" s="1025" t="s">
        <v>455</v>
      </c>
      <c r="K76" s="1025" t="s">
        <v>455</v>
      </c>
      <c r="L76" s="1025" t="s">
        <v>455</v>
      </c>
      <c r="M76" s="1025" t="s">
        <v>455</v>
      </c>
      <c r="N76" s="1034" t="s">
        <v>455</v>
      </c>
      <c r="O76" s="1034" t="s">
        <v>455</v>
      </c>
      <c r="P76" s="1034" t="s">
        <v>455</v>
      </c>
      <c r="Q76" s="1034" t="s">
        <v>455</v>
      </c>
      <c r="R76" s="1034" t="s">
        <v>455</v>
      </c>
      <c r="S76" s="1034" t="s">
        <v>455</v>
      </c>
      <c r="T76" s="1025" t="s">
        <v>455</v>
      </c>
      <c r="U76" s="1025" t="s">
        <v>455</v>
      </c>
      <c r="V76" s="1034"/>
      <c r="W76" s="1060" t="s">
        <v>455</v>
      </c>
      <c r="X76" s="1028">
        <f t="shared" si="9"/>
        <v>51</v>
      </c>
      <c r="Y76" s="1109">
        <f t="shared" si="10"/>
        <v>0.98039215686274506</v>
      </c>
      <c r="Z76" s="646">
        <f t="shared" si="11"/>
        <v>1</v>
      </c>
    </row>
    <row r="77" spans="1:26">
      <c r="A77" s="1071" t="s">
        <v>17426</v>
      </c>
      <c r="B77" s="1082">
        <f>'VERDE VALE H4 A&amp;B (MAIA)'!P97</f>
        <v>58</v>
      </c>
      <c r="C77" s="1039">
        <f>'VERDE VALE H4 A&amp;B (MAIA)'!P98</f>
        <v>5</v>
      </c>
      <c r="D77" s="1039">
        <f>'VERDE VALE H4 A&amp;B (MAIA)'!P99</f>
        <v>4</v>
      </c>
      <c r="E77" s="1039" t="s">
        <v>455</v>
      </c>
      <c r="F77" s="1039" t="s">
        <v>455</v>
      </c>
      <c r="G77" s="1039" t="s">
        <v>455</v>
      </c>
      <c r="H77" s="1039" t="s">
        <v>455</v>
      </c>
      <c r="I77" s="1039" t="s">
        <v>455</v>
      </c>
      <c r="J77" s="1039" t="s">
        <v>455</v>
      </c>
      <c r="K77" s="1039" t="s">
        <v>455</v>
      </c>
      <c r="L77" s="1039" t="s">
        <v>455</v>
      </c>
      <c r="M77" s="1039" t="s">
        <v>455</v>
      </c>
      <c r="N77" s="1040" t="s">
        <v>455</v>
      </c>
      <c r="O77" s="1040" t="s">
        <v>455</v>
      </c>
      <c r="P77" s="1040" t="s">
        <v>455</v>
      </c>
      <c r="Q77" s="1040" t="s">
        <v>455</v>
      </c>
      <c r="R77" s="1040" t="s">
        <v>455</v>
      </c>
      <c r="S77" s="1040" t="s">
        <v>455</v>
      </c>
      <c r="T77" s="1039" t="s">
        <v>455</v>
      </c>
      <c r="U77" s="1039" t="s">
        <v>455</v>
      </c>
      <c r="V77" s="1040"/>
      <c r="W77" s="1058" t="s">
        <v>455</v>
      </c>
      <c r="X77" s="1028">
        <f t="shared" si="9"/>
        <v>67</v>
      </c>
      <c r="Y77" s="1109">
        <f t="shared" si="10"/>
        <v>0.86567164179104472</v>
      </c>
      <c r="Z77" s="646">
        <f t="shared" si="11"/>
        <v>9</v>
      </c>
    </row>
    <row r="78" spans="1:26">
      <c r="A78" s="1070" t="s">
        <v>17317</v>
      </c>
      <c r="B78" s="1081">
        <f>'SAL D''OURO OCEAN (8)'!P51</f>
        <v>13</v>
      </c>
      <c r="C78" s="1025">
        <f>'SAL D''OURO OCEAN (8)'!P52</f>
        <v>12</v>
      </c>
      <c r="D78" s="1025">
        <f>'SAL D''OURO OCEAN (8)'!P53</f>
        <v>1</v>
      </c>
      <c r="E78" s="1025" t="s">
        <v>455</v>
      </c>
      <c r="F78" s="1025" t="s">
        <v>455</v>
      </c>
      <c r="G78" s="1025">
        <f>'SAL D''OURO OCEAN (8)'!P54</f>
        <v>3</v>
      </c>
      <c r="H78" s="1025" t="s">
        <v>455</v>
      </c>
      <c r="I78" s="1025" t="s">
        <v>455</v>
      </c>
      <c r="J78" s="1025" t="s">
        <v>455</v>
      </c>
      <c r="K78" s="1025" t="s">
        <v>455</v>
      </c>
      <c r="L78" s="1025" t="s">
        <v>455</v>
      </c>
      <c r="M78" s="1025" t="s">
        <v>455</v>
      </c>
      <c r="N78" s="1034" t="s">
        <v>455</v>
      </c>
      <c r="O78" s="1034" t="s">
        <v>455</v>
      </c>
      <c r="P78" s="1034">
        <f>'SAL D''OURO OCEAN (8)'!P55</f>
        <v>1</v>
      </c>
      <c r="Q78" s="1034" t="s">
        <v>455</v>
      </c>
      <c r="R78" s="1034" t="s">
        <v>455</v>
      </c>
      <c r="S78" s="1034" t="s">
        <v>455</v>
      </c>
      <c r="T78" s="1025" t="s">
        <v>455</v>
      </c>
      <c r="U78" s="1025" t="s">
        <v>455</v>
      </c>
      <c r="V78" s="1034"/>
      <c r="W78" s="1060" t="s">
        <v>455</v>
      </c>
      <c r="X78" s="1028">
        <f t="shared" si="9"/>
        <v>30</v>
      </c>
      <c r="Y78" s="1109">
        <f t="shared" si="10"/>
        <v>0.43333333333333335</v>
      </c>
      <c r="Z78" s="646">
        <f t="shared" si="11"/>
        <v>17</v>
      </c>
    </row>
    <row r="79" spans="1:26">
      <c r="A79" s="1071" t="s">
        <v>17318</v>
      </c>
      <c r="B79" s="1082">
        <f>'SAL D''OURO PARK (12,2)'!P57</f>
        <v>14</v>
      </c>
      <c r="C79" s="1039">
        <f>'SAL D''OURO PARK (12,2)'!P58</f>
        <v>9</v>
      </c>
      <c r="D79" s="1039">
        <f>'SAL D''OURO PARK (12,2)'!P59</f>
        <v>6</v>
      </c>
      <c r="E79" s="1039">
        <f>'SAL D''OURO PARK (12,2)'!P63</f>
        <v>1</v>
      </c>
      <c r="F79" s="1039" t="s">
        <v>455</v>
      </c>
      <c r="G79" s="1039">
        <f>'SAL D''OURO PARK (12,2)'!P60</f>
        <v>1</v>
      </c>
      <c r="H79" s="1039" t="s">
        <v>455</v>
      </c>
      <c r="I79" s="1039" t="s">
        <v>455</v>
      </c>
      <c r="J79" s="1039" t="s">
        <v>455</v>
      </c>
      <c r="K79" s="1039" t="s">
        <v>455</v>
      </c>
      <c r="L79" s="1039" t="s">
        <v>455</v>
      </c>
      <c r="M79" s="1039" t="s">
        <v>455</v>
      </c>
      <c r="N79" s="1040" t="s">
        <v>455</v>
      </c>
      <c r="O79" s="1040">
        <f>'SAL D''OURO PARK (12,2)'!P62</f>
        <v>1</v>
      </c>
      <c r="P79" s="1040">
        <f>'SAL D''OURO PARK (12,2)'!P61</f>
        <v>1</v>
      </c>
      <c r="Q79" s="1040" t="s">
        <v>455</v>
      </c>
      <c r="R79" s="1040" t="s">
        <v>455</v>
      </c>
      <c r="S79" s="1040" t="s">
        <v>455</v>
      </c>
      <c r="T79" s="1039" t="s">
        <v>455</v>
      </c>
      <c r="U79" s="1039" t="s">
        <v>455</v>
      </c>
      <c r="V79" s="1040"/>
      <c r="W79" s="1058" t="s">
        <v>455</v>
      </c>
      <c r="X79" s="1028">
        <f t="shared" si="9"/>
        <v>33</v>
      </c>
      <c r="Y79" s="1109">
        <f t="shared" si="10"/>
        <v>0.42424242424242425</v>
      </c>
      <c r="Z79" s="646">
        <f t="shared" si="11"/>
        <v>19</v>
      </c>
    </row>
    <row r="80" spans="1:26">
      <c r="A80" s="1070" t="s">
        <v>17319</v>
      </c>
      <c r="B80" s="1081">
        <f>'SAL D''OURO RESERVE (6)'!P40</f>
        <v>6</v>
      </c>
      <c r="C80" s="1025">
        <f>'SAL D''OURO RESERVE (6)'!P41</f>
        <v>3</v>
      </c>
      <c r="D80" s="1025">
        <f>'SAL D''OURO RESERVE (6)'!P42</f>
        <v>4</v>
      </c>
      <c r="E80" s="1025" t="s">
        <v>455</v>
      </c>
      <c r="F80" s="1025" t="s">
        <v>455</v>
      </c>
      <c r="G80" s="1025" t="s">
        <v>455</v>
      </c>
      <c r="H80" s="1025" t="s">
        <v>455</v>
      </c>
      <c r="I80" s="1025" t="s">
        <v>455</v>
      </c>
      <c r="J80" s="1025" t="s">
        <v>455</v>
      </c>
      <c r="K80" s="1025" t="s">
        <v>455</v>
      </c>
      <c r="L80" s="1025">
        <f>'SAL D''OURO RESERVE (6)'!P43</f>
        <v>4</v>
      </c>
      <c r="M80" s="1025" t="s">
        <v>455</v>
      </c>
      <c r="N80" s="1034" t="s">
        <v>455</v>
      </c>
      <c r="O80" s="1034" t="s">
        <v>455</v>
      </c>
      <c r="P80" s="1034" t="s">
        <v>455</v>
      </c>
      <c r="Q80" s="1034" t="s">
        <v>455</v>
      </c>
      <c r="R80" s="1034" t="s">
        <v>455</v>
      </c>
      <c r="S80" s="1034" t="s">
        <v>455</v>
      </c>
      <c r="T80" s="1025" t="s">
        <v>455</v>
      </c>
      <c r="U80" s="1025" t="s">
        <v>455</v>
      </c>
      <c r="V80" s="1034"/>
      <c r="W80" s="1060" t="s">
        <v>455</v>
      </c>
      <c r="X80" s="1028">
        <f t="shared" si="9"/>
        <v>17</v>
      </c>
      <c r="Y80" s="1109">
        <f t="shared" si="10"/>
        <v>0.35294117647058826</v>
      </c>
      <c r="Z80" s="646">
        <f t="shared" si="11"/>
        <v>11</v>
      </c>
    </row>
    <row r="81" spans="1:26">
      <c r="A81" s="1071" t="s">
        <v>17387</v>
      </c>
      <c r="B81" s="1082">
        <f>'SAL D''OURO HORIZON (9)'!Q61</f>
        <v>23</v>
      </c>
      <c r="C81" s="1039">
        <f>'SAL D''OURO HORIZON (9)'!Q62</f>
        <v>3</v>
      </c>
      <c r="D81" s="1039" t="s">
        <v>455</v>
      </c>
      <c r="E81" s="1039" t="s">
        <v>455</v>
      </c>
      <c r="F81" s="1039" t="s">
        <v>455</v>
      </c>
      <c r="G81" s="1039" t="s">
        <v>455</v>
      </c>
      <c r="H81" s="1039" t="s">
        <v>455</v>
      </c>
      <c r="I81" s="1039" t="s">
        <v>455</v>
      </c>
      <c r="J81" s="1039" t="s">
        <v>455</v>
      </c>
      <c r="K81" s="1039" t="s">
        <v>455</v>
      </c>
      <c r="L81" s="1039" t="s">
        <v>455</v>
      </c>
      <c r="M81" s="1039" t="s">
        <v>455</v>
      </c>
      <c r="N81" s="1040" t="s">
        <v>455</v>
      </c>
      <c r="O81" s="1040" t="s">
        <v>455</v>
      </c>
      <c r="P81" s="1040" t="s">
        <v>455</v>
      </c>
      <c r="Q81" s="1040" t="s">
        <v>455</v>
      </c>
      <c r="R81" s="1040" t="s">
        <v>455</v>
      </c>
      <c r="S81" s="1040" t="s">
        <v>455</v>
      </c>
      <c r="T81" s="1039" t="s">
        <v>455</v>
      </c>
      <c r="U81" s="1039" t="s">
        <v>455</v>
      </c>
      <c r="V81" s="1040"/>
      <c r="W81" s="1058" t="s">
        <v>455</v>
      </c>
      <c r="X81" s="1028">
        <f t="shared" si="9"/>
        <v>26</v>
      </c>
      <c r="Y81" s="1109">
        <f t="shared" si="10"/>
        <v>0.88461538461538458</v>
      </c>
      <c r="Z81" s="646">
        <f t="shared" si="11"/>
        <v>3</v>
      </c>
    </row>
    <row r="82" spans="1:26">
      <c r="A82" s="1070" t="s">
        <v>17388</v>
      </c>
      <c r="B82" s="1081">
        <f>'SAL D''OURO COAST (10)'!P78</f>
        <v>24</v>
      </c>
      <c r="C82" s="1025">
        <f>'SAL D''OURO COAST (10)'!P79</f>
        <v>5</v>
      </c>
      <c r="D82" s="1025" t="s">
        <v>455</v>
      </c>
      <c r="E82" s="1025" t="s">
        <v>455</v>
      </c>
      <c r="F82" s="1025" t="s">
        <v>455</v>
      </c>
      <c r="G82" s="1025" t="s">
        <v>455</v>
      </c>
      <c r="H82" s="1025" t="s">
        <v>455</v>
      </c>
      <c r="I82" s="1025" t="s">
        <v>455</v>
      </c>
      <c r="J82" s="1025" t="s">
        <v>455</v>
      </c>
      <c r="K82" s="1025" t="s">
        <v>455</v>
      </c>
      <c r="L82" s="1025" t="s">
        <v>455</v>
      </c>
      <c r="M82" s="1025" t="s">
        <v>455</v>
      </c>
      <c r="N82" s="1034" t="s">
        <v>455</v>
      </c>
      <c r="O82" s="1034" t="s">
        <v>455</v>
      </c>
      <c r="P82" s="1034" t="s">
        <v>455</v>
      </c>
      <c r="Q82" s="1034" t="s">
        <v>455</v>
      </c>
      <c r="R82" s="1034" t="s">
        <v>455</v>
      </c>
      <c r="S82" s="1034" t="s">
        <v>455</v>
      </c>
      <c r="T82" s="1025" t="s">
        <v>455</v>
      </c>
      <c r="U82" s="1025" t="s">
        <v>455</v>
      </c>
      <c r="V82" s="1034"/>
      <c r="W82" s="1060" t="s">
        <v>455</v>
      </c>
      <c r="X82" s="1028">
        <f t="shared" si="9"/>
        <v>29</v>
      </c>
      <c r="Y82" s="1109">
        <f t="shared" si="10"/>
        <v>0.82758620689655171</v>
      </c>
      <c r="Z82" s="646">
        <f t="shared" si="11"/>
        <v>5</v>
      </c>
    </row>
    <row r="83" spans="1:26">
      <c r="A83" s="1071" t="s">
        <v>17392</v>
      </c>
      <c r="B83" s="1082">
        <f>'SAL D''OURO 17.2'!P42</f>
        <v>0</v>
      </c>
      <c r="C83" s="1039">
        <f>'SAL D''OURO 17.2'!P43</f>
        <v>0</v>
      </c>
      <c r="D83" s="1039" t="s">
        <v>455</v>
      </c>
      <c r="E83" s="1039" t="s">
        <v>455</v>
      </c>
      <c r="F83" s="1039" t="s">
        <v>455</v>
      </c>
      <c r="G83" s="1039" t="s">
        <v>455</v>
      </c>
      <c r="H83" s="1039" t="s">
        <v>455</v>
      </c>
      <c r="I83" s="1039" t="s">
        <v>455</v>
      </c>
      <c r="J83" s="1039" t="s">
        <v>455</v>
      </c>
      <c r="K83" s="1039" t="s">
        <v>455</v>
      </c>
      <c r="L83" s="1039" t="s">
        <v>455</v>
      </c>
      <c r="M83" s="1039" t="s">
        <v>455</v>
      </c>
      <c r="N83" s="1040" t="s">
        <v>455</v>
      </c>
      <c r="O83" s="1040" t="s">
        <v>455</v>
      </c>
      <c r="P83" s="1040" t="s">
        <v>455</v>
      </c>
      <c r="Q83" s="1040" t="s">
        <v>455</v>
      </c>
      <c r="R83" s="1040" t="s">
        <v>455</v>
      </c>
      <c r="S83" s="1040" t="s">
        <v>455</v>
      </c>
      <c r="T83" s="1039" t="s">
        <v>455</v>
      </c>
      <c r="U83" s="1039" t="s">
        <v>455</v>
      </c>
      <c r="V83" s="1040"/>
      <c r="W83" s="1058" t="s">
        <v>455</v>
      </c>
      <c r="X83" s="1028">
        <f t="shared" si="9"/>
        <v>0</v>
      </c>
      <c r="Y83" s="1109" t="e">
        <f t="shared" si="10"/>
        <v>#DIV/0!</v>
      </c>
      <c r="Z83" s="646">
        <f t="shared" si="11"/>
        <v>0</v>
      </c>
    </row>
    <row r="84" spans="1:26">
      <c r="A84" s="1070" t="s">
        <v>17389</v>
      </c>
      <c r="B84" s="1081">
        <f>'ELEVEN (CITY HALL)'!R114</f>
        <v>50</v>
      </c>
      <c r="C84" s="1025">
        <f>'ELEVEN (CITY HALL)'!R115</f>
        <v>20</v>
      </c>
      <c r="D84" s="1025">
        <f>'ELEVEN (CITY HALL)'!R116</f>
        <v>6</v>
      </c>
      <c r="E84" s="25" t="s">
        <v>455</v>
      </c>
      <c r="F84" s="1025">
        <f>'ELEVEN (CITY HALL)'!R122</f>
        <v>0</v>
      </c>
      <c r="G84" s="25" t="s">
        <v>455</v>
      </c>
      <c r="H84" s="25" t="s">
        <v>455</v>
      </c>
      <c r="I84" s="25" t="s">
        <v>455</v>
      </c>
      <c r="J84" s="25" t="s">
        <v>455</v>
      </c>
      <c r="K84" s="25" t="s">
        <v>455</v>
      </c>
      <c r="L84" s="1025">
        <f>'ELEVEN (CITY HALL)'!R117</f>
        <v>5</v>
      </c>
      <c r="M84" s="25" t="s">
        <v>455</v>
      </c>
      <c r="N84" s="1034">
        <f>'ELEVEN (CITY HALL)'!R123</f>
        <v>1</v>
      </c>
      <c r="O84" s="1035" t="s">
        <v>455</v>
      </c>
      <c r="P84" s="1034">
        <f>'ELEVEN (CITY HALL)'!R118</f>
        <v>1</v>
      </c>
      <c r="Q84" s="1034">
        <f>'ELEVEN (CITY HALL)'!R124</f>
        <v>1</v>
      </c>
      <c r="R84" s="1034">
        <f>'ELEVEN (CITY HALL)'!R119</f>
        <v>1</v>
      </c>
      <c r="S84" s="1034">
        <f>'ELEVEN (CITY HALL)'!R121</f>
        <v>1</v>
      </c>
      <c r="T84" s="1025" t="s">
        <v>455</v>
      </c>
      <c r="U84" s="1025">
        <f>'ELEVEN (CITY HALL)'!R120</f>
        <v>1</v>
      </c>
      <c r="V84" s="1034"/>
      <c r="W84" s="1060">
        <f>'ELEVEN (CITY HALL)'!R125</f>
        <v>3</v>
      </c>
      <c r="X84" s="1028">
        <f t="shared" si="9"/>
        <v>90</v>
      </c>
      <c r="Y84" s="1109">
        <f t="shared" si="10"/>
        <v>0.55555555555555558</v>
      </c>
      <c r="Z84" s="646">
        <f t="shared" si="11"/>
        <v>40</v>
      </c>
    </row>
    <row r="85" spans="1:26">
      <c r="A85" s="1071" t="s">
        <v>287</v>
      </c>
      <c r="B85" s="1082">
        <f>'URBAN INFANTE 10B'!P73</f>
        <v>57</v>
      </c>
      <c r="C85" s="1042" t="s">
        <v>455</v>
      </c>
      <c r="D85" s="1039">
        <f>'URBAN INFANTE 10B'!P74</f>
        <v>4</v>
      </c>
      <c r="E85" s="1039">
        <f>'URBAN INFANTE 10B'!P75</f>
        <v>2</v>
      </c>
      <c r="F85" s="1039">
        <f>'URBAN INFANTE 10B'!P77</f>
        <v>1</v>
      </c>
      <c r="G85" s="1042" t="s">
        <v>455</v>
      </c>
      <c r="H85" s="1042" t="s">
        <v>455</v>
      </c>
      <c r="I85" s="1042" t="s">
        <v>455</v>
      </c>
      <c r="J85" s="1039" t="s">
        <v>455</v>
      </c>
      <c r="K85" s="1042" t="s">
        <v>455</v>
      </c>
      <c r="L85" s="1042" t="s">
        <v>455</v>
      </c>
      <c r="M85" s="1042" t="s">
        <v>455</v>
      </c>
      <c r="N85" s="1043" t="s">
        <v>455</v>
      </c>
      <c r="O85" s="1043" t="s">
        <v>455</v>
      </c>
      <c r="P85" s="1043" t="s">
        <v>455</v>
      </c>
      <c r="Q85" s="1040">
        <f>'URBAN INFANTE 10B'!P76</f>
        <v>1</v>
      </c>
      <c r="R85" s="1043" t="s">
        <v>455</v>
      </c>
      <c r="S85" s="1043" t="s">
        <v>455</v>
      </c>
      <c r="T85" s="1039" t="s">
        <v>455</v>
      </c>
      <c r="U85" s="1039" t="s">
        <v>455</v>
      </c>
      <c r="V85" s="1040"/>
      <c r="W85" s="1058" t="s">
        <v>455</v>
      </c>
      <c r="X85" s="1028">
        <f t="shared" si="9"/>
        <v>65</v>
      </c>
      <c r="Y85" s="1109">
        <f t="shared" si="10"/>
        <v>0.87692307692307692</v>
      </c>
      <c r="Z85" s="646">
        <f t="shared" si="11"/>
        <v>8</v>
      </c>
    </row>
    <row r="86" spans="1:26">
      <c r="A86" s="1070" t="s">
        <v>288</v>
      </c>
      <c r="B86" s="1081">
        <f>'URBAN INFANTE 10 A'!P65</f>
        <v>43</v>
      </c>
      <c r="C86" s="1025">
        <f>'URBAN INFANTE 10 A'!P66</f>
        <v>0</v>
      </c>
      <c r="D86" s="1025">
        <f>'URBAN INFANTE 10 A'!P67</f>
        <v>2</v>
      </c>
      <c r="E86" s="1025" t="s">
        <v>455</v>
      </c>
      <c r="F86" s="1025" t="s">
        <v>455</v>
      </c>
      <c r="G86" s="1025" t="s">
        <v>455</v>
      </c>
      <c r="H86" s="1025" t="s">
        <v>455</v>
      </c>
      <c r="I86" s="1025" t="s">
        <v>455</v>
      </c>
      <c r="J86" s="1025" t="s">
        <v>455</v>
      </c>
      <c r="K86" s="1025" t="s">
        <v>455</v>
      </c>
      <c r="L86" s="1025">
        <f>'URBAN INFANTE 10 A'!P68</f>
        <v>1</v>
      </c>
      <c r="M86" s="1025" t="s">
        <v>455</v>
      </c>
      <c r="N86" s="1034">
        <f>'URBAN INFANTE 10 A'!P70</f>
        <v>1</v>
      </c>
      <c r="O86" s="1034" t="s">
        <v>455</v>
      </c>
      <c r="P86" s="1034" t="s">
        <v>455</v>
      </c>
      <c r="Q86" s="1034" t="s">
        <v>455</v>
      </c>
      <c r="R86" s="1034" t="s">
        <v>455</v>
      </c>
      <c r="S86" s="1034" t="s">
        <v>455</v>
      </c>
      <c r="T86" s="1025" t="s">
        <v>455</v>
      </c>
      <c r="U86" s="1025" t="s">
        <v>455</v>
      </c>
      <c r="V86" s="1034"/>
      <c r="W86" s="1060">
        <f>'URBAN INFANTE 10 A'!P69</f>
        <v>1</v>
      </c>
      <c r="X86" s="1028">
        <f t="shared" si="9"/>
        <v>48</v>
      </c>
      <c r="Y86" s="1109">
        <f t="shared" si="10"/>
        <v>0.89583333333333337</v>
      </c>
      <c r="Z86" s="646">
        <f t="shared" si="11"/>
        <v>5</v>
      </c>
    </row>
    <row r="87" spans="1:26" ht="13.5" thickBot="1">
      <c r="A87" s="1072" t="s">
        <v>17390</v>
      </c>
      <c r="B87" s="1084">
        <f>'PARKVIEW 5'!M62</f>
        <v>21</v>
      </c>
      <c r="C87" s="1063">
        <f>'PARKVIEW 5'!M63</f>
        <v>0</v>
      </c>
      <c r="D87" s="1063" t="s">
        <v>455</v>
      </c>
      <c r="E87" s="1063" t="s">
        <v>455</v>
      </c>
      <c r="F87" s="1063" t="s">
        <v>455</v>
      </c>
      <c r="G87" s="1063" t="s">
        <v>455</v>
      </c>
      <c r="H87" s="1063" t="s">
        <v>455</v>
      </c>
      <c r="I87" s="1063" t="s">
        <v>455</v>
      </c>
      <c r="J87" s="1063" t="s">
        <v>455</v>
      </c>
      <c r="K87" s="1063" t="s">
        <v>455</v>
      </c>
      <c r="L87" s="1063" t="s">
        <v>455</v>
      </c>
      <c r="M87" s="1063" t="s">
        <v>455</v>
      </c>
      <c r="N87" s="1085" t="s">
        <v>455</v>
      </c>
      <c r="O87" s="1085" t="s">
        <v>455</v>
      </c>
      <c r="P87" s="1085" t="s">
        <v>455</v>
      </c>
      <c r="Q87" s="1085" t="s">
        <v>455</v>
      </c>
      <c r="R87" s="1085" t="s">
        <v>455</v>
      </c>
      <c r="S87" s="1085" t="s">
        <v>455</v>
      </c>
      <c r="T87" s="1063" t="s">
        <v>455</v>
      </c>
      <c r="U87" s="1063">
        <f>'PARKVIEW 5'!M67</f>
        <v>1</v>
      </c>
      <c r="V87" s="1085"/>
      <c r="W87" s="1064" t="s">
        <v>455</v>
      </c>
      <c r="X87" s="1028">
        <f t="shared" si="9"/>
        <v>22</v>
      </c>
      <c r="Y87" s="1109">
        <f t="shared" si="10"/>
        <v>0.95454545454545459</v>
      </c>
      <c r="Z87" s="646">
        <f t="shared" si="11"/>
        <v>1</v>
      </c>
    </row>
    <row r="88" spans="1:26" ht="13.5" thickBot="1">
      <c r="A88" s="1068"/>
      <c r="I88" s="4"/>
      <c r="J88" s="739"/>
      <c r="N88" s="1067"/>
      <c r="O88" s="1067"/>
      <c r="P88" s="1067"/>
      <c r="Q88" s="1067"/>
      <c r="R88" s="1067"/>
      <c r="S88" s="1067"/>
      <c r="T88" s="1065"/>
      <c r="U88" s="1067"/>
      <c r="V88" s="1067"/>
      <c r="W88" s="1067"/>
      <c r="X88" s="4"/>
      <c r="Y88" s="4"/>
      <c r="Z88" s="4"/>
    </row>
    <row r="89" spans="1:26" ht="13.5" thickBot="1">
      <c r="A89" s="1037" t="s">
        <v>17450</v>
      </c>
      <c r="B89" s="1038">
        <f>SUM(B73:B87)</f>
        <v>492</v>
      </c>
      <c r="C89" s="1038">
        <f t="shared" ref="C89:W89" si="12">SUM(C73:C87)</f>
        <v>88</v>
      </c>
      <c r="D89" s="1038">
        <f t="shared" si="12"/>
        <v>35</v>
      </c>
      <c r="E89" s="1038">
        <f t="shared" si="12"/>
        <v>5</v>
      </c>
      <c r="F89" s="1038">
        <f t="shared" si="12"/>
        <v>2</v>
      </c>
      <c r="G89" s="1038">
        <f t="shared" si="12"/>
        <v>4</v>
      </c>
      <c r="H89" s="1038">
        <f t="shared" si="12"/>
        <v>1</v>
      </c>
      <c r="I89" s="1038">
        <f t="shared" si="12"/>
        <v>1</v>
      </c>
      <c r="J89" s="1038">
        <f t="shared" si="12"/>
        <v>1</v>
      </c>
      <c r="K89" s="1038">
        <f t="shared" si="12"/>
        <v>3</v>
      </c>
      <c r="L89" s="1038">
        <f t="shared" si="12"/>
        <v>13</v>
      </c>
      <c r="M89" s="1038">
        <f t="shared" si="12"/>
        <v>2</v>
      </c>
      <c r="N89" s="1038">
        <f t="shared" si="12"/>
        <v>3</v>
      </c>
      <c r="O89" s="1038">
        <f t="shared" si="12"/>
        <v>1</v>
      </c>
      <c r="P89" s="1038">
        <f t="shared" si="12"/>
        <v>3</v>
      </c>
      <c r="Q89" s="1038">
        <f t="shared" si="12"/>
        <v>2</v>
      </c>
      <c r="R89" s="1038">
        <f t="shared" si="12"/>
        <v>1</v>
      </c>
      <c r="S89" s="1038">
        <f t="shared" si="12"/>
        <v>1</v>
      </c>
      <c r="T89" s="1038">
        <f t="shared" si="12"/>
        <v>2</v>
      </c>
      <c r="U89" s="1038">
        <f t="shared" si="12"/>
        <v>4</v>
      </c>
      <c r="V89" s="1038"/>
      <c r="W89" s="1038">
        <f t="shared" si="12"/>
        <v>5</v>
      </c>
      <c r="X89" s="4"/>
      <c r="Y89" s="4"/>
      <c r="Z89" s="4"/>
    </row>
    <row r="90" spans="1:26" ht="13.5" thickBot="1"/>
    <row r="91" spans="1:26" ht="13.5" thickBot="1">
      <c r="A91" s="1876" t="s">
        <v>17441</v>
      </c>
      <c r="B91" s="1877"/>
      <c r="C91" s="1878"/>
    </row>
    <row r="92" spans="1:26" ht="13.5" thickBot="1">
      <c r="A92" s="1113" t="s">
        <v>17458</v>
      </c>
      <c r="B92" s="1114" t="s">
        <v>139</v>
      </c>
      <c r="C92" s="1115" t="s">
        <v>17444</v>
      </c>
    </row>
    <row r="93" spans="1:26">
      <c r="A93" s="1116" t="s">
        <v>265</v>
      </c>
      <c r="B93" s="1117">
        <f>B89</f>
        <v>492</v>
      </c>
      <c r="C93" s="1118">
        <f t="shared" ref="C93:C113" si="13">B93/(SUM($B$93:$B$113))</f>
        <v>0.73542600896860988</v>
      </c>
    </row>
    <row r="94" spans="1:26">
      <c r="A94" s="1083" t="s">
        <v>517</v>
      </c>
      <c r="B94" s="1025">
        <f>C89</f>
        <v>88</v>
      </c>
      <c r="C94" s="1090">
        <f t="shared" si="13"/>
        <v>0.13153961136023917</v>
      </c>
    </row>
    <row r="95" spans="1:26">
      <c r="A95" s="1099" t="s">
        <v>565</v>
      </c>
      <c r="B95" s="1097">
        <f>D89</f>
        <v>35</v>
      </c>
      <c r="C95" s="1098">
        <f t="shared" si="13"/>
        <v>5.2316890881913304E-2</v>
      </c>
    </row>
    <row r="96" spans="1:26">
      <c r="A96" s="1083" t="s">
        <v>730</v>
      </c>
      <c r="B96" s="1025">
        <f>W89</f>
        <v>5</v>
      </c>
      <c r="C96" s="1090">
        <f t="shared" si="13"/>
        <v>7.4738415545590429E-3</v>
      </c>
    </row>
    <row r="97" spans="1:9">
      <c r="A97" s="1099" t="s">
        <v>563</v>
      </c>
      <c r="B97" s="1097">
        <f>L89</f>
        <v>13</v>
      </c>
      <c r="C97" s="1098">
        <f t="shared" si="13"/>
        <v>1.9431988041853511E-2</v>
      </c>
    </row>
    <row r="98" spans="1:9">
      <c r="A98" s="1083" t="s">
        <v>17421</v>
      </c>
      <c r="B98" s="1025">
        <f>E89</f>
        <v>5</v>
      </c>
      <c r="C98" s="1090">
        <f t="shared" si="13"/>
        <v>7.4738415545590429E-3</v>
      </c>
    </row>
    <row r="99" spans="1:9">
      <c r="A99" s="1099" t="s">
        <v>17448</v>
      </c>
      <c r="B99" s="1097">
        <f>F89</f>
        <v>2</v>
      </c>
      <c r="C99" s="1098">
        <f t="shared" si="13"/>
        <v>2.9895366218236174E-3</v>
      </c>
    </row>
    <row r="100" spans="1:9">
      <c r="A100" s="1083" t="s">
        <v>734</v>
      </c>
      <c r="B100" s="1025">
        <f>G89</f>
        <v>4</v>
      </c>
      <c r="C100" s="1090">
        <f t="shared" si="13"/>
        <v>5.9790732436472349E-3</v>
      </c>
    </row>
    <row r="101" spans="1:9">
      <c r="A101" s="1099" t="s">
        <v>17200</v>
      </c>
      <c r="B101" s="1097">
        <f>P89</f>
        <v>3</v>
      </c>
      <c r="C101" s="1098">
        <f t="shared" si="13"/>
        <v>4.4843049327354259E-3</v>
      </c>
    </row>
    <row r="102" spans="1:9">
      <c r="A102" s="1083" t="s">
        <v>17219</v>
      </c>
      <c r="B102" s="1025">
        <f>N89</f>
        <v>3</v>
      </c>
      <c r="C102" s="1090">
        <f t="shared" si="13"/>
        <v>4.4843049327354259E-3</v>
      </c>
    </row>
    <row r="103" spans="1:9">
      <c r="A103" s="1099" t="s">
        <v>514</v>
      </c>
      <c r="B103" s="1097">
        <f>U89</f>
        <v>4</v>
      </c>
      <c r="C103" s="1098">
        <f t="shared" si="13"/>
        <v>5.9790732436472349E-3</v>
      </c>
    </row>
    <row r="104" spans="1:9">
      <c r="A104" s="1083" t="s">
        <v>561</v>
      </c>
      <c r="B104" s="1025">
        <f>K89</f>
        <v>3</v>
      </c>
      <c r="C104" s="1090">
        <f t="shared" si="13"/>
        <v>4.4843049327354259E-3</v>
      </c>
    </row>
    <row r="105" spans="1:9">
      <c r="A105" s="1099" t="s">
        <v>566</v>
      </c>
      <c r="B105" s="1097">
        <f>M89</f>
        <v>2</v>
      </c>
      <c r="C105" s="1098">
        <f t="shared" si="13"/>
        <v>2.9895366218236174E-3</v>
      </c>
    </row>
    <row r="106" spans="1:9">
      <c r="A106" s="1110" t="s">
        <v>17442</v>
      </c>
      <c r="B106" s="1111">
        <f>T89</f>
        <v>2</v>
      </c>
      <c r="C106" s="1112">
        <f t="shared" si="13"/>
        <v>2.9895366218236174E-3</v>
      </c>
      <c r="H106" s="739"/>
    </row>
    <row r="107" spans="1:9">
      <c r="A107" s="1099" t="s">
        <v>17283</v>
      </c>
      <c r="B107" s="1097">
        <f>Q89</f>
        <v>2</v>
      </c>
      <c r="C107" s="1098">
        <f t="shared" si="13"/>
        <v>2.9895366218236174E-3</v>
      </c>
      <c r="H107" s="739"/>
      <c r="I107" s="1268"/>
    </row>
    <row r="108" spans="1:9">
      <c r="A108" s="1110" t="s">
        <v>525</v>
      </c>
      <c r="B108" s="1111">
        <f>H89</f>
        <v>1</v>
      </c>
      <c r="C108" s="1112">
        <f t="shared" si="13"/>
        <v>1.4947683109118087E-3</v>
      </c>
      <c r="H108" s="739"/>
    </row>
    <row r="109" spans="1:9">
      <c r="A109" s="1099" t="s">
        <v>558</v>
      </c>
      <c r="B109" s="1097">
        <f>I89</f>
        <v>1</v>
      </c>
      <c r="C109" s="1098">
        <f t="shared" si="13"/>
        <v>1.4947683109118087E-3</v>
      </c>
      <c r="H109" s="739"/>
    </row>
    <row r="110" spans="1:9">
      <c r="A110" s="1110" t="s">
        <v>541</v>
      </c>
      <c r="B110" s="1111">
        <f>J89</f>
        <v>1</v>
      </c>
      <c r="C110" s="1112">
        <f t="shared" si="13"/>
        <v>1.4947683109118087E-3</v>
      </c>
      <c r="H110" s="739"/>
    </row>
    <row r="111" spans="1:9">
      <c r="A111" s="1099" t="s">
        <v>17246</v>
      </c>
      <c r="B111" s="1097">
        <f>O89</f>
        <v>1</v>
      </c>
      <c r="C111" s="1098">
        <f t="shared" si="13"/>
        <v>1.4947683109118087E-3</v>
      </c>
      <c r="H111" s="739"/>
    </row>
    <row r="112" spans="1:9">
      <c r="A112" s="1110" t="s">
        <v>17174</v>
      </c>
      <c r="B112" s="1111">
        <f>R89</f>
        <v>1</v>
      </c>
      <c r="C112" s="1112">
        <f t="shared" si="13"/>
        <v>1.4947683109118087E-3</v>
      </c>
      <c r="H112" s="739"/>
    </row>
    <row r="113" spans="1:8" ht="13.5" thickBot="1">
      <c r="A113" s="1100" t="s">
        <v>591</v>
      </c>
      <c r="B113" s="1101">
        <f>S89</f>
        <v>1</v>
      </c>
      <c r="C113" s="1102">
        <f t="shared" si="13"/>
        <v>1.4947683109118087E-3</v>
      </c>
      <c r="H113" s="739"/>
    </row>
  </sheetData>
  <mergeCells count="6">
    <mergeCell ref="A91:C91"/>
    <mergeCell ref="A71:X71"/>
    <mergeCell ref="A50:H50"/>
    <mergeCell ref="A27:N27"/>
    <mergeCell ref="K50:M50"/>
    <mergeCell ref="P27:R27"/>
  </mergeCells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F308-1812-45FB-BF2D-D3DCAD934411}">
  <sheetPr>
    <tabColor theme="9" tint="-0.249977111117893"/>
    <pageSetUpPr fitToPage="1"/>
  </sheetPr>
  <dimension ref="A1:AZ101"/>
  <sheetViews>
    <sheetView topLeftCell="A63" zoomScaleNormal="100" workbookViewId="0">
      <pane xSplit="2" topLeftCell="C1" activePane="topRight" state="frozen"/>
      <selection activeCell="A2" sqref="A2"/>
      <selection pane="topRight" activeCell="K93" sqref="K93"/>
    </sheetView>
  </sheetViews>
  <sheetFormatPr defaultColWidth="9.140625" defaultRowHeight="12.75"/>
  <cols>
    <col min="1" max="1" width="8.5703125" style="125" bestFit="1" customWidth="1"/>
    <col min="2" max="2" width="11" style="125" bestFit="1" customWidth="1"/>
    <col min="3" max="3" width="11.7109375" style="125" customWidth="1"/>
    <col min="4" max="4" width="11.42578125" style="125" customWidth="1"/>
    <col min="5" max="5" width="15.85546875" style="125" customWidth="1"/>
    <col min="6" max="6" width="12.42578125" style="125" customWidth="1"/>
    <col min="7" max="7" width="11.28515625" style="125" customWidth="1"/>
    <col min="8" max="8" width="11.42578125" style="125" customWidth="1"/>
    <col min="9" max="9" width="14.7109375" style="125" customWidth="1"/>
    <col min="10" max="10" width="18.7109375" style="125" customWidth="1"/>
    <col min="11" max="11" width="19.28515625" style="1" customWidth="1"/>
    <col min="12" max="14" width="13.42578125" style="1" customWidth="1"/>
    <col min="15" max="15" width="11.5703125" style="1" customWidth="1"/>
    <col min="16" max="16" width="10.28515625" style="125" customWidth="1"/>
    <col min="17" max="17" width="11.42578125" style="125" customWidth="1"/>
    <col min="18" max="18" width="19" style="125" customWidth="1"/>
    <col min="19" max="19" width="12.5703125" style="125" customWidth="1"/>
    <col min="20" max="21" width="13.7109375" style="125" customWidth="1"/>
    <col min="22" max="22" width="12.85546875" style="125" customWidth="1"/>
    <col min="23" max="23" width="12.140625" style="125" customWidth="1"/>
    <col min="24" max="25" width="13.42578125" style="125" customWidth="1"/>
    <col min="26" max="27" width="13.42578125" style="257" customWidth="1"/>
    <col min="28" max="28" width="14.140625" style="257" customWidth="1"/>
    <col min="29" max="30" width="14.140625" style="660" customWidth="1"/>
    <col min="31" max="31" width="12.5703125" style="257" customWidth="1"/>
    <col min="32" max="32" width="14.140625" style="660" customWidth="1"/>
    <col min="33" max="33" width="12.7109375" style="257" customWidth="1"/>
    <col min="34" max="34" width="14.140625" style="660" customWidth="1"/>
    <col min="35" max="35" width="16.85546875" style="125" customWidth="1"/>
    <col min="36" max="36" width="16.42578125" style="125" customWidth="1"/>
    <col min="37" max="40" width="15" style="125" customWidth="1"/>
    <col min="41" max="41" width="74.85546875" style="125" customWidth="1"/>
    <col min="42" max="42" width="12.85546875" style="125" bestFit="1" customWidth="1"/>
    <col min="43" max="47" width="12.85546875" style="125" customWidth="1"/>
    <col min="48" max="49" width="12.85546875" style="125" bestFit="1" customWidth="1"/>
    <col min="50" max="51" width="18.28515625" style="125" bestFit="1" customWidth="1"/>
    <col min="52" max="52" width="18.28515625" style="125" customWidth="1"/>
    <col min="53" max="16384" width="9.140625" style="125"/>
  </cols>
  <sheetData>
    <row r="1" spans="1:52" s="188" customFormat="1" ht="26.25" thickBot="1">
      <c r="A1" s="6" t="s">
        <v>23</v>
      </c>
      <c r="B1" s="6" t="s">
        <v>5</v>
      </c>
      <c r="C1" s="6" t="s">
        <v>1</v>
      </c>
      <c r="D1" s="20" t="s">
        <v>0</v>
      </c>
      <c r="E1" s="20" t="s">
        <v>3</v>
      </c>
      <c r="F1" s="6" t="s">
        <v>6</v>
      </c>
      <c r="G1" s="6" t="s">
        <v>2</v>
      </c>
      <c r="H1" s="6" t="s">
        <v>212</v>
      </c>
      <c r="I1" s="6" t="s">
        <v>11</v>
      </c>
      <c r="J1" s="6" t="s">
        <v>12</v>
      </c>
      <c r="K1" s="6" t="s">
        <v>216</v>
      </c>
      <c r="L1" s="6" t="s">
        <v>217</v>
      </c>
      <c r="M1" s="6" t="s">
        <v>218</v>
      </c>
      <c r="N1" s="6" t="s">
        <v>219</v>
      </c>
      <c r="O1" s="6" t="s">
        <v>22</v>
      </c>
      <c r="P1" s="6" t="s">
        <v>246</v>
      </c>
      <c r="Q1" s="6" t="s">
        <v>251</v>
      </c>
      <c r="R1" s="21" t="s">
        <v>221</v>
      </c>
      <c r="S1" s="6" t="s">
        <v>14</v>
      </c>
      <c r="T1" s="21" t="s">
        <v>528</v>
      </c>
      <c r="U1" s="21"/>
      <c r="V1" s="6" t="s">
        <v>16</v>
      </c>
      <c r="W1" s="6" t="s">
        <v>227</v>
      </c>
      <c r="X1" s="6" t="s">
        <v>522</v>
      </c>
      <c r="Y1" s="6" t="s">
        <v>228</v>
      </c>
      <c r="Z1" s="281" t="s">
        <v>17210</v>
      </c>
      <c r="AA1" s="281" t="s">
        <v>300</v>
      </c>
      <c r="AB1" s="281" t="s">
        <v>4</v>
      </c>
      <c r="AC1" s="659" t="s">
        <v>545</v>
      </c>
      <c r="AD1" s="659" t="s">
        <v>546</v>
      </c>
      <c r="AE1" s="281" t="s">
        <v>553</v>
      </c>
      <c r="AF1" s="659" t="s">
        <v>547</v>
      </c>
      <c r="AG1" s="281" t="s">
        <v>554</v>
      </c>
      <c r="AH1" s="659" t="s">
        <v>548</v>
      </c>
      <c r="AI1" s="6" t="s">
        <v>8</v>
      </c>
      <c r="AJ1" s="6" t="s">
        <v>255</v>
      </c>
      <c r="AK1" s="6" t="s">
        <v>18</v>
      </c>
      <c r="AL1" s="6" t="s">
        <v>17302</v>
      </c>
      <c r="AM1" s="6" t="s">
        <v>17341</v>
      </c>
      <c r="AN1" s="6" t="s">
        <v>543</v>
      </c>
      <c r="AO1" s="6" t="s">
        <v>19</v>
      </c>
      <c r="AP1" s="6" t="s">
        <v>261</v>
      </c>
      <c r="AQ1" s="6" t="s">
        <v>17891</v>
      </c>
      <c r="AR1" s="6" t="s">
        <v>17892</v>
      </c>
      <c r="AS1" s="6" t="s">
        <v>17893</v>
      </c>
      <c r="AT1" s="6" t="s">
        <v>17602</v>
      </c>
      <c r="AU1" s="6" t="s">
        <v>17601</v>
      </c>
      <c r="AV1" s="6" t="s">
        <v>262</v>
      </c>
      <c r="AW1" s="6" t="s">
        <v>263</v>
      </c>
      <c r="AX1" s="6" t="s">
        <v>20</v>
      </c>
      <c r="AY1" s="6" t="s">
        <v>21</v>
      </c>
      <c r="AZ1" s="1213" t="s">
        <v>18073</v>
      </c>
    </row>
    <row r="2" spans="1:52" s="657" customFormat="1" ht="15">
      <c r="A2" s="95">
        <v>1</v>
      </c>
      <c r="B2" s="63" t="s">
        <v>24</v>
      </c>
      <c r="C2" s="649" t="s">
        <v>89</v>
      </c>
      <c r="D2" s="650">
        <v>1</v>
      </c>
      <c r="E2" s="650" t="s">
        <v>236</v>
      </c>
      <c r="F2" s="651">
        <v>109.21</v>
      </c>
      <c r="G2" s="652">
        <v>24.622</v>
      </c>
      <c r="H2" s="677"/>
      <c r="I2" s="654">
        <f t="shared" ref="I2:I33" si="0">F2+0.3*G2</f>
        <v>116.5966</v>
      </c>
      <c r="J2" s="95" t="s">
        <v>258</v>
      </c>
      <c r="K2" s="371" t="s">
        <v>17276</v>
      </c>
      <c r="L2" s="95"/>
      <c r="M2" s="95"/>
      <c r="N2" s="95"/>
      <c r="O2" s="99"/>
      <c r="P2" s="446"/>
      <c r="Q2" s="446"/>
      <c r="R2" s="656">
        <v>369600</v>
      </c>
      <c r="S2" s="475">
        <f>0.96*T2</f>
        <v>369600</v>
      </c>
      <c r="T2" s="475">
        <v>385000</v>
      </c>
      <c r="U2" s="475"/>
      <c r="V2" s="101">
        <f>S2/T2-1</f>
        <v>-4.0000000000000036E-2</v>
      </c>
      <c r="W2" s="102">
        <f t="shared" ref="W2:W33" si="1">R2/I2</f>
        <v>3169.9037536257492</v>
      </c>
      <c r="X2" s="102">
        <f>S2/I2</f>
        <v>3169.9037536257492</v>
      </c>
      <c r="Y2" s="102">
        <f>T2/I2</f>
        <v>3301.9830766934888</v>
      </c>
      <c r="Z2" s="554"/>
      <c r="AA2" s="554"/>
      <c r="AB2" s="135">
        <v>45701</v>
      </c>
      <c r="AC2" s="663">
        <f>5000+68920</f>
        <v>73920</v>
      </c>
      <c r="AD2" s="663"/>
      <c r="AE2" s="135"/>
      <c r="AF2" s="663"/>
      <c r="AG2" s="135"/>
      <c r="AH2" s="663">
        <v>295680</v>
      </c>
      <c r="AI2" s="95" t="s">
        <v>248</v>
      </c>
      <c r="AJ2" s="95"/>
      <c r="AK2" s="95"/>
      <c r="AL2" s="95"/>
      <c r="AM2" s="95"/>
      <c r="AN2" s="95"/>
      <c r="AO2" s="104" t="s">
        <v>17838</v>
      </c>
      <c r="AP2" s="104" t="s">
        <v>265</v>
      </c>
      <c r="AQ2" s="104"/>
      <c r="AR2" s="104"/>
      <c r="AS2" s="104"/>
      <c r="AT2" s="1612" t="s">
        <v>18089</v>
      </c>
      <c r="AU2" s="104">
        <v>912870265</v>
      </c>
      <c r="AV2" s="104"/>
      <c r="AW2" s="104"/>
      <c r="AX2" s="115">
        <f t="shared" ref="AX2:AX33" si="2">AY2*I2</f>
        <v>318308.71799999999</v>
      </c>
      <c r="AY2" s="115">
        <v>2730</v>
      </c>
      <c r="AZ2" s="115"/>
    </row>
    <row r="3" spans="1:52" s="657" customFormat="1">
      <c r="A3" s="95">
        <v>2</v>
      </c>
      <c r="B3" s="63" t="s">
        <v>25</v>
      </c>
      <c r="C3" s="649" t="s">
        <v>91</v>
      </c>
      <c r="D3" s="650">
        <v>1</v>
      </c>
      <c r="E3" s="650" t="s">
        <v>237</v>
      </c>
      <c r="F3" s="651">
        <v>83.411000000000001</v>
      </c>
      <c r="G3" s="652">
        <v>22.855</v>
      </c>
      <c r="H3" s="653"/>
      <c r="I3" s="654">
        <f t="shared" si="0"/>
        <v>90.267499999999998</v>
      </c>
      <c r="J3" s="95" t="s">
        <v>258</v>
      </c>
      <c r="K3" s="371" t="s">
        <v>17277</v>
      </c>
      <c r="L3" s="95"/>
      <c r="M3" s="95"/>
      <c r="N3" s="95"/>
      <c r="O3" s="105"/>
      <c r="P3" s="95" t="s">
        <v>249</v>
      </c>
      <c r="Q3" s="95" t="s">
        <v>249</v>
      </c>
      <c r="R3" s="664">
        <v>235000</v>
      </c>
      <c r="S3" s="475">
        <v>235000</v>
      </c>
      <c r="T3" s="475">
        <v>246750</v>
      </c>
      <c r="U3" s="475"/>
      <c r="V3" s="101"/>
      <c r="W3" s="102">
        <f t="shared" si="1"/>
        <v>2603.3733071149641</v>
      </c>
      <c r="X3" s="102">
        <f>T3/I3</f>
        <v>2733.5419724707122</v>
      </c>
      <c r="Y3" s="102"/>
      <c r="Z3" s="102"/>
      <c r="AA3" s="554">
        <v>44897</v>
      </c>
      <c r="AB3" s="135">
        <v>45343</v>
      </c>
      <c r="AC3" s="663">
        <v>47000</v>
      </c>
      <c r="AD3" s="663"/>
      <c r="AE3" s="135"/>
      <c r="AF3" s="663"/>
      <c r="AG3" s="135"/>
      <c r="AH3" s="663">
        <v>188000</v>
      </c>
      <c r="AI3" s="95" t="s">
        <v>247</v>
      </c>
      <c r="AJ3" s="95" t="s">
        <v>252</v>
      </c>
      <c r="AK3" s="95"/>
      <c r="AL3" s="95"/>
      <c r="AM3" s="95"/>
      <c r="AN3" s="95"/>
      <c r="AO3" s="104" t="s">
        <v>286</v>
      </c>
      <c r="AP3" s="104" t="s">
        <v>265</v>
      </c>
      <c r="AQ3" s="104"/>
      <c r="AR3" s="104"/>
      <c r="AS3" s="104"/>
      <c r="AT3" s="104"/>
      <c r="AU3" s="104"/>
      <c r="AV3" s="104" t="s">
        <v>215</v>
      </c>
      <c r="AW3" s="104"/>
      <c r="AX3" s="115">
        <f t="shared" si="2"/>
        <v>246430.27499999999</v>
      </c>
      <c r="AY3" s="115">
        <v>2730</v>
      </c>
      <c r="AZ3" s="115"/>
    </row>
    <row r="4" spans="1:52" s="657" customFormat="1">
      <c r="A4" s="95">
        <v>3</v>
      </c>
      <c r="B4" s="648" t="s">
        <v>26</v>
      </c>
      <c r="C4" s="649" t="s">
        <v>91</v>
      </c>
      <c r="D4" s="650">
        <v>1</v>
      </c>
      <c r="E4" s="650" t="s">
        <v>237</v>
      </c>
      <c r="F4" s="651">
        <v>83.411000000000001</v>
      </c>
      <c r="G4" s="652">
        <v>22.855</v>
      </c>
      <c r="H4" s="653"/>
      <c r="I4" s="654">
        <f t="shared" si="0"/>
        <v>90.267499999999998</v>
      </c>
      <c r="J4" s="95" t="s">
        <v>258</v>
      </c>
      <c r="K4" s="371" t="s">
        <v>17276</v>
      </c>
      <c r="L4" s="95"/>
      <c r="M4" s="95"/>
      <c r="N4" s="95"/>
      <c r="O4" s="99"/>
      <c r="P4" s="95" t="s">
        <v>249</v>
      </c>
      <c r="Q4" s="95" t="s">
        <v>249</v>
      </c>
      <c r="R4" s="664">
        <v>235000</v>
      </c>
      <c r="S4" s="475">
        <v>235000</v>
      </c>
      <c r="T4" s="475">
        <v>246750</v>
      </c>
      <c r="U4" s="475"/>
      <c r="V4" s="101"/>
      <c r="W4" s="102">
        <f t="shared" si="1"/>
        <v>2603.3733071149641</v>
      </c>
      <c r="X4" s="102">
        <f>T4/I4</f>
        <v>2733.5419724707122</v>
      </c>
      <c r="Y4" s="102"/>
      <c r="Z4" s="102"/>
      <c r="AA4" s="554">
        <v>44897</v>
      </c>
      <c r="AB4" s="135">
        <v>45343</v>
      </c>
      <c r="AC4" s="663">
        <v>47000</v>
      </c>
      <c r="AD4" s="663"/>
      <c r="AE4" s="135"/>
      <c r="AF4" s="663"/>
      <c r="AG4" s="135"/>
      <c r="AH4" s="663">
        <v>188000</v>
      </c>
      <c r="AI4" s="95" t="s">
        <v>247</v>
      </c>
      <c r="AJ4" s="95" t="s">
        <v>252</v>
      </c>
      <c r="AK4" s="95"/>
      <c r="AL4" s="95"/>
      <c r="AM4" s="95"/>
      <c r="AN4" s="95"/>
      <c r="AO4" s="104" t="s">
        <v>286</v>
      </c>
      <c r="AP4" s="104" t="s">
        <v>265</v>
      </c>
      <c r="AQ4" s="104"/>
      <c r="AR4" s="104"/>
      <c r="AS4" s="104"/>
      <c r="AT4" s="104"/>
      <c r="AU4" s="104"/>
      <c r="AV4" s="104" t="s">
        <v>215</v>
      </c>
      <c r="AW4" s="104"/>
      <c r="AX4" s="115">
        <f t="shared" si="2"/>
        <v>246430.27499999999</v>
      </c>
      <c r="AY4" s="115">
        <v>2730</v>
      </c>
      <c r="AZ4" s="115"/>
    </row>
    <row r="5" spans="1:52" s="657" customFormat="1" ht="15.75" thickBot="1">
      <c r="A5" s="95">
        <v>4</v>
      </c>
      <c r="B5" s="648" t="s">
        <v>27</v>
      </c>
      <c r="C5" s="649" t="s">
        <v>90</v>
      </c>
      <c r="D5" s="650">
        <v>1</v>
      </c>
      <c r="E5" s="650" t="s">
        <v>237</v>
      </c>
      <c r="F5" s="651">
        <v>64.430999999999997</v>
      </c>
      <c r="G5" s="652">
        <v>18.388999999999999</v>
      </c>
      <c r="H5" s="653"/>
      <c r="I5" s="654">
        <f t="shared" si="0"/>
        <v>69.947699999999998</v>
      </c>
      <c r="J5" s="95" t="s">
        <v>258</v>
      </c>
      <c r="K5" s="371" t="s">
        <v>17278</v>
      </c>
      <c r="L5" s="95"/>
      <c r="M5" s="95"/>
      <c r="N5" s="95"/>
      <c r="O5" s="105"/>
      <c r="P5" s="95" t="s">
        <v>249</v>
      </c>
      <c r="Q5" s="95" t="s">
        <v>249</v>
      </c>
      <c r="R5" s="475">
        <v>212000</v>
      </c>
      <c r="S5" s="475">
        <v>208000</v>
      </c>
      <c r="T5" s="475">
        <v>212000</v>
      </c>
      <c r="U5" s="475"/>
      <c r="V5" s="101">
        <f>100%-(T5/S5)</f>
        <v>-1.9230769230769162E-2</v>
      </c>
      <c r="W5" s="102">
        <f t="shared" si="1"/>
        <v>3030.8358959622692</v>
      </c>
      <c r="X5" s="102">
        <f>S5/I5</f>
        <v>2973.6503130195847</v>
      </c>
      <c r="Y5" s="102">
        <f>T5/I5</f>
        <v>3030.8358959622692</v>
      </c>
      <c r="Z5" s="102"/>
      <c r="AA5" s="554">
        <v>45189</v>
      </c>
      <c r="AB5" s="135">
        <v>45316</v>
      </c>
      <c r="AC5" s="663">
        <v>41800</v>
      </c>
      <c r="AD5" s="663">
        <v>31800</v>
      </c>
      <c r="AE5" s="135">
        <f>365+AB5</f>
        <v>45681</v>
      </c>
      <c r="AF5" s="663"/>
      <c r="AG5" s="135"/>
      <c r="AH5" s="663">
        <v>138400</v>
      </c>
      <c r="AI5" s="95" t="s">
        <v>248</v>
      </c>
      <c r="AJ5" s="95"/>
      <c r="AK5" s="95"/>
      <c r="AL5" s="95" t="s">
        <v>249</v>
      </c>
      <c r="AM5" s="95" t="s">
        <v>249</v>
      </c>
      <c r="AN5" s="95"/>
      <c r="AO5" s="104" t="s">
        <v>17206</v>
      </c>
      <c r="AP5" s="104" t="s">
        <v>265</v>
      </c>
      <c r="AQ5" s="104"/>
      <c r="AR5" s="104"/>
      <c r="AS5" s="104"/>
      <c r="AT5" s="1612" t="s">
        <v>18090</v>
      </c>
      <c r="AU5" s="104">
        <v>913923366</v>
      </c>
      <c r="AV5" s="104"/>
      <c r="AW5" s="104"/>
      <c r="AX5" s="115">
        <f t="shared" si="2"/>
        <v>190957.22099999999</v>
      </c>
      <c r="AY5" s="115">
        <v>2730</v>
      </c>
      <c r="AZ5" s="115"/>
    </row>
    <row r="6" spans="1:52" s="657" customFormat="1" ht="15">
      <c r="A6" s="95">
        <v>5</v>
      </c>
      <c r="B6" s="648" t="s">
        <v>28</v>
      </c>
      <c r="C6" s="649" t="s">
        <v>91</v>
      </c>
      <c r="D6" s="650">
        <v>1</v>
      </c>
      <c r="E6" s="650" t="s">
        <v>238</v>
      </c>
      <c r="F6" s="651">
        <v>86.69</v>
      </c>
      <c r="G6" s="652">
        <v>62.113</v>
      </c>
      <c r="H6" s="653"/>
      <c r="I6" s="654">
        <f t="shared" si="0"/>
        <v>105.32389999999999</v>
      </c>
      <c r="J6" s="95" t="s">
        <v>258</v>
      </c>
      <c r="K6" s="370" t="s">
        <v>17277</v>
      </c>
      <c r="L6" s="371"/>
      <c r="M6" s="95"/>
      <c r="N6" s="95"/>
      <c r="O6" s="99"/>
      <c r="P6" s="95" t="s">
        <v>249</v>
      </c>
      <c r="Q6" s="95" t="s">
        <v>249</v>
      </c>
      <c r="R6" s="475">
        <v>311000</v>
      </c>
      <c r="S6" s="475">
        <v>310800</v>
      </c>
      <c r="T6" s="475">
        <v>317000</v>
      </c>
      <c r="U6" s="475"/>
      <c r="V6" s="101">
        <f>100%-(T6/S6)</f>
        <v>-1.9948519948519872E-2</v>
      </c>
      <c r="W6" s="102">
        <f t="shared" si="1"/>
        <v>2952.7960890168329</v>
      </c>
      <c r="X6" s="102">
        <f>S6/I6</f>
        <v>2950.8971847795233</v>
      </c>
      <c r="Y6" s="102">
        <f>T6/I6</f>
        <v>3009.7632161361289</v>
      </c>
      <c r="Z6" s="102"/>
      <c r="AA6" s="554">
        <v>45189</v>
      </c>
      <c r="AB6" s="135">
        <v>45313</v>
      </c>
      <c r="AC6" s="663">
        <v>62200</v>
      </c>
      <c r="AD6" s="663"/>
      <c r="AE6" s="135"/>
      <c r="AF6" s="663"/>
      <c r="AG6" s="135"/>
      <c r="AH6" s="663">
        <v>248800</v>
      </c>
      <c r="AI6" s="95" t="s">
        <v>247</v>
      </c>
      <c r="AJ6" s="95"/>
      <c r="AK6" s="95"/>
      <c r="AL6" s="95" t="s">
        <v>249</v>
      </c>
      <c r="AM6" s="95"/>
      <c r="AN6" s="95"/>
      <c r="AO6" s="104" t="s">
        <v>17207</v>
      </c>
      <c r="AP6" s="104" t="s">
        <v>265</v>
      </c>
      <c r="AQ6" s="104"/>
      <c r="AR6" s="104"/>
      <c r="AS6" s="104"/>
      <c r="AT6" s="1612" t="s">
        <v>18091</v>
      </c>
      <c r="AU6" s="104">
        <v>916662498</v>
      </c>
      <c r="AV6" s="104"/>
      <c r="AW6" s="104"/>
      <c r="AX6" s="115">
        <f t="shared" si="2"/>
        <v>287534.24699999997</v>
      </c>
      <c r="AY6" s="115">
        <v>2730</v>
      </c>
      <c r="AZ6" s="115"/>
    </row>
    <row r="7" spans="1:52" s="657" customFormat="1" ht="15">
      <c r="A7" s="95">
        <v>6</v>
      </c>
      <c r="B7" s="648" t="s">
        <v>29</v>
      </c>
      <c r="C7" s="649" t="s">
        <v>90</v>
      </c>
      <c r="D7" s="650">
        <v>1</v>
      </c>
      <c r="E7" s="650" t="s">
        <v>239</v>
      </c>
      <c r="F7" s="651">
        <v>62.317</v>
      </c>
      <c r="G7" s="652">
        <v>45.786999999999999</v>
      </c>
      <c r="H7" s="653"/>
      <c r="I7" s="654">
        <f t="shared" si="0"/>
        <v>76.053100000000001</v>
      </c>
      <c r="J7" s="95" t="s">
        <v>258</v>
      </c>
      <c r="K7" s="371" t="s">
        <v>17276</v>
      </c>
      <c r="L7" s="95"/>
      <c r="M7" s="95"/>
      <c r="N7" s="95"/>
      <c r="O7" s="105"/>
      <c r="P7" s="95" t="s">
        <v>249</v>
      </c>
      <c r="Q7" s="95" t="s">
        <v>249</v>
      </c>
      <c r="R7" s="664">
        <v>194000</v>
      </c>
      <c r="S7" s="475">
        <v>194000</v>
      </c>
      <c r="T7" s="475">
        <v>203700</v>
      </c>
      <c r="U7" s="475"/>
      <c r="V7" s="101"/>
      <c r="W7" s="102">
        <f t="shared" si="1"/>
        <v>2550.8493407895271</v>
      </c>
      <c r="X7" s="102">
        <f>T7/I7</f>
        <v>2678.3918078290035</v>
      </c>
      <c r="Y7" s="102"/>
      <c r="Z7" s="102"/>
      <c r="AA7" s="554">
        <v>44889</v>
      </c>
      <c r="AB7" s="554">
        <v>45359</v>
      </c>
      <c r="AC7" s="658">
        <v>38800</v>
      </c>
      <c r="AD7" s="658"/>
      <c r="AE7" s="554"/>
      <c r="AF7" s="658"/>
      <c r="AG7" s="554"/>
      <c r="AH7" s="658">
        <v>155200</v>
      </c>
      <c r="AI7" s="95" t="s">
        <v>247</v>
      </c>
      <c r="AJ7" s="95" t="s">
        <v>253</v>
      </c>
      <c r="AK7" s="95"/>
      <c r="AL7" s="95"/>
      <c r="AM7" s="95"/>
      <c r="AN7" s="95"/>
      <c r="AO7" s="95" t="s">
        <v>270</v>
      </c>
      <c r="AP7" s="95" t="s">
        <v>265</v>
      </c>
      <c r="AQ7" s="95"/>
      <c r="AR7" s="95"/>
      <c r="AS7" s="95"/>
      <c r="AT7" s="1612" t="s">
        <v>18092</v>
      </c>
      <c r="AU7" s="95">
        <v>963810100</v>
      </c>
      <c r="AV7" s="95"/>
      <c r="AW7" s="95"/>
      <c r="AX7" s="115">
        <f t="shared" si="2"/>
        <v>207624.96299999999</v>
      </c>
      <c r="AY7" s="115">
        <v>2730</v>
      </c>
      <c r="AZ7" s="115"/>
    </row>
    <row r="8" spans="1:52" s="657" customFormat="1" ht="15">
      <c r="A8" s="95">
        <v>7</v>
      </c>
      <c r="B8" s="648" t="s">
        <v>30</v>
      </c>
      <c r="C8" s="649" t="s">
        <v>91</v>
      </c>
      <c r="D8" s="650">
        <v>1</v>
      </c>
      <c r="E8" s="650" t="s">
        <v>239</v>
      </c>
      <c r="F8" s="651">
        <v>84.578999999999994</v>
      </c>
      <c r="G8" s="652">
        <v>60.765000000000001</v>
      </c>
      <c r="H8" s="653"/>
      <c r="I8" s="654">
        <f t="shared" si="0"/>
        <v>102.8085</v>
      </c>
      <c r="J8" s="95" t="s">
        <v>258</v>
      </c>
      <c r="K8" s="371" t="s">
        <v>17276</v>
      </c>
      <c r="L8" s="95"/>
      <c r="M8" s="95"/>
      <c r="N8" s="95"/>
      <c r="O8" s="99"/>
      <c r="P8" s="655" t="s">
        <v>249</v>
      </c>
      <c r="Q8" s="446" t="s">
        <v>249</v>
      </c>
      <c r="R8" s="656">
        <v>283240</v>
      </c>
      <c r="S8" s="475">
        <f>T8-(T8*V8)</f>
        <v>283240</v>
      </c>
      <c r="T8" s="475">
        <v>292000</v>
      </c>
      <c r="U8" s="475"/>
      <c r="V8" s="101">
        <v>0.03</v>
      </c>
      <c r="W8" s="102">
        <f t="shared" si="1"/>
        <v>2755.0251195183278</v>
      </c>
      <c r="X8" s="102">
        <v>77</v>
      </c>
      <c r="Y8" s="102"/>
      <c r="Z8" s="102"/>
      <c r="AA8" s="554">
        <v>44987</v>
      </c>
      <c r="AB8" s="554">
        <v>45317</v>
      </c>
      <c r="AC8" s="658">
        <v>42486</v>
      </c>
      <c r="AD8" s="658">
        <v>14162</v>
      </c>
      <c r="AE8" s="554">
        <f>365+AB8</f>
        <v>45682</v>
      </c>
      <c r="AF8" s="658"/>
      <c r="AG8" s="554"/>
      <c r="AH8" s="658">
        <v>226592</v>
      </c>
      <c r="AI8" s="95" t="s">
        <v>247</v>
      </c>
      <c r="AJ8" s="95" t="s">
        <v>252</v>
      </c>
      <c r="AK8" s="95"/>
      <c r="AL8" s="95" t="s">
        <v>249</v>
      </c>
      <c r="AM8" s="95"/>
      <c r="AN8" s="95"/>
      <c r="AO8" s="95" t="s">
        <v>519</v>
      </c>
      <c r="AP8" s="95" t="s">
        <v>265</v>
      </c>
      <c r="AQ8" s="95"/>
      <c r="AR8" s="95"/>
      <c r="AS8" s="95"/>
      <c r="AT8" s="1612" t="s">
        <v>18093</v>
      </c>
      <c r="AU8" s="95">
        <v>913121776</v>
      </c>
      <c r="AV8" s="95"/>
      <c r="AW8" s="95"/>
      <c r="AX8" s="115">
        <f t="shared" si="2"/>
        <v>280667.20499999996</v>
      </c>
      <c r="AY8" s="115">
        <v>2730</v>
      </c>
      <c r="AZ8" s="115"/>
    </row>
    <row r="9" spans="1:52" s="657" customFormat="1" ht="15">
      <c r="A9" s="95">
        <v>8</v>
      </c>
      <c r="B9" s="648" t="s">
        <v>31</v>
      </c>
      <c r="C9" s="649" t="s">
        <v>91</v>
      </c>
      <c r="D9" s="650">
        <v>1</v>
      </c>
      <c r="E9" s="650" t="s">
        <v>239</v>
      </c>
      <c r="F9" s="651">
        <v>84.578999999999994</v>
      </c>
      <c r="G9" s="652">
        <v>60.765000000000001</v>
      </c>
      <c r="H9" s="653"/>
      <c r="I9" s="654">
        <f t="shared" si="0"/>
        <v>102.8085</v>
      </c>
      <c r="J9" s="95" t="s">
        <v>258</v>
      </c>
      <c r="K9" s="371" t="s">
        <v>17276</v>
      </c>
      <c r="L9" s="95"/>
      <c r="M9" s="95"/>
      <c r="N9" s="95"/>
      <c r="O9" s="105"/>
      <c r="P9" s="655" t="s">
        <v>249</v>
      </c>
      <c r="Q9" s="446" t="s">
        <v>249</v>
      </c>
      <c r="R9" s="656">
        <v>280330</v>
      </c>
      <c r="S9" s="475">
        <f>T9-(T9*V9)</f>
        <v>280330</v>
      </c>
      <c r="T9" s="475">
        <v>289000</v>
      </c>
      <c r="U9" s="475"/>
      <c r="V9" s="101">
        <v>0.03</v>
      </c>
      <c r="W9" s="102">
        <f t="shared" si="1"/>
        <v>2726.7200669205367</v>
      </c>
      <c r="X9" s="102">
        <f>S9/I9</f>
        <v>2726.7200669205367</v>
      </c>
      <c r="Y9" s="102"/>
      <c r="Z9" s="102"/>
      <c r="AA9" s="554">
        <v>44964</v>
      </c>
      <c r="AB9" s="661">
        <v>45315</v>
      </c>
      <c r="AC9" s="662">
        <v>56066</v>
      </c>
      <c r="AD9" s="662"/>
      <c r="AE9" s="661"/>
      <c r="AF9" s="662"/>
      <c r="AG9" s="661"/>
      <c r="AH9" s="662">
        <v>224264</v>
      </c>
      <c r="AI9" s="95" t="s">
        <v>247</v>
      </c>
      <c r="AJ9" s="95" t="s">
        <v>254</v>
      </c>
      <c r="AK9" s="95"/>
      <c r="AL9" s="95" t="s">
        <v>249</v>
      </c>
      <c r="AM9" s="95"/>
      <c r="AN9" s="95"/>
      <c r="AO9" s="330" t="s">
        <v>320</v>
      </c>
      <c r="AP9" s="104" t="s">
        <v>265</v>
      </c>
      <c r="AQ9" s="104"/>
      <c r="AR9" s="104"/>
      <c r="AS9" s="104"/>
      <c r="AT9" s="1612" t="s">
        <v>18094</v>
      </c>
      <c r="AU9" s="104">
        <v>969522828</v>
      </c>
      <c r="AV9" s="330"/>
      <c r="AW9" s="330"/>
      <c r="AX9" s="115">
        <f t="shared" si="2"/>
        <v>280667.20499999996</v>
      </c>
      <c r="AY9" s="115">
        <v>2730</v>
      </c>
      <c r="AZ9" s="115"/>
    </row>
    <row r="10" spans="1:52" s="657" customFormat="1" ht="15.75" thickBot="1">
      <c r="A10" s="95">
        <v>9</v>
      </c>
      <c r="B10" s="648" t="s">
        <v>32</v>
      </c>
      <c r="C10" s="649" t="s">
        <v>90</v>
      </c>
      <c r="D10" s="650">
        <v>1</v>
      </c>
      <c r="E10" s="650" t="s">
        <v>239</v>
      </c>
      <c r="F10" s="651">
        <v>62.317</v>
      </c>
      <c r="G10" s="652">
        <v>45.786999999999999</v>
      </c>
      <c r="H10" s="653"/>
      <c r="I10" s="654">
        <f t="shared" si="0"/>
        <v>76.053100000000001</v>
      </c>
      <c r="J10" s="95" t="s">
        <v>258</v>
      </c>
      <c r="K10" s="371" t="s">
        <v>17278</v>
      </c>
      <c r="L10" s="95"/>
      <c r="M10" s="95"/>
      <c r="N10" s="95"/>
      <c r="O10" s="99"/>
      <c r="P10" s="95" t="s">
        <v>249</v>
      </c>
      <c r="Q10" s="95" t="s">
        <v>249</v>
      </c>
      <c r="R10" s="664">
        <v>190000</v>
      </c>
      <c r="S10" s="475">
        <v>190000</v>
      </c>
      <c r="T10" s="475">
        <v>199500</v>
      </c>
      <c r="U10" s="475"/>
      <c r="V10" s="101"/>
      <c r="W10" s="102">
        <f t="shared" si="1"/>
        <v>2498.2545090206709</v>
      </c>
      <c r="X10" s="102">
        <f>T10/I10</f>
        <v>2623.1672344717044</v>
      </c>
      <c r="Y10" s="102"/>
      <c r="Z10" s="102"/>
      <c r="AA10" s="554">
        <v>44876</v>
      </c>
      <c r="AB10" s="135">
        <v>45323</v>
      </c>
      <c r="AC10" s="663">
        <v>38000</v>
      </c>
      <c r="AD10" s="663"/>
      <c r="AE10" s="135"/>
      <c r="AF10" s="663"/>
      <c r="AG10" s="135"/>
      <c r="AH10" s="663">
        <v>152000</v>
      </c>
      <c r="AI10" s="95" t="s">
        <v>247</v>
      </c>
      <c r="AJ10" s="95" t="s">
        <v>252</v>
      </c>
      <c r="AK10" s="95"/>
      <c r="AL10" s="95" t="s">
        <v>249</v>
      </c>
      <c r="AM10" s="95"/>
      <c r="AN10" s="95"/>
      <c r="AO10" s="104" t="s">
        <v>717</v>
      </c>
      <c r="AP10" s="104" t="s">
        <v>265</v>
      </c>
      <c r="AQ10" s="104"/>
      <c r="AR10" s="104"/>
      <c r="AS10" s="104"/>
      <c r="AT10" s="1612" t="s">
        <v>18095</v>
      </c>
      <c r="AU10" s="104">
        <v>934208586</v>
      </c>
      <c r="AV10" s="104"/>
      <c r="AW10" s="104"/>
      <c r="AX10" s="115">
        <f t="shared" si="2"/>
        <v>207624.96299999999</v>
      </c>
      <c r="AY10" s="115">
        <v>2730</v>
      </c>
      <c r="AZ10" s="115">
        <v>250000</v>
      </c>
    </row>
    <row r="11" spans="1:52" s="657" customFormat="1" ht="15">
      <c r="A11" s="95">
        <v>10</v>
      </c>
      <c r="B11" s="648" t="s">
        <v>33</v>
      </c>
      <c r="C11" s="649" t="s">
        <v>91</v>
      </c>
      <c r="D11" s="650">
        <v>1</v>
      </c>
      <c r="E11" s="650" t="s">
        <v>240</v>
      </c>
      <c r="F11" s="651">
        <v>86.69</v>
      </c>
      <c r="G11" s="652">
        <v>62.113</v>
      </c>
      <c r="H11" s="653"/>
      <c r="I11" s="654">
        <f t="shared" si="0"/>
        <v>105.32389999999999</v>
      </c>
      <c r="J11" s="95" t="s">
        <v>258</v>
      </c>
      <c r="K11" s="370" t="s">
        <v>17277</v>
      </c>
      <c r="L11" s="95"/>
      <c r="M11" s="95"/>
      <c r="N11" s="95"/>
      <c r="O11" s="717"/>
      <c r="P11" s="95" t="s">
        <v>249</v>
      </c>
      <c r="Q11" s="95" t="s">
        <v>249</v>
      </c>
      <c r="R11" s="664">
        <v>304320</v>
      </c>
      <c r="S11" s="475">
        <f>0.96*T11</f>
        <v>304320</v>
      </c>
      <c r="T11" s="475">
        <v>317000</v>
      </c>
      <c r="U11" s="475"/>
      <c r="V11" s="101">
        <f>S11/T11-1</f>
        <v>-4.0000000000000036E-2</v>
      </c>
      <c r="W11" s="102">
        <f t="shared" si="1"/>
        <v>2889.3726874906838</v>
      </c>
      <c r="X11" s="102">
        <f>S11/I11</f>
        <v>2889.3726874906838</v>
      </c>
      <c r="Y11" s="102">
        <f>T11/I11</f>
        <v>3009.7632161361289</v>
      </c>
      <c r="Z11" s="554"/>
      <c r="AA11" s="554"/>
      <c r="AB11" s="135">
        <v>45441</v>
      </c>
      <c r="AC11" s="663">
        <v>30432</v>
      </c>
      <c r="AD11" s="663">
        <v>30432</v>
      </c>
      <c r="AE11" s="135">
        <v>45688</v>
      </c>
      <c r="AF11" s="663"/>
      <c r="AG11" s="135"/>
      <c r="AH11" s="663">
        <v>243456</v>
      </c>
      <c r="AI11" s="95" t="s">
        <v>247</v>
      </c>
      <c r="AJ11" s="95" t="s">
        <v>765</v>
      </c>
      <c r="AK11" s="95"/>
      <c r="AL11" s="95"/>
      <c r="AM11" s="95"/>
      <c r="AN11" s="95"/>
      <c r="AO11" s="104" t="s">
        <v>17480</v>
      </c>
      <c r="AP11" s="104" t="s">
        <v>265</v>
      </c>
      <c r="AQ11" s="104"/>
      <c r="AR11" s="104"/>
      <c r="AS11" s="104"/>
      <c r="AT11" s="1612" t="s">
        <v>18096</v>
      </c>
      <c r="AU11" s="104">
        <v>932837723</v>
      </c>
      <c r="AV11" s="104"/>
      <c r="AW11" s="104"/>
      <c r="AX11" s="115">
        <f t="shared" si="2"/>
        <v>287534.24699999997</v>
      </c>
      <c r="AY11" s="115">
        <v>2730</v>
      </c>
      <c r="AZ11" s="115"/>
    </row>
    <row r="12" spans="1:52" s="657" customFormat="1">
      <c r="A12" s="95">
        <v>11</v>
      </c>
      <c r="B12" s="648" t="s">
        <v>34</v>
      </c>
      <c r="C12" s="649" t="s">
        <v>89</v>
      </c>
      <c r="D12" s="650">
        <v>2</v>
      </c>
      <c r="E12" s="650" t="s">
        <v>236</v>
      </c>
      <c r="F12" s="651">
        <v>116.492</v>
      </c>
      <c r="G12" s="652">
        <v>47.337000000000003</v>
      </c>
      <c r="H12" s="653"/>
      <c r="I12" s="654">
        <f t="shared" si="0"/>
        <v>130.69310000000002</v>
      </c>
      <c r="J12" s="95" t="s">
        <v>258</v>
      </c>
      <c r="K12" s="371" t="s">
        <v>17279</v>
      </c>
      <c r="L12" s="95"/>
      <c r="M12" s="95"/>
      <c r="N12" s="95"/>
      <c r="O12" s="99"/>
      <c r="P12" s="95" t="s">
        <v>249</v>
      </c>
      <c r="Q12" s="95" t="s">
        <v>249</v>
      </c>
      <c r="R12" s="656">
        <v>384000</v>
      </c>
      <c r="S12" s="475">
        <f>0.96*T12</f>
        <v>384000</v>
      </c>
      <c r="T12" s="475">
        <v>400000</v>
      </c>
      <c r="U12" s="475"/>
      <c r="V12" s="101">
        <f>S12/T12-1</f>
        <v>-4.0000000000000036E-2</v>
      </c>
      <c r="W12" s="102">
        <f t="shared" si="1"/>
        <v>2938.1811281544315</v>
      </c>
      <c r="X12" s="102">
        <f>S12/I12</f>
        <v>2938.1811281544315</v>
      </c>
      <c r="Y12" s="102">
        <f>T12/I12</f>
        <v>3060.6053418275328</v>
      </c>
      <c r="Z12" s="554"/>
      <c r="AA12" s="554"/>
      <c r="AB12" s="135">
        <v>45460</v>
      </c>
      <c r="AC12" s="663">
        <v>38400</v>
      </c>
      <c r="AD12" s="663"/>
      <c r="AE12" s="135"/>
      <c r="AF12" s="663"/>
      <c r="AG12" s="135"/>
      <c r="AH12" s="663">
        <v>345600</v>
      </c>
      <c r="AI12" s="95" t="s">
        <v>247</v>
      </c>
      <c r="AJ12" s="95" t="s">
        <v>765</v>
      </c>
      <c r="AK12" s="95"/>
      <c r="AL12" s="95"/>
      <c r="AM12" s="95"/>
      <c r="AN12" s="95"/>
      <c r="AO12" s="104" t="s">
        <v>17494</v>
      </c>
      <c r="AP12" s="104" t="s">
        <v>265</v>
      </c>
      <c r="AQ12" s="104"/>
      <c r="AR12" s="104"/>
      <c r="AS12" s="104"/>
      <c r="AT12" s="104"/>
      <c r="AU12" s="104"/>
      <c r="AV12" s="104"/>
      <c r="AW12" s="104"/>
      <c r="AX12" s="115">
        <f t="shared" si="2"/>
        <v>356792.16300000006</v>
      </c>
      <c r="AY12" s="115">
        <v>2730</v>
      </c>
      <c r="AZ12" s="115"/>
    </row>
    <row r="13" spans="1:52" s="657" customFormat="1" ht="15.75" thickBot="1">
      <c r="A13" s="95">
        <v>12</v>
      </c>
      <c r="B13" s="648" t="s">
        <v>35</v>
      </c>
      <c r="C13" s="649" t="s">
        <v>91</v>
      </c>
      <c r="D13" s="650">
        <v>2</v>
      </c>
      <c r="E13" s="650" t="s">
        <v>237</v>
      </c>
      <c r="F13" s="651">
        <v>84</v>
      </c>
      <c r="G13" s="652">
        <v>28.106999999999999</v>
      </c>
      <c r="H13" s="653"/>
      <c r="I13" s="654">
        <f t="shared" si="0"/>
        <v>92.432100000000005</v>
      </c>
      <c r="J13" s="95" t="s">
        <v>258</v>
      </c>
      <c r="K13" s="371" t="s">
        <v>17276</v>
      </c>
      <c r="L13" s="95"/>
      <c r="M13" s="95"/>
      <c r="N13" s="95"/>
      <c r="O13" s="105"/>
      <c r="P13" s="95" t="s">
        <v>249</v>
      </c>
      <c r="Q13" s="95" t="s">
        <v>249</v>
      </c>
      <c r="R13" s="656">
        <v>259960</v>
      </c>
      <c r="S13" s="475">
        <f>T13-(T13*V13)</f>
        <v>259960</v>
      </c>
      <c r="T13" s="475">
        <v>268000</v>
      </c>
      <c r="U13" s="475"/>
      <c r="V13" s="101">
        <v>0.03</v>
      </c>
      <c r="W13" s="102">
        <f t="shared" si="1"/>
        <v>2812.4428634640994</v>
      </c>
      <c r="X13" s="102">
        <f>S13/I13</f>
        <v>2812.4428634640994</v>
      </c>
      <c r="Y13" s="102"/>
      <c r="Z13" s="102"/>
      <c r="AA13" s="554">
        <v>45005</v>
      </c>
      <c r="AB13" s="135">
        <v>45321</v>
      </c>
      <c r="AC13" s="663">
        <v>51992</v>
      </c>
      <c r="AD13" s="663"/>
      <c r="AE13" s="135"/>
      <c r="AF13" s="663"/>
      <c r="AG13" s="135"/>
      <c r="AH13" s="663">
        <v>207968</v>
      </c>
      <c r="AI13" s="95" t="s">
        <v>247</v>
      </c>
      <c r="AJ13" s="95" t="s">
        <v>309</v>
      </c>
      <c r="AK13" s="95"/>
      <c r="AL13" s="95" t="s">
        <v>249</v>
      </c>
      <c r="AM13" s="95"/>
      <c r="AN13" s="95"/>
      <c r="AO13" s="104" t="s">
        <v>520</v>
      </c>
      <c r="AP13" s="104" t="s">
        <v>265</v>
      </c>
      <c r="AQ13" s="104"/>
      <c r="AR13" s="104"/>
      <c r="AS13" s="104"/>
      <c r="AT13" s="1612" t="s">
        <v>18097</v>
      </c>
      <c r="AU13" s="104">
        <v>968915158</v>
      </c>
      <c r="AV13" s="104"/>
      <c r="AW13" s="104"/>
      <c r="AX13" s="115">
        <f t="shared" si="2"/>
        <v>252339.633</v>
      </c>
      <c r="AY13" s="115">
        <v>2730</v>
      </c>
      <c r="AZ13" s="115"/>
    </row>
    <row r="14" spans="1:52" s="657" customFormat="1" ht="15">
      <c r="A14" s="95">
        <v>13</v>
      </c>
      <c r="B14" s="648" t="s">
        <v>36</v>
      </c>
      <c r="C14" s="649" t="s">
        <v>91</v>
      </c>
      <c r="D14" s="650">
        <v>2</v>
      </c>
      <c r="E14" s="650" t="s">
        <v>237</v>
      </c>
      <c r="F14" s="651">
        <v>84</v>
      </c>
      <c r="G14" s="652">
        <v>28.106999999999999</v>
      </c>
      <c r="H14" s="653"/>
      <c r="I14" s="654">
        <f t="shared" si="0"/>
        <v>92.432100000000005</v>
      </c>
      <c r="J14" s="95" t="s">
        <v>258</v>
      </c>
      <c r="K14" s="370" t="s">
        <v>17277</v>
      </c>
      <c r="L14" s="95"/>
      <c r="M14" s="95"/>
      <c r="N14" s="95"/>
      <c r="O14" s="99"/>
      <c r="P14" s="95" t="s">
        <v>249</v>
      </c>
      <c r="Q14" s="95" t="s">
        <v>249</v>
      </c>
      <c r="R14" s="664">
        <v>247500</v>
      </c>
      <c r="S14" s="475">
        <v>247500</v>
      </c>
      <c r="T14" s="475">
        <v>259875</v>
      </c>
      <c r="U14" s="475"/>
      <c r="V14" s="101"/>
      <c r="W14" s="102">
        <f t="shared" si="1"/>
        <v>2677.6412090604886</v>
      </c>
      <c r="X14" s="102">
        <f t="shared" ref="X14:X21" si="3">T14/I14</f>
        <v>2811.5232695135128</v>
      </c>
      <c r="Y14" s="102"/>
      <c r="Z14" s="102"/>
      <c r="AA14" s="554">
        <v>44879</v>
      </c>
      <c r="AB14" s="661">
        <v>45345</v>
      </c>
      <c r="AC14" s="663">
        <v>49500</v>
      </c>
      <c r="AD14" s="663"/>
      <c r="AE14" s="135"/>
      <c r="AF14" s="663"/>
      <c r="AG14" s="135"/>
      <c r="AH14" s="663">
        <v>198000</v>
      </c>
      <c r="AI14" s="95" t="s">
        <v>247</v>
      </c>
      <c r="AJ14" s="95" t="s">
        <v>254</v>
      </c>
      <c r="AK14" s="95"/>
      <c r="AL14" s="95"/>
      <c r="AM14" s="95"/>
      <c r="AN14" s="95"/>
      <c r="AO14" s="330" t="s">
        <v>17348</v>
      </c>
      <c r="AP14" s="104" t="s">
        <v>265</v>
      </c>
      <c r="AQ14" s="104"/>
      <c r="AR14" s="104"/>
      <c r="AS14" s="104"/>
      <c r="AT14" s="1612" t="s">
        <v>18098</v>
      </c>
      <c r="AU14" s="104">
        <v>965486041</v>
      </c>
      <c r="AV14" s="104"/>
      <c r="AW14" s="104"/>
      <c r="AX14" s="115">
        <f t="shared" si="2"/>
        <v>252339.633</v>
      </c>
      <c r="AY14" s="115">
        <v>2730</v>
      </c>
      <c r="AZ14" s="115"/>
    </row>
    <row r="15" spans="1:52" s="657" customFormat="1" ht="15.75" thickBot="1">
      <c r="A15" s="95">
        <v>14</v>
      </c>
      <c r="B15" s="648" t="s">
        <v>37</v>
      </c>
      <c r="C15" s="649" t="s">
        <v>89</v>
      </c>
      <c r="D15" s="650">
        <v>2</v>
      </c>
      <c r="E15" s="650" t="s">
        <v>241</v>
      </c>
      <c r="F15" s="651">
        <v>116.495</v>
      </c>
      <c r="G15" s="652">
        <v>47.337000000000003</v>
      </c>
      <c r="H15" s="670"/>
      <c r="I15" s="654">
        <f t="shared" si="0"/>
        <v>130.6961</v>
      </c>
      <c r="J15" s="95" t="s">
        <v>258</v>
      </c>
      <c r="K15" s="371" t="s">
        <v>17275</v>
      </c>
      <c r="L15" s="95"/>
      <c r="M15" s="95"/>
      <c r="N15" s="95"/>
      <c r="O15" s="114"/>
      <c r="P15" s="95" t="s">
        <v>249</v>
      </c>
      <c r="Q15" s="95" t="s">
        <v>249</v>
      </c>
      <c r="R15" s="664">
        <v>340000</v>
      </c>
      <c r="S15" s="475">
        <v>340000</v>
      </c>
      <c r="T15" s="475">
        <v>357000</v>
      </c>
      <c r="U15" s="475"/>
      <c r="V15" s="101"/>
      <c r="W15" s="102">
        <f t="shared" si="1"/>
        <v>2601.4548253543908</v>
      </c>
      <c r="X15" s="102">
        <f t="shared" si="3"/>
        <v>2731.5275666221105</v>
      </c>
      <c r="Y15" s="102"/>
      <c r="Z15" s="102"/>
      <c r="AA15" s="554">
        <v>44892</v>
      </c>
      <c r="AB15" s="135">
        <v>45321</v>
      </c>
      <c r="AC15" s="663">
        <v>68000</v>
      </c>
      <c r="AD15" s="663"/>
      <c r="AE15" s="135"/>
      <c r="AF15" s="663"/>
      <c r="AG15" s="135"/>
      <c r="AH15" s="663">
        <v>272000</v>
      </c>
      <c r="AI15" s="95" t="s">
        <v>247</v>
      </c>
      <c r="AJ15" s="95" t="s">
        <v>252</v>
      </c>
      <c r="AK15" s="95"/>
      <c r="AL15" s="95" t="s">
        <v>249</v>
      </c>
      <c r="AM15" s="95"/>
      <c r="AN15" s="95"/>
      <c r="AO15" s="104" t="s">
        <v>17292</v>
      </c>
      <c r="AP15" s="104" t="s">
        <v>265</v>
      </c>
      <c r="AQ15" s="104"/>
      <c r="AR15" s="104"/>
      <c r="AS15" s="104"/>
      <c r="AT15" s="1612" t="s">
        <v>18099</v>
      </c>
      <c r="AU15" s="104">
        <v>913322001</v>
      </c>
      <c r="AV15" s="104"/>
      <c r="AW15" s="104"/>
      <c r="AX15" s="115">
        <f t="shared" si="2"/>
        <v>356800.353</v>
      </c>
      <c r="AY15" s="115">
        <v>2730</v>
      </c>
      <c r="AZ15" s="115"/>
    </row>
    <row r="16" spans="1:52" s="657" customFormat="1" ht="15">
      <c r="A16" s="95">
        <v>15</v>
      </c>
      <c r="B16" s="648" t="s">
        <v>38</v>
      </c>
      <c r="C16" s="649" t="s">
        <v>91</v>
      </c>
      <c r="D16" s="650">
        <v>2</v>
      </c>
      <c r="E16" s="650" t="s">
        <v>238</v>
      </c>
      <c r="F16" s="651">
        <v>86.61</v>
      </c>
      <c r="G16" s="652">
        <v>54.762999999999998</v>
      </c>
      <c r="H16" s="677"/>
      <c r="I16" s="654">
        <f t="shared" si="0"/>
        <v>103.0389</v>
      </c>
      <c r="J16" s="95" t="s">
        <v>258</v>
      </c>
      <c r="K16" s="370" t="s">
        <v>17277</v>
      </c>
      <c r="L16" s="95"/>
      <c r="M16" s="95"/>
      <c r="N16" s="95"/>
      <c r="O16" s="232"/>
      <c r="P16" s="95" t="s">
        <v>249</v>
      </c>
      <c r="Q16" s="95" t="s">
        <v>249</v>
      </c>
      <c r="R16" s="664">
        <v>274000</v>
      </c>
      <c r="S16" s="475">
        <v>274000</v>
      </c>
      <c r="T16" s="475">
        <v>287700</v>
      </c>
      <c r="U16" s="475"/>
      <c r="V16" s="101"/>
      <c r="W16" s="102">
        <f t="shared" si="1"/>
        <v>2659.1898787739387</v>
      </c>
      <c r="X16" s="102">
        <f t="shared" si="3"/>
        <v>2792.1493727126358</v>
      </c>
      <c r="Y16" s="102"/>
      <c r="Z16" s="102"/>
      <c r="AA16" s="554">
        <v>44907</v>
      </c>
      <c r="AB16" s="135">
        <v>45320</v>
      </c>
      <c r="AC16" s="663">
        <v>54800</v>
      </c>
      <c r="AD16" s="663"/>
      <c r="AE16" s="135"/>
      <c r="AF16" s="663"/>
      <c r="AG16" s="135"/>
      <c r="AH16" s="663">
        <v>219200</v>
      </c>
      <c r="AI16" s="95" t="s">
        <v>247</v>
      </c>
      <c r="AJ16" s="95" t="s">
        <v>252</v>
      </c>
      <c r="AK16" s="95"/>
      <c r="AL16" s="95" t="s">
        <v>249</v>
      </c>
      <c r="AM16" s="95"/>
      <c r="AN16" s="95"/>
      <c r="AO16" s="104" t="s">
        <v>293</v>
      </c>
      <c r="AP16" s="104" t="s">
        <v>265</v>
      </c>
      <c r="AQ16" s="104"/>
      <c r="AR16" s="104"/>
      <c r="AS16" s="104"/>
      <c r="AT16" s="1612" t="s">
        <v>18100</v>
      </c>
      <c r="AU16" s="104">
        <v>918603930</v>
      </c>
      <c r="AV16" s="104"/>
      <c r="AW16" s="104"/>
      <c r="AX16" s="115">
        <f t="shared" si="2"/>
        <v>281296.19699999999</v>
      </c>
      <c r="AY16" s="115">
        <v>2730</v>
      </c>
      <c r="AZ16" s="115"/>
    </row>
    <row r="17" spans="1:52" s="657" customFormat="1" ht="15.75" thickBot="1">
      <c r="A17" s="541">
        <v>16</v>
      </c>
      <c r="B17" s="752" t="s">
        <v>39</v>
      </c>
      <c r="C17" s="753" t="s">
        <v>90</v>
      </c>
      <c r="D17" s="754">
        <v>2</v>
      </c>
      <c r="E17" s="754" t="s">
        <v>239</v>
      </c>
      <c r="F17" s="755">
        <v>62.317</v>
      </c>
      <c r="G17" s="756">
        <v>25.146999999999998</v>
      </c>
      <c r="H17" s="757"/>
      <c r="I17" s="758">
        <f t="shared" si="0"/>
        <v>69.861099999999993</v>
      </c>
      <c r="J17" s="541" t="s">
        <v>258</v>
      </c>
      <c r="K17" s="759" t="s">
        <v>17278</v>
      </c>
      <c r="L17" s="541"/>
      <c r="M17" s="541"/>
      <c r="N17" s="541"/>
      <c r="O17" s="760"/>
      <c r="P17" s="541" t="s">
        <v>249</v>
      </c>
      <c r="Q17" s="541" t="s">
        <v>249</v>
      </c>
      <c r="R17" s="761">
        <v>189000</v>
      </c>
      <c r="S17" s="762">
        <v>189000</v>
      </c>
      <c r="T17" s="762">
        <v>198450</v>
      </c>
      <c r="U17" s="762"/>
      <c r="V17" s="763"/>
      <c r="W17" s="764">
        <f t="shared" si="1"/>
        <v>2705.3682235178094</v>
      </c>
      <c r="X17" s="764">
        <f t="shared" si="3"/>
        <v>2840.6366346936998</v>
      </c>
      <c r="Y17" s="764"/>
      <c r="Z17" s="764"/>
      <c r="AA17" s="765">
        <v>44876</v>
      </c>
      <c r="AB17" s="766">
        <v>45323</v>
      </c>
      <c r="AC17" s="767">
        <v>37800</v>
      </c>
      <c r="AD17" s="767"/>
      <c r="AE17" s="766"/>
      <c r="AF17" s="767"/>
      <c r="AG17" s="766"/>
      <c r="AH17" s="767">
        <v>151200</v>
      </c>
      <c r="AI17" s="541" t="s">
        <v>247</v>
      </c>
      <c r="AJ17" s="541" t="s">
        <v>252</v>
      </c>
      <c r="AK17" s="541"/>
      <c r="AL17" s="541" t="s">
        <v>249</v>
      </c>
      <c r="AM17" s="541"/>
      <c r="AN17" s="541"/>
      <c r="AO17" s="1750" t="s">
        <v>18058</v>
      </c>
      <c r="AP17" s="768" t="s">
        <v>265</v>
      </c>
      <c r="AQ17" s="768"/>
      <c r="AR17" s="768"/>
      <c r="AS17" s="768"/>
      <c r="AT17" s="1802" t="s">
        <v>18101</v>
      </c>
      <c r="AU17" s="768">
        <v>934208586</v>
      </c>
      <c r="AV17" s="768"/>
      <c r="AW17" s="768"/>
      <c r="AX17" s="769">
        <f t="shared" si="2"/>
        <v>190720.80299999999</v>
      </c>
      <c r="AY17" s="769">
        <v>2730</v>
      </c>
      <c r="AZ17" s="115"/>
    </row>
    <row r="18" spans="1:52" s="809" customFormat="1" ht="15.75" thickBot="1">
      <c r="A18" s="789">
        <v>17</v>
      </c>
      <c r="B18" s="790" t="s">
        <v>40</v>
      </c>
      <c r="C18" s="791" t="s">
        <v>91</v>
      </c>
      <c r="D18" s="792">
        <v>2</v>
      </c>
      <c r="E18" s="792" t="s">
        <v>239</v>
      </c>
      <c r="F18" s="793">
        <v>84.578999999999994</v>
      </c>
      <c r="G18" s="794">
        <v>33.244999999999997</v>
      </c>
      <c r="H18" s="795"/>
      <c r="I18" s="796">
        <f t="shared" si="0"/>
        <v>94.552499999999995</v>
      </c>
      <c r="J18" s="797" t="s">
        <v>258</v>
      </c>
      <c r="K18" s="798" t="s">
        <v>17276</v>
      </c>
      <c r="L18" s="797"/>
      <c r="M18" s="797"/>
      <c r="N18" s="797"/>
      <c r="O18" s="799"/>
      <c r="P18" s="797" t="s">
        <v>249</v>
      </c>
      <c r="Q18" s="800" t="s">
        <v>249</v>
      </c>
      <c r="R18" s="801">
        <v>269660</v>
      </c>
      <c r="S18" s="802">
        <f>T18-(T18*V18)</f>
        <v>269660</v>
      </c>
      <c r="T18" s="802">
        <v>278000</v>
      </c>
      <c r="U18" s="802"/>
      <c r="V18" s="803">
        <v>0.03</v>
      </c>
      <c r="W18" s="804">
        <f t="shared" si="1"/>
        <v>2851.9605510166311</v>
      </c>
      <c r="X18" s="804">
        <f t="shared" si="3"/>
        <v>2940.165516511991</v>
      </c>
      <c r="Y18" s="804"/>
      <c r="Z18" s="804"/>
      <c r="AA18" s="805">
        <v>44881</v>
      </c>
      <c r="AB18" s="805">
        <v>45330</v>
      </c>
      <c r="AC18" s="806">
        <v>53932</v>
      </c>
      <c r="AD18" s="806"/>
      <c r="AE18" s="805"/>
      <c r="AF18" s="806"/>
      <c r="AG18" s="805"/>
      <c r="AH18" s="806">
        <v>215728</v>
      </c>
      <c r="AI18" s="797" t="s">
        <v>247</v>
      </c>
      <c r="AJ18" s="797" t="s">
        <v>252</v>
      </c>
      <c r="AK18" s="797"/>
      <c r="AL18" s="797" t="s">
        <v>249</v>
      </c>
      <c r="AM18" s="797"/>
      <c r="AN18" s="797"/>
      <c r="AO18" s="797" t="s">
        <v>302</v>
      </c>
      <c r="AP18" s="807" t="s">
        <v>265</v>
      </c>
      <c r="AQ18" s="807"/>
      <c r="AR18" s="807"/>
      <c r="AS18" s="807"/>
      <c r="AT18" s="1803" t="s">
        <v>18102</v>
      </c>
      <c r="AU18" s="807">
        <v>966124767</v>
      </c>
      <c r="AV18" s="797"/>
      <c r="AW18" s="797"/>
      <c r="AX18" s="808">
        <f t="shared" si="2"/>
        <v>258128.32499999998</v>
      </c>
      <c r="AY18" s="808">
        <v>2730</v>
      </c>
      <c r="AZ18" s="1775"/>
    </row>
    <row r="19" spans="1:52" s="657" customFormat="1" ht="15">
      <c r="A19" s="770">
        <v>18</v>
      </c>
      <c r="B19" s="771" t="s">
        <v>41</v>
      </c>
      <c r="C19" s="772" t="s">
        <v>91</v>
      </c>
      <c r="D19" s="773">
        <v>2</v>
      </c>
      <c r="E19" s="773" t="s">
        <v>239</v>
      </c>
      <c r="F19" s="774">
        <v>84.578999999999994</v>
      </c>
      <c r="G19" s="775">
        <v>33.244999999999997</v>
      </c>
      <c r="H19" s="776"/>
      <c r="I19" s="777">
        <f t="shared" si="0"/>
        <v>94.552499999999995</v>
      </c>
      <c r="J19" s="770" t="s">
        <v>258</v>
      </c>
      <c r="K19" s="778" t="s">
        <v>17276</v>
      </c>
      <c r="L19" s="770"/>
      <c r="M19" s="770"/>
      <c r="N19" s="770"/>
      <c r="O19" s="533"/>
      <c r="P19" s="770" t="s">
        <v>249</v>
      </c>
      <c r="Q19" s="779" t="s">
        <v>249</v>
      </c>
      <c r="R19" s="780">
        <v>255000</v>
      </c>
      <c r="S19" s="781">
        <v>255000</v>
      </c>
      <c r="T19" s="781">
        <v>267750</v>
      </c>
      <c r="U19" s="781"/>
      <c r="V19" s="782"/>
      <c r="W19" s="783">
        <f t="shared" si="1"/>
        <v>2696.9144126279052</v>
      </c>
      <c r="X19" s="783">
        <f t="shared" si="3"/>
        <v>2831.7601332593003</v>
      </c>
      <c r="Y19" s="783"/>
      <c r="Z19" s="783"/>
      <c r="AA19" s="784">
        <v>44900</v>
      </c>
      <c r="AB19" s="785">
        <v>45324</v>
      </c>
      <c r="AC19" s="786">
        <v>61000</v>
      </c>
      <c r="AD19" s="786"/>
      <c r="AE19" s="785"/>
      <c r="AF19" s="786"/>
      <c r="AG19" s="785"/>
      <c r="AH19" s="786">
        <v>194000</v>
      </c>
      <c r="AI19" s="770" t="s">
        <v>248</v>
      </c>
      <c r="AJ19" s="770"/>
      <c r="AK19" s="770"/>
      <c r="AL19" s="770" t="s">
        <v>249</v>
      </c>
      <c r="AM19" s="770" t="s">
        <v>249</v>
      </c>
      <c r="AN19" s="770"/>
      <c r="AO19" s="787" t="s">
        <v>297</v>
      </c>
      <c r="AP19" s="787" t="s">
        <v>265</v>
      </c>
      <c r="AQ19" s="787"/>
      <c r="AR19" s="787"/>
      <c r="AS19" s="787"/>
      <c r="AT19" s="1804" t="s">
        <v>18103</v>
      </c>
      <c r="AU19" s="787">
        <v>910764191</v>
      </c>
      <c r="AV19" s="787"/>
      <c r="AW19" s="787"/>
      <c r="AX19" s="788">
        <f t="shared" si="2"/>
        <v>258128.32499999998</v>
      </c>
      <c r="AY19" s="788">
        <v>2730</v>
      </c>
      <c r="AZ19" s="115"/>
    </row>
    <row r="20" spans="1:52" s="657" customFormat="1" ht="15">
      <c r="A20" s="95">
        <v>19</v>
      </c>
      <c r="B20" s="648" t="s">
        <v>42</v>
      </c>
      <c r="C20" s="649" t="s">
        <v>90</v>
      </c>
      <c r="D20" s="650">
        <v>2</v>
      </c>
      <c r="E20" s="650" t="s">
        <v>239</v>
      </c>
      <c r="F20" s="651">
        <v>62.317</v>
      </c>
      <c r="G20" s="652">
        <v>25.146999999999998</v>
      </c>
      <c r="H20" s="653"/>
      <c r="I20" s="654">
        <f t="shared" si="0"/>
        <v>69.861099999999993</v>
      </c>
      <c r="J20" s="95" t="s">
        <v>258</v>
      </c>
      <c r="K20" s="371" t="s">
        <v>17277</v>
      </c>
      <c r="L20" s="95"/>
      <c r="M20" s="95"/>
      <c r="N20" s="95"/>
      <c r="O20" s="99"/>
      <c r="P20" s="95" t="s">
        <v>249</v>
      </c>
      <c r="Q20" s="446" t="s">
        <v>249</v>
      </c>
      <c r="R20" s="656">
        <v>185000</v>
      </c>
      <c r="S20" s="475">
        <v>185000</v>
      </c>
      <c r="T20" s="475">
        <v>194250</v>
      </c>
      <c r="U20" s="475"/>
      <c r="V20" s="101"/>
      <c r="W20" s="102">
        <f t="shared" si="1"/>
        <v>2648.1117531788077</v>
      </c>
      <c r="X20" s="102">
        <f t="shared" si="3"/>
        <v>2780.5173408377482</v>
      </c>
      <c r="Y20" s="102"/>
      <c r="Z20" s="102"/>
      <c r="AA20" s="554">
        <v>44907</v>
      </c>
      <c r="AB20" s="135">
        <v>45324</v>
      </c>
      <c r="AC20" s="663">
        <v>47000</v>
      </c>
      <c r="AD20" s="663"/>
      <c r="AE20" s="135"/>
      <c r="AF20" s="663"/>
      <c r="AG20" s="135"/>
      <c r="AH20" s="663">
        <v>138000</v>
      </c>
      <c r="AI20" s="95" t="s">
        <v>248</v>
      </c>
      <c r="AJ20" s="95"/>
      <c r="AK20" s="95"/>
      <c r="AL20" s="95" t="s">
        <v>249</v>
      </c>
      <c r="AM20" s="95" t="s">
        <v>249</v>
      </c>
      <c r="AN20" s="95"/>
      <c r="AO20" s="104" t="s">
        <v>294</v>
      </c>
      <c r="AP20" s="104" t="s">
        <v>265</v>
      </c>
      <c r="AQ20" s="104"/>
      <c r="AR20" s="104"/>
      <c r="AS20" s="104"/>
      <c r="AT20" s="1612" t="s">
        <v>18104</v>
      </c>
      <c r="AU20" s="104">
        <v>917340566</v>
      </c>
      <c r="AV20" s="104"/>
      <c r="AW20" s="104"/>
      <c r="AX20" s="115">
        <f t="shared" si="2"/>
        <v>190720.80299999999</v>
      </c>
      <c r="AY20" s="115">
        <v>2730</v>
      </c>
      <c r="AZ20" s="115"/>
    </row>
    <row r="21" spans="1:52" s="657" customFormat="1" ht="15.75" thickBot="1">
      <c r="A21" s="541">
        <v>20</v>
      </c>
      <c r="B21" s="752" t="s">
        <v>43</v>
      </c>
      <c r="C21" s="753" t="s">
        <v>91</v>
      </c>
      <c r="D21" s="754">
        <v>2</v>
      </c>
      <c r="E21" s="754" t="s">
        <v>240</v>
      </c>
      <c r="F21" s="755">
        <v>86.61</v>
      </c>
      <c r="G21" s="756">
        <v>54.762999999999998</v>
      </c>
      <c r="H21" s="757"/>
      <c r="I21" s="758">
        <f t="shared" si="0"/>
        <v>103.0389</v>
      </c>
      <c r="J21" s="541" t="s">
        <v>258</v>
      </c>
      <c r="K21" s="759" t="s">
        <v>17276</v>
      </c>
      <c r="L21" s="541"/>
      <c r="M21" s="541"/>
      <c r="N21" s="541"/>
      <c r="O21" s="760"/>
      <c r="P21" s="541" t="s">
        <v>249</v>
      </c>
      <c r="Q21" s="541" t="s">
        <v>249</v>
      </c>
      <c r="R21" s="761">
        <v>270000</v>
      </c>
      <c r="S21" s="762">
        <v>270000</v>
      </c>
      <c r="T21" s="762">
        <v>283500</v>
      </c>
      <c r="U21" s="762"/>
      <c r="V21" s="763"/>
      <c r="W21" s="764">
        <f t="shared" si="1"/>
        <v>2620.3695885728594</v>
      </c>
      <c r="X21" s="764">
        <f t="shared" si="3"/>
        <v>2751.3880680015022</v>
      </c>
      <c r="Y21" s="764"/>
      <c r="Z21" s="764"/>
      <c r="AA21" s="765">
        <v>44879</v>
      </c>
      <c r="AB21" s="1151">
        <v>45345</v>
      </c>
      <c r="AC21" s="767">
        <v>54000</v>
      </c>
      <c r="AD21" s="767"/>
      <c r="AE21" s="766"/>
      <c r="AF21" s="767"/>
      <c r="AG21" s="766"/>
      <c r="AH21" s="767">
        <v>216000</v>
      </c>
      <c r="AI21" s="541" t="s">
        <v>247</v>
      </c>
      <c r="AJ21" s="541" t="s">
        <v>254</v>
      </c>
      <c r="AK21" s="541"/>
      <c r="AL21" s="541"/>
      <c r="AM21" s="541"/>
      <c r="AN21" s="541"/>
      <c r="AO21" s="1152" t="s">
        <v>17348</v>
      </c>
      <c r="AP21" s="768" t="s">
        <v>265</v>
      </c>
      <c r="AQ21" s="768"/>
      <c r="AR21" s="768"/>
      <c r="AS21" s="768"/>
      <c r="AT21" s="1612" t="s">
        <v>18098</v>
      </c>
      <c r="AU21" s="104">
        <v>965486041</v>
      </c>
      <c r="AV21" s="768"/>
      <c r="AW21" s="768"/>
      <c r="AX21" s="769">
        <f t="shared" si="2"/>
        <v>281296.19699999999</v>
      </c>
      <c r="AY21" s="769">
        <v>2730</v>
      </c>
      <c r="AZ21" s="115">
        <v>350000</v>
      </c>
    </row>
    <row r="22" spans="1:52" s="1354" customFormat="1" ht="12" customHeight="1" thickBot="1">
      <c r="A22" s="1333">
        <v>21</v>
      </c>
      <c r="B22" s="1334" t="s">
        <v>44</v>
      </c>
      <c r="C22" s="1335" t="s">
        <v>89</v>
      </c>
      <c r="D22" s="1336">
        <v>3</v>
      </c>
      <c r="E22" s="1336" t="s">
        <v>236</v>
      </c>
      <c r="F22" s="1337">
        <v>116.492</v>
      </c>
      <c r="G22" s="1338">
        <v>21.416</v>
      </c>
      <c r="H22" s="1339"/>
      <c r="I22" s="1340">
        <f t="shared" si="0"/>
        <v>122.91680000000001</v>
      </c>
      <c r="J22" s="1341" t="s">
        <v>258</v>
      </c>
      <c r="K22" s="1342" t="s">
        <v>17280</v>
      </c>
      <c r="L22" s="1341"/>
      <c r="M22" s="1341"/>
      <c r="N22" s="1341"/>
      <c r="O22" s="1343"/>
      <c r="P22" s="1344"/>
      <c r="Q22" s="1344"/>
      <c r="R22" s="1345">
        <f>0.95*T22</f>
        <v>373350</v>
      </c>
      <c r="S22" s="1346">
        <f>0.96*T22</f>
        <v>377280</v>
      </c>
      <c r="T22" s="1346">
        <v>393000</v>
      </c>
      <c r="U22" s="1346"/>
      <c r="V22" s="1347">
        <f>R22/T22-1</f>
        <v>-5.0000000000000044E-2</v>
      </c>
      <c r="W22" s="1348">
        <f t="shared" si="1"/>
        <v>3037.4204339846137</v>
      </c>
      <c r="X22" s="1348">
        <f>S22/I22</f>
        <v>3069.3932806581361</v>
      </c>
      <c r="Y22" s="1348">
        <f>T22/I22</f>
        <v>3197.2846673522249</v>
      </c>
      <c r="Z22" s="1349"/>
      <c r="AA22" s="1349"/>
      <c r="AB22" s="1350">
        <v>45568</v>
      </c>
      <c r="AC22" s="1351">
        <f>5000+32335</f>
        <v>37335</v>
      </c>
      <c r="AD22" s="1351">
        <v>18667.5</v>
      </c>
      <c r="AE22" s="1350"/>
      <c r="AF22" s="1351"/>
      <c r="AG22" s="1350"/>
      <c r="AH22" s="1351">
        <v>317347.5</v>
      </c>
      <c r="AI22" s="1341" t="s">
        <v>247</v>
      </c>
      <c r="AJ22" s="1341" t="s">
        <v>17419</v>
      </c>
      <c r="AK22" s="1341"/>
      <c r="AL22" s="1341"/>
      <c r="AM22" s="1341"/>
      <c r="AN22" s="1341"/>
      <c r="AO22" s="1352" t="s">
        <v>17671</v>
      </c>
      <c r="AP22" s="1352" t="s">
        <v>17421</v>
      </c>
      <c r="AQ22" s="1352"/>
      <c r="AR22" s="1352"/>
      <c r="AS22" s="1352"/>
      <c r="AT22" s="1805" t="s">
        <v>18105</v>
      </c>
      <c r="AU22" s="1352">
        <v>968242946</v>
      </c>
      <c r="AV22" s="1352"/>
      <c r="AW22" s="1352"/>
      <c r="AX22" s="1353">
        <f t="shared" si="2"/>
        <v>335562.864</v>
      </c>
      <c r="AY22" s="1353">
        <v>2730</v>
      </c>
      <c r="AZ22" s="1776"/>
    </row>
    <row r="23" spans="1:52" s="657" customFormat="1" ht="15">
      <c r="A23" s="770">
        <v>22</v>
      </c>
      <c r="B23" s="771" t="s">
        <v>45</v>
      </c>
      <c r="C23" s="772" t="s">
        <v>90</v>
      </c>
      <c r="D23" s="773">
        <v>3</v>
      </c>
      <c r="E23" s="773" t="s">
        <v>237</v>
      </c>
      <c r="F23" s="774">
        <v>59.668999999999997</v>
      </c>
      <c r="G23" s="775">
        <v>5.7850000000000001</v>
      </c>
      <c r="H23" s="776"/>
      <c r="I23" s="777">
        <f t="shared" si="0"/>
        <v>61.404499999999999</v>
      </c>
      <c r="J23" s="770" t="s">
        <v>258</v>
      </c>
      <c r="K23" s="778" t="s">
        <v>17278</v>
      </c>
      <c r="L23" s="770"/>
      <c r="M23" s="770"/>
      <c r="N23" s="770"/>
      <c r="O23" s="533"/>
      <c r="P23" s="770" t="s">
        <v>249</v>
      </c>
      <c r="Q23" s="770" t="s">
        <v>249</v>
      </c>
      <c r="R23" s="780">
        <v>176000</v>
      </c>
      <c r="S23" s="780">
        <v>176000</v>
      </c>
      <c r="T23" s="781">
        <v>176000</v>
      </c>
      <c r="U23" s="781"/>
      <c r="V23" s="782"/>
      <c r="W23" s="783">
        <f t="shared" si="1"/>
        <v>2866.2394449918165</v>
      </c>
      <c r="X23" s="783">
        <f>S23/I23</f>
        <v>2866.2394449918165</v>
      </c>
      <c r="Y23" s="783"/>
      <c r="Z23" s="783"/>
      <c r="AA23" s="784">
        <v>44991</v>
      </c>
      <c r="AB23" s="785">
        <v>45356</v>
      </c>
      <c r="AC23" s="786">
        <v>35200</v>
      </c>
      <c r="AD23" s="786"/>
      <c r="AE23" s="785"/>
      <c r="AF23" s="786"/>
      <c r="AG23" s="785"/>
      <c r="AH23" s="786">
        <v>140800</v>
      </c>
      <c r="AI23" s="770" t="s">
        <v>247</v>
      </c>
      <c r="AJ23" s="770" t="s">
        <v>309</v>
      </c>
      <c r="AK23" s="770"/>
      <c r="AL23" s="770"/>
      <c r="AM23" s="770"/>
      <c r="AN23" s="770"/>
      <c r="AO23" s="787" t="s">
        <v>17916</v>
      </c>
      <c r="AP23" s="787" t="s">
        <v>265</v>
      </c>
      <c r="AQ23" s="787"/>
      <c r="AR23" s="787"/>
      <c r="AS23" s="787"/>
      <c r="AT23" s="1804" t="s">
        <v>18106</v>
      </c>
      <c r="AU23" s="787">
        <v>968083749</v>
      </c>
      <c r="AV23" s="787"/>
      <c r="AW23" s="787"/>
      <c r="AX23" s="788">
        <f t="shared" si="2"/>
        <v>167634.285</v>
      </c>
      <c r="AY23" s="788">
        <v>2730</v>
      </c>
      <c r="AZ23" s="115"/>
    </row>
    <row r="24" spans="1:52" s="657" customFormat="1" ht="15">
      <c r="A24" s="95">
        <v>23</v>
      </c>
      <c r="B24" s="648" t="s">
        <v>46</v>
      </c>
      <c r="C24" s="649" t="s">
        <v>89</v>
      </c>
      <c r="D24" s="650">
        <v>3</v>
      </c>
      <c r="E24" s="650" t="s">
        <v>242</v>
      </c>
      <c r="F24" s="651">
        <v>131.804</v>
      </c>
      <c r="G24" s="652">
        <v>43</v>
      </c>
      <c r="H24" s="653"/>
      <c r="I24" s="654">
        <f t="shared" si="0"/>
        <v>144.70400000000001</v>
      </c>
      <c r="J24" s="95" t="s">
        <v>258</v>
      </c>
      <c r="K24" s="371" t="s">
        <v>17280</v>
      </c>
      <c r="L24" s="95"/>
      <c r="M24" s="95"/>
      <c r="N24" s="95"/>
      <c r="O24" s="99"/>
      <c r="P24" s="446" t="s">
        <v>249</v>
      </c>
      <c r="Q24" s="446" t="s">
        <v>249</v>
      </c>
      <c r="R24" s="656">
        <v>388000</v>
      </c>
      <c r="S24" s="475">
        <f>T24-(T24*V24)</f>
        <v>388000</v>
      </c>
      <c r="T24" s="475">
        <v>400000</v>
      </c>
      <c r="U24" s="475"/>
      <c r="V24" s="101">
        <v>0.03</v>
      </c>
      <c r="W24" s="102">
        <f t="shared" si="1"/>
        <v>2681.3356921716054</v>
      </c>
      <c r="X24" s="102">
        <f>S24/I24</f>
        <v>2681.3356921716054</v>
      </c>
      <c r="Y24" s="102"/>
      <c r="Z24" s="102"/>
      <c r="AA24" s="554">
        <v>44980</v>
      </c>
      <c r="AB24" s="135">
        <v>45378</v>
      </c>
      <c r="AC24" s="663">
        <f>20%*R24</f>
        <v>77600</v>
      </c>
      <c r="AD24" s="663"/>
      <c r="AE24" s="135"/>
      <c r="AF24" s="663"/>
      <c r="AG24" s="135"/>
      <c r="AH24" s="663">
        <f>R24-AC24</f>
        <v>310400</v>
      </c>
      <c r="AI24" s="95" t="s">
        <v>247</v>
      </c>
      <c r="AJ24" s="95" t="s">
        <v>309</v>
      </c>
      <c r="AK24" s="95"/>
      <c r="AL24" s="95"/>
      <c r="AM24" s="95"/>
      <c r="AN24" s="95"/>
      <c r="AO24" s="104" t="s">
        <v>334</v>
      </c>
      <c r="AP24" s="104" t="s">
        <v>265</v>
      </c>
      <c r="AQ24" s="104"/>
      <c r="AR24" s="104"/>
      <c r="AS24" s="104"/>
      <c r="AT24" s="1612" t="s">
        <v>18107</v>
      </c>
      <c r="AU24" s="104">
        <v>916367853</v>
      </c>
      <c r="AV24" s="104"/>
      <c r="AW24" s="104"/>
      <c r="AX24" s="115">
        <f t="shared" si="2"/>
        <v>395041.92000000004</v>
      </c>
      <c r="AY24" s="115">
        <v>2730</v>
      </c>
      <c r="AZ24" s="115"/>
    </row>
    <row r="25" spans="1:52" s="657" customFormat="1" ht="15">
      <c r="A25" s="95">
        <v>24</v>
      </c>
      <c r="B25" s="648" t="s">
        <v>47</v>
      </c>
      <c r="C25" s="649" t="s">
        <v>89</v>
      </c>
      <c r="D25" s="650">
        <v>3</v>
      </c>
      <c r="E25" s="650" t="s">
        <v>242</v>
      </c>
      <c r="F25" s="651">
        <v>131.804</v>
      </c>
      <c r="G25" s="652">
        <v>43</v>
      </c>
      <c r="H25" s="653"/>
      <c r="I25" s="654">
        <f t="shared" si="0"/>
        <v>144.70400000000001</v>
      </c>
      <c r="J25" s="95" t="s">
        <v>258</v>
      </c>
      <c r="K25" s="371" t="s">
        <v>17280</v>
      </c>
      <c r="L25" s="95"/>
      <c r="M25" s="95"/>
      <c r="N25" s="95"/>
      <c r="O25" s="105"/>
      <c r="P25" s="95" t="s">
        <v>249</v>
      </c>
      <c r="Q25" s="446" t="s">
        <v>249</v>
      </c>
      <c r="R25" s="664">
        <v>372000</v>
      </c>
      <c r="S25" s="475">
        <v>372000</v>
      </c>
      <c r="T25" s="475">
        <v>390600</v>
      </c>
      <c r="U25" s="475"/>
      <c r="V25" s="101"/>
      <c r="W25" s="102">
        <f t="shared" si="1"/>
        <v>2570.7651481645289</v>
      </c>
      <c r="X25" s="102">
        <f>T25/I25</f>
        <v>2699.3034055727553</v>
      </c>
      <c r="Y25" s="102"/>
      <c r="Z25" s="102"/>
      <c r="AA25" s="554">
        <v>44877</v>
      </c>
      <c r="AB25" s="135">
        <v>45342</v>
      </c>
      <c r="AC25" s="663">
        <v>74400</v>
      </c>
      <c r="AD25" s="663"/>
      <c r="AE25" s="135"/>
      <c r="AF25" s="663"/>
      <c r="AG25" s="135"/>
      <c r="AH25" s="663">
        <v>297600</v>
      </c>
      <c r="AI25" s="95" t="s">
        <v>247</v>
      </c>
      <c r="AJ25" s="95" t="s">
        <v>309</v>
      </c>
      <c r="AK25" s="95"/>
      <c r="AL25" s="95" t="s">
        <v>249</v>
      </c>
      <c r="AM25" s="95"/>
      <c r="AN25" s="95"/>
      <c r="AO25" s="104" t="s">
        <v>17353</v>
      </c>
      <c r="AP25" s="104" t="s">
        <v>265</v>
      </c>
      <c r="AQ25" s="104"/>
      <c r="AR25" s="104"/>
      <c r="AS25" s="104"/>
      <c r="AT25" s="1612" t="s">
        <v>18108</v>
      </c>
      <c r="AU25" s="104">
        <v>919818660</v>
      </c>
      <c r="AV25" s="104"/>
      <c r="AW25" s="104"/>
      <c r="AX25" s="115">
        <f t="shared" si="2"/>
        <v>395041.92000000004</v>
      </c>
      <c r="AY25" s="115">
        <v>2730</v>
      </c>
      <c r="AZ25" s="115"/>
    </row>
    <row r="26" spans="1:52" s="657" customFormat="1" ht="15">
      <c r="A26" s="95">
        <v>25</v>
      </c>
      <c r="B26" s="648" t="s">
        <v>48</v>
      </c>
      <c r="C26" s="649" t="s">
        <v>90</v>
      </c>
      <c r="D26" s="650">
        <v>3</v>
      </c>
      <c r="E26" s="650" t="s">
        <v>237</v>
      </c>
      <c r="F26" s="651">
        <v>59.668999999999997</v>
      </c>
      <c r="G26" s="652">
        <v>5.7850000000000001</v>
      </c>
      <c r="H26" s="653"/>
      <c r="I26" s="654">
        <f t="shared" si="0"/>
        <v>61.404499999999999</v>
      </c>
      <c r="J26" s="95" t="s">
        <v>258</v>
      </c>
      <c r="K26" s="371" t="s">
        <v>17278</v>
      </c>
      <c r="L26" s="95"/>
      <c r="M26" s="95"/>
      <c r="N26" s="95"/>
      <c r="O26" s="99"/>
      <c r="P26" s="95" t="s">
        <v>249</v>
      </c>
      <c r="Q26" s="446" t="s">
        <v>249</v>
      </c>
      <c r="R26" s="664">
        <v>167500</v>
      </c>
      <c r="S26" s="475">
        <v>167500</v>
      </c>
      <c r="T26" s="475">
        <v>175875</v>
      </c>
      <c r="U26" s="475"/>
      <c r="V26" s="101"/>
      <c r="W26" s="102">
        <f t="shared" si="1"/>
        <v>2727.8131081598253</v>
      </c>
      <c r="X26" s="102">
        <f>T26/I26</f>
        <v>2864.2037635678166</v>
      </c>
      <c r="Y26" s="102"/>
      <c r="Z26" s="102"/>
      <c r="AA26" s="554">
        <v>44881</v>
      </c>
      <c r="AB26" s="135">
        <v>45316</v>
      </c>
      <c r="AC26" s="663">
        <v>43500</v>
      </c>
      <c r="AD26" s="663"/>
      <c r="AE26" s="135"/>
      <c r="AF26" s="663"/>
      <c r="AG26" s="135"/>
      <c r="AH26" s="663">
        <v>124000</v>
      </c>
      <c r="AI26" s="95" t="s">
        <v>248</v>
      </c>
      <c r="AJ26" s="95"/>
      <c r="AK26" s="95"/>
      <c r="AL26" s="657" t="s">
        <v>249</v>
      </c>
      <c r="AM26" s="657" t="s">
        <v>249</v>
      </c>
      <c r="AO26" s="657" t="s">
        <v>264</v>
      </c>
      <c r="AP26" s="104" t="s">
        <v>265</v>
      </c>
      <c r="AQ26" s="104"/>
      <c r="AR26" s="104"/>
      <c r="AS26" s="104"/>
      <c r="AT26" s="1612" t="s">
        <v>18109</v>
      </c>
      <c r="AU26" s="104">
        <v>933255320</v>
      </c>
      <c r="AV26" s="104"/>
      <c r="AW26" s="104"/>
      <c r="AX26" s="115">
        <f t="shared" si="2"/>
        <v>167634.285</v>
      </c>
      <c r="AY26" s="115">
        <v>2730</v>
      </c>
      <c r="AZ26" s="115"/>
    </row>
    <row r="27" spans="1:52" s="657" customFormat="1" ht="15">
      <c r="A27" s="95">
        <v>26</v>
      </c>
      <c r="B27" s="648" t="s">
        <v>49</v>
      </c>
      <c r="C27" s="649" t="s">
        <v>89</v>
      </c>
      <c r="D27" s="650">
        <v>3</v>
      </c>
      <c r="E27" s="650" t="s">
        <v>241</v>
      </c>
      <c r="F27" s="651">
        <v>116.492</v>
      </c>
      <c r="G27" s="652">
        <v>16</v>
      </c>
      <c r="H27" s="653"/>
      <c r="I27" s="654">
        <f t="shared" si="0"/>
        <v>121.292</v>
      </c>
      <c r="J27" s="95" t="s">
        <v>258</v>
      </c>
      <c r="K27" s="371" t="s">
        <v>17275</v>
      </c>
      <c r="L27" s="95"/>
      <c r="M27" s="95"/>
      <c r="N27" s="102"/>
      <c r="O27" s="717"/>
      <c r="P27" s="95" t="s">
        <v>249</v>
      </c>
      <c r="Q27" s="446" t="s">
        <v>249</v>
      </c>
      <c r="R27" s="656">
        <v>369000</v>
      </c>
      <c r="S27" s="475">
        <v>376500</v>
      </c>
      <c r="T27" s="475">
        <v>384000</v>
      </c>
      <c r="U27" s="475"/>
      <c r="V27" s="101">
        <f>100%-(T27/S27)</f>
        <v>-1.9920318725099584E-2</v>
      </c>
      <c r="W27" s="102">
        <f t="shared" si="1"/>
        <v>3042.2451604392704</v>
      </c>
      <c r="X27" s="102">
        <f>S27/I27</f>
        <v>3104.0794116677112</v>
      </c>
      <c r="Y27" s="102">
        <f>T27/I27</f>
        <v>3165.9136628961514</v>
      </c>
      <c r="Z27" s="554"/>
      <c r="AA27" s="554"/>
      <c r="AB27" s="135">
        <v>45342</v>
      </c>
      <c r="AC27" s="663">
        <v>60000</v>
      </c>
      <c r="AD27" s="663">
        <v>13800</v>
      </c>
      <c r="AE27" s="135">
        <v>45351</v>
      </c>
      <c r="AF27" s="663"/>
      <c r="AG27" s="135"/>
      <c r="AH27" s="663">
        <v>295200</v>
      </c>
      <c r="AI27" s="712" t="s">
        <v>248</v>
      </c>
      <c r="AJ27" s="95"/>
      <c r="AK27" s="95"/>
      <c r="AL27" s="95"/>
      <c r="AM27" s="95"/>
      <c r="AN27" s="95"/>
      <c r="AO27" s="104" t="s">
        <v>17343</v>
      </c>
      <c r="AP27" s="104" t="s">
        <v>265</v>
      </c>
      <c r="AQ27" s="104"/>
      <c r="AR27" s="104"/>
      <c r="AS27" s="104"/>
      <c r="AT27" s="1612" t="s">
        <v>18110</v>
      </c>
      <c r="AU27" s="104">
        <v>915094942</v>
      </c>
      <c r="AV27" s="104"/>
      <c r="AW27" s="104"/>
      <c r="AX27" s="115">
        <f t="shared" si="2"/>
        <v>331127.16000000003</v>
      </c>
      <c r="AY27" s="115">
        <v>2730</v>
      </c>
      <c r="AZ27" s="115"/>
    </row>
    <row r="28" spans="1:52" s="657" customFormat="1" ht="15">
      <c r="A28" s="95">
        <v>27</v>
      </c>
      <c r="B28" s="648" t="s">
        <v>50</v>
      </c>
      <c r="C28" s="649" t="s">
        <v>91</v>
      </c>
      <c r="D28" s="650">
        <v>3</v>
      </c>
      <c r="E28" s="650" t="s">
        <v>238</v>
      </c>
      <c r="F28" s="651">
        <v>86.61</v>
      </c>
      <c r="G28" s="652">
        <f>34.052+14.95</f>
        <v>49.001999999999995</v>
      </c>
      <c r="H28" s="653"/>
      <c r="I28" s="654">
        <f t="shared" si="0"/>
        <v>101.31059999999999</v>
      </c>
      <c r="J28" s="95" t="s">
        <v>258</v>
      </c>
      <c r="K28" s="371" t="s">
        <v>17276</v>
      </c>
      <c r="L28" s="95"/>
      <c r="M28" s="95"/>
      <c r="N28" s="102"/>
      <c r="O28" s="717"/>
      <c r="P28" s="95" t="s">
        <v>249</v>
      </c>
      <c r="Q28" s="446" t="s">
        <v>249</v>
      </c>
      <c r="R28" s="664">
        <v>269000</v>
      </c>
      <c r="S28" s="475">
        <v>269000</v>
      </c>
      <c r="T28" s="475">
        <v>282450</v>
      </c>
      <c r="U28" s="475"/>
      <c r="V28" s="101"/>
      <c r="W28" s="102">
        <f t="shared" si="1"/>
        <v>2655.2009365258918</v>
      </c>
      <c r="X28" s="102">
        <f>T28/I28</f>
        <v>2787.9609833521863</v>
      </c>
      <c r="Y28" s="102"/>
      <c r="Z28" s="102"/>
      <c r="AA28" s="554">
        <v>44890</v>
      </c>
      <c r="AB28" s="135">
        <v>45331</v>
      </c>
      <c r="AC28" s="663">
        <v>53800</v>
      </c>
      <c r="AD28" s="663"/>
      <c r="AE28" s="135"/>
      <c r="AF28" s="663"/>
      <c r="AG28" s="135"/>
      <c r="AH28" s="663">
        <v>215200</v>
      </c>
      <c r="AI28" s="95" t="s">
        <v>247</v>
      </c>
      <c r="AJ28" s="95" t="s">
        <v>253</v>
      </c>
      <c r="AK28" s="95"/>
      <c r="AL28" s="95" t="s">
        <v>249</v>
      </c>
      <c r="AM28" s="95"/>
      <c r="AN28" s="95"/>
      <c r="AO28" s="104" t="s">
        <v>271</v>
      </c>
      <c r="AP28" s="104" t="s">
        <v>265</v>
      </c>
      <c r="AQ28" s="104"/>
      <c r="AR28" s="104"/>
      <c r="AS28" s="104"/>
      <c r="AT28" s="1612" t="s">
        <v>18111</v>
      </c>
      <c r="AU28" s="104">
        <v>914461887</v>
      </c>
      <c r="AV28" s="104"/>
      <c r="AW28" s="104"/>
      <c r="AX28" s="115">
        <f t="shared" si="2"/>
        <v>276577.93799999997</v>
      </c>
      <c r="AY28" s="115">
        <v>2730</v>
      </c>
      <c r="AZ28" s="115"/>
    </row>
    <row r="29" spans="1:52" s="657" customFormat="1" ht="15">
      <c r="A29" s="95">
        <v>28</v>
      </c>
      <c r="B29" s="648" t="s">
        <v>51</v>
      </c>
      <c r="C29" s="649" t="s">
        <v>90</v>
      </c>
      <c r="D29" s="650">
        <v>3</v>
      </c>
      <c r="E29" s="650" t="s">
        <v>239</v>
      </c>
      <c r="F29" s="651">
        <v>63.220999999999997</v>
      </c>
      <c r="G29" s="652">
        <v>25.146999999999998</v>
      </c>
      <c r="H29" s="653"/>
      <c r="I29" s="654">
        <f t="shared" si="0"/>
        <v>70.76509999999999</v>
      </c>
      <c r="J29" s="95" t="s">
        <v>258</v>
      </c>
      <c r="K29" s="371" t="s">
        <v>17278</v>
      </c>
      <c r="L29" s="95"/>
      <c r="M29" s="95"/>
      <c r="N29" s="102"/>
      <c r="O29" s="717"/>
      <c r="P29" s="95" t="s">
        <v>249</v>
      </c>
      <c r="Q29" s="95" t="s">
        <v>249</v>
      </c>
      <c r="R29" s="664">
        <v>194000</v>
      </c>
      <c r="S29" s="475">
        <v>194000</v>
      </c>
      <c r="T29" s="475">
        <v>203700</v>
      </c>
      <c r="U29" s="475"/>
      <c r="V29" s="101"/>
      <c r="W29" s="102">
        <f t="shared" si="1"/>
        <v>2741.4643659091844</v>
      </c>
      <c r="X29" s="102">
        <f>T29/I29</f>
        <v>2878.5375842046437</v>
      </c>
      <c r="Y29" s="102"/>
      <c r="Z29" s="102"/>
      <c r="AA29" s="554">
        <v>44880</v>
      </c>
      <c r="AB29" s="135">
        <v>45324</v>
      </c>
      <c r="AC29" s="663">
        <v>38800</v>
      </c>
      <c r="AD29" s="663"/>
      <c r="AE29" s="135"/>
      <c r="AF29" s="663"/>
      <c r="AG29" s="135"/>
      <c r="AH29" s="663">
        <v>155200</v>
      </c>
      <c r="AI29" s="95" t="s">
        <v>247</v>
      </c>
      <c r="AJ29" s="95" t="s">
        <v>254</v>
      </c>
      <c r="AK29" s="95"/>
      <c r="AL29" s="95" t="s">
        <v>249</v>
      </c>
      <c r="AM29" s="95"/>
      <c r="AN29" s="95"/>
      <c r="AO29" s="104" t="s">
        <v>17300</v>
      </c>
      <c r="AP29" s="104" t="s">
        <v>265</v>
      </c>
      <c r="AQ29" s="104"/>
      <c r="AR29" s="104"/>
      <c r="AS29" s="104"/>
      <c r="AT29" s="1612" t="s">
        <v>18112</v>
      </c>
      <c r="AU29" s="104">
        <v>919992138</v>
      </c>
      <c r="AV29" s="104"/>
      <c r="AW29" s="104"/>
      <c r="AX29" s="115">
        <f t="shared" si="2"/>
        <v>193188.72299999997</v>
      </c>
      <c r="AY29" s="115">
        <v>2730</v>
      </c>
      <c r="AZ29" s="115"/>
    </row>
    <row r="30" spans="1:52" s="657" customFormat="1" ht="15">
      <c r="A30" s="95">
        <v>29</v>
      </c>
      <c r="B30" s="648" t="s">
        <v>52</v>
      </c>
      <c r="C30" s="649" t="s">
        <v>90</v>
      </c>
      <c r="D30" s="650">
        <v>3</v>
      </c>
      <c r="E30" s="650" t="s">
        <v>239</v>
      </c>
      <c r="F30" s="651">
        <v>63.220999999999997</v>
      </c>
      <c r="G30" s="652">
        <v>25.146999999999998</v>
      </c>
      <c r="H30" s="653"/>
      <c r="I30" s="654">
        <f t="shared" si="0"/>
        <v>70.76509999999999</v>
      </c>
      <c r="J30" s="95" t="s">
        <v>258</v>
      </c>
      <c r="K30" s="371" t="s">
        <v>17278</v>
      </c>
      <c r="L30" s="95"/>
      <c r="M30" s="95"/>
      <c r="N30" s="102"/>
      <c r="O30" s="717"/>
      <c r="P30" s="95" t="s">
        <v>249</v>
      </c>
      <c r="Q30" s="95" t="s">
        <v>249</v>
      </c>
      <c r="R30" s="656">
        <v>199820</v>
      </c>
      <c r="S30" s="475">
        <f>T30-(T30*V30)</f>
        <v>199820</v>
      </c>
      <c r="T30" s="475">
        <v>206000</v>
      </c>
      <c r="U30" s="475"/>
      <c r="V30" s="101">
        <v>0.03</v>
      </c>
      <c r="W30" s="102">
        <f t="shared" si="1"/>
        <v>2823.7082968864602</v>
      </c>
      <c r="X30" s="102">
        <f>T30/I30</f>
        <v>2911.0394813262474</v>
      </c>
      <c r="Y30" s="102"/>
      <c r="Z30" s="102"/>
      <c r="AA30" s="554">
        <v>44953</v>
      </c>
      <c r="AB30" s="135">
        <v>45324</v>
      </c>
      <c r="AC30" s="663">
        <v>39364</v>
      </c>
      <c r="AD30" s="663"/>
      <c r="AE30" s="135"/>
      <c r="AF30" s="663"/>
      <c r="AG30" s="135"/>
      <c r="AH30" s="663">
        <v>159856</v>
      </c>
      <c r="AI30" s="95" t="s">
        <v>247</v>
      </c>
      <c r="AJ30" s="95" t="s">
        <v>309</v>
      </c>
      <c r="AK30" s="95"/>
      <c r="AL30" s="95" t="s">
        <v>249</v>
      </c>
      <c r="AM30" s="95"/>
      <c r="AN30" s="95"/>
      <c r="AO30" s="104" t="s">
        <v>318</v>
      </c>
      <c r="AP30" s="104" t="s">
        <v>265</v>
      </c>
      <c r="AQ30" s="104"/>
      <c r="AR30" s="104"/>
      <c r="AS30" s="104"/>
      <c r="AT30" s="1612" t="s">
        <v>18113</v>
      </c>
      <c r="AU30" s="104">
        <v>963871036</v>
      </c>
      <c r="AV30" s="104"/>
      <c r="AW30" s="104"/>
      <c r="AX30" s="115">
        <f t="shared" si="2"/>
        <v>193188.72299999997</v>
      </c>
      <c r="AY30" s="115">
        <v>2730</v>
      </c>
      <c r="AZ30" s="115"/>
    </row>
    <row r="31" spans="1:52" s="657" customFormat="1" ht="15">
      <c r="A31" s="95">
        <v>30</v>
      </c>
      <c r="B31" s="715" t="s">
        <v>53</v>
      </c>
      <c r="C31" s="649" t="s">
        <v>91</v>
      </c>
      <c r="D31" s="650">
        <v>3</v>
      </c>
      <c r="E31" s="650" t="s">
        <v>240</v>
      </c>
      <c r="F31" s="651">
        <v>86.61</v>
      </c>
      <c r="G31" s="652">
        <v>52.567999999999998</v>
      </c>
      <c r="H31" s="653"/>
      <c r="I31" s="654">
        <f t="shared" si="0"/>
        <v>102.38039999999999</v>
      </c>
      <c r="J31" s="95" t="s">
        <v>258</v>
      </c>
      <c r="K31" s="371" t="s">
        <v>17276</v>
      </c>
      <c r="L31" s="95"/>
      <c r="M31" s="95"/>
      <c r="N31" s="102"/>
      <c r="O31" s="717"/>
      <c r="P31" s="95" t="s">
        <v>249</v>
      </c>
      <c r="Q31" s="95" t="s">
        <v>249</v>
      </c>
      <c r="R31" s="664">
        <v>280000</v>
      </c>
      <c r="S31" s="475">
        <v>280000</v>
      </c>
      <c r="T31" s="475">
        <v>294000</v>
      </c>
      <c r="U31" s="475"/>
      <c r="V31" s="101"/>
      <c r="W31" s="102">
        <f t="shared" si="1"/>
        <v>2734.8984766615486</v>
      </c>
      <c r="X31" s="102">
        <f>T31/I31</f>
        <v>2871.6434004946259</v>
      </c>
      <c r="Y31" s="102"/>
      <c r="Z31" s="102"/>
      <c r="AA31" s="554">
        <v>44914</v>
      </c>
      <c r="AB31" s="135">
        <v>45343</v>
      </c>
      <c r="AC31" s="663">
        <v>56000</v>
      </c>
      <c r="AD31" s="663"/>
      <c r="AE31" s="135"/>
      <c r="AF31" s="663"/>
      <c r="AG31" s="135"/>
      <c r="AH31" s="663">
        <v>224000</v>
      </c>
      <c r="AI31" s="95" t="s">
        <v>274</v>
      </c>
      <c r="AJ31" s="95"/>
      <c r="AK31" s="306">
        <v>0.04</v>
      </c>
      <c r="AL31" s="95"/>
      <c r="AM31" s="95"/>
      <c r="AN31" s="95"/>
      <c r="AO31" s="104" t="s">
        <v>303</v>
      </c>
      <c r="AP31" s="104" t="s">
        <v>517</v>
      </c>
      <c r="AQ31" s="104"/>
      <c r="AR31" s="104"/>
      <c r="AS31" s="104"/>
      <c r="AT31" s="1612" t="s">
        <v>18114</v>
      </c>
      <c r="AU31" s="104" t="s">
        <v>455</v>
      </c>
      <c r="AV31" s="104"/>
      <c r="AW31" s="104"/>
      <c r="AX31" s="115">
        <f t="shared" si="2"/>
        <v>279498.49199999997</v>
      </c>
      <c r="AY31" s="115">
        <v>2730</v>
      </c>
      <c r="AZ31" s="115"/>
    </row>
    <row r="32" spans="1:52" s="750" customFormat="1" ht="15">
      <c r="A32" s="95">
        <v>31</v>
      </c>
      <c r="B32" s="648" t="s">
        <v>54</v>
      </c>
      <c r="C32" s="649" t="s">
        <v>89</v>
      </c>
      <c r="D32" s="650">
        <v>4</v>
      </c>
      <c r="E32" s="650" t="s">
        <v>236</v>
      </c>
      <c r="F32" s="651">
        <v>116.492</v>
      </c>
      <c r="G32" s="652">
        <v>21.416</v>
      </c>
      <c r="H32" s="653"/>
      <c r="I32" s="654">
        <f t="shared" si="0"/>
        <v>122.91680000000001</v>
      </c>
      <c r="J32" s="95" t="s">
        <v>258</v>
      </c>
      <c r="K32" s="371" t="s">
        <v>17275</v>
      </c>
      <c r="L32" s="95"/>
      <c r="M32" s="95"/>
      <c r="N32" s="95"/>
      <c r="O32" s="99"/>
      <c r="P32" s="95" t="s">
        <v>249</v>
      </c>
      <c r="Q32" s="95" t="s">
        <v>249</v>
      </c>
      <c r="R32" s="656">
        <v>383000</v>
      </c>
      <c r="S32" s="475">
        <f>0.96*T32</f>
        <v>382080</v>
      </c>
      <c r="T32" s="475">
        <v>398000</v>
      </c>
      <c r="U32" s="475"/>
      <c r="V32" s="101">
        <f>S32/T32-1</f>
        <v>-4.0000000000000036E-2</v>
      </c>
      <c r="W32" s="102">
        <f t="shared" si="1"/>
        <v>3115.928823399242</v>
      </c>
      <c r="X32" s="102">
        <f>S32/I32</f>
        <v>3108.4440857555678</v>
      </c>
      <c r="Y32" s="102">
        <f>T32/I32</f>
        <v>3237.9625893287166</v>
      </c>
      <c r="Z32" s="554"/>
      <c r="AA32" s="554"/>
      <c r="AB32" s="135">
        <v>45425</v>
      </c>
      <c r="AC32" s="663">
        <v>38300</v>
      </c>
      <c r="AD32" s="663"/>
      <c r="AE32" s="135"/>
      <c r="AF32" s="663"/>
      <c r="AG32" s="135"/>
      <c r="AH32" s="663">
        <v>344700</v>
      </c>
      <c r="AI32" s="95" t="s">
        <v>247</v>
      </c>
      <c r="AJ32" s="95"/>
      <c r="AK32" s="95"/>
      <c r="AL32" s="95"/>
      <c r="AM32" s="95"/>
      <c r="AN32" s="95"/>
      <c r="AO32" s="104" t="s">
        <v>17478</v>
      </c>
      <c r="AP32" s="104" t="s">
        <v>265</v>
      </c>
      <c r="AQ32" s="104"/>
      <c r="AR32" s="104"/>
      <c r="AS32" s="104"/>
      <c r="AT32" s="1612" t="s">
        <v>18115</v>
      </c>
      <c r="AU32" s="104">
        <v>914966220</v>
      </c>
      <c r="AV32" s="104"/>
      <c r="AW32" s="104"/>
      <c r="AX32" s="115">
        <f t="shared" si="2"/>
        <v>335562.864</v>
      </c>
      <c r="AY32" s="115">
        <v>2730</v>
      </c>
      <c r="AZ32" s="115"/>
    </row>
    <row r="33" spans="1:52" s="657" customFormat="1" ht="15">
      <c r="A33" s="95">
        <v>32</v>
      </c>
      <c r="B33" s="648" t="s">
        <v>55</v>
      </c>
      <c r="C33" s="649" t="s">
        <v>90</v>
      </c>
      <c r="D33" s="650">
        <v>4</v>
      </c>
      <c r="E33" s="650" t="s">
        <v>237</v>
      </c>
      <c r="F33" s="651">
        <v>59.668999999999997</v>
      </c>
      <c r="G33" s="652">
        <v>5.7850000000000001</v>
      </c>
      <c r="H33" s="653"/>
      <c r="I33" s="654">
        <f t="shared" si="0"/>
        <v>61.404499999999999</v>
      </c>
      <c r="J33" s="95" t="s">
        <v>258</v>
      </c>
      <c r="K33" s="371" t="s">
        <v>17278</v>
      </c>
      <c r="L33" s="95"/>
      <c r="M33" s="95"/>
      <c r="N33" s="102"/>
      <c r="O33" s="717"/>
      <c r="P33" s="95" t="s">
        <v>249</v>
      </c>
      <c r="Q33" s="446" t="s">
        <v>249</v>
      </c>
      <c r="R33" s="664">
        <v>170000</v>
      </c>
      <c r="S33" s="475">
        <v>170000</v>
      </c>
      <c r="T33" s="475">
        <v>178500</v>
      </c>
      <c r="U33" s="475"/>
      <c r="V33" s="101"/>
      <c r="W33" s="102">
        <f t="shared" si="1"/>
        <v>2768.526736639823</v>
      </c>
      <c r="X33" s="102">
        <f>T33/I33</f>
        <v>2906.9530734718142</v>
      </c>
      <c r="Y33" s="102"/>
      <c r="Z33" s="102"/>
      <c r="AA33" s="554">
        <v>44882</v>
      </c>
      <c r="AB33" s="135">
        <v>45316</v>
      </c>
      <c r="AC33" s="663">
        <v>44000</v>
      </c>
      <c r="AD33" s="663"/>
      <c r="AE33" s="135"/>
      <c r="AF33" s="663"/>
      <c r="AG33" s="135"/>
      <c r="AH33" s="663">
        <v>126000</v>
      </c>
      <c r="AI33" s="95" t="s">
        <v>248</v>
      </c>
      <c r="AJ33" s="95"/>
      <c r="AK33" s="95"/>
      <c r="AL33" s="95" t="s">
        <v>249</v>
      </c>
      <c r="AM33" s="95" t="s">
        <v>249</v>
      </c>
      <c r="AN33" s="95"/>
      <c r="AO33" s="104" t="s">
        <v>17288</v>
      </c>
      <c r="AP33" s="104" t="s">
        <v>265</v>
      </c>
      <c r="AQ33" s="104"/>
      <c r="AR33" s="104"/>
      <c r="AS33" s="104"/>
      <c r="AT33" s="1612" t="s">
        <v>18116</v>
      </c>
      <c r="AU33" s="104">
        <v>966501924</v>
      </c>
      <c r="AV33" s="104"/>
      <c r="AW33" s="104"/>
      <c r="AX33" s="115">
        <f t="shared" si="2"/>
        <v>167634.285</v>
      </c>
      <c r="AY33" s="115">
        <v>2730</v>
      </c>
      <c r="AZ33" s="115"/>
    </row>
    <row r="34" spans="1:52" s="657" customFormat="1" ht="15.75" thickBot="1">
      <c r="A34" s="95">
        <v>33</v>
      </c>
      <c r="B34" s="648" t="s">
        <v>56</v>
      </c>
      <c r="C34" s="649" t="s">
        <v>89</v>
      </c>
      <c r="D34" s="650">
        <v>4</v>
      </c>
      <c r="E34" s="650" t="s">
        <v>242</v>
      </c>
      <c r="F34" s="651">
        <v>131.804</v>
      </c>
      <c r="G34" s="652">
        <v>43</v>
      </c>
      <c r="H34" s="670"/>
      <c r="I34" s="654">
        <f t="shared" ref="I34:I65" si="4">F34+0.3*G34</f>
        <v>144.70400000000001</v>
      </c>
      <c r="J34" s="95" t="s">
        <v>258</v>
      </c>
      <c r="K34" s="371" t="s">
        <v>17275</v>
      </c>
      <c r="L34" s="95"/>
      <c r="M34" s="95"/>
      <c r="N34" s="95"/>
      <c r="O34" s="300"/>
      <c r="P34" s="446" t="s">
        <v>249</v>
      </c>
      <c r="Q34" s="446" t="s">
        <v>249</v>
      </c>
      <c r="R34" s="656">
        <v>393820</v>
      </c>
      <c r="S34" s="475">
        <f>T34-(T34*V34)</f>
        <v>393820</v>
      </c>
      <c r="T34" s="475">
        <v>406000</v>
      </c>
      <c r="U34" s="475"/>
      <c r="V34" s="101">
        <v>0.03</v>
      </c>
      <c r="W34" s="102">
        <f t="shared" ref="W34:W65" si="5">R34/I34</f>
        <v>2721.5557275541796</v>
      </c>
      <c r="X34" s="102">
        <f>S34/I34</f>
        <v>2721.5557275541796</v>
      </c>
      <c r="Y34" s="102"/>
      <c r="Z34" s="102"/>
      <c r="AA34" s="554">
        <v>44979</v>
      </c>
      <c r="AB34" s="135">
        <v>45378</v>
      </c>
      <c r="AC34" s="663">
        <f>20%*R34</f>
        <v>78764</v>
      </c>
      <c r="AD34" s="663"/>
      <c r="AE34" s="135"/>
      <c r="AF34" s="663"/>
      <c r="AG34" s="135"/>
      <c r="AH34" s="663">
        <f>80%*R34</f>
        <v>315056</v>
      </c>
      <c r="AI34" s="95" t="s">
        <v>247</v>
      </c>
      <c r="AJ34" s="95" t="s">
        <v>309</v>
      </c>
      <c r="AK34" s="95"/>
      <c r="AL34" s="95"/>
      <c r="AM34" s="95"/>
      <c r="AN34" s="95"/>
      <c r="AO34" s="104" t="s">
        <v>332</v>
      </c>
      <c r="AP34" s="104" t="s">
        <v>265</v>
      </c>
      <c r="AQ34" s="104"/>
      <c r="AR34" s="104"/>
      <c r="AS34" s="104"/>
      <c r="AT34" s="1612" t="s">
        <v>18117</v>
      </c>
      <c r="AU34" s="104">
        <v>914618925</v>
      </c>
      <c r="AV34" s="104"/>
      <c r="AW34" s="104"/>
      <c r="AX34" s="115">
        <f t="shared" ref="AX34:AX65" si="6">AY34*I34</f>
        <v>395041.92000000004</v>
      </c>
      <c r="AY34" s="115">
        <v>2730</v>
      </c>
      <c r="AZ34" s="115"/>
    </row>
    <row r="35" spans="1:52" s="657" customFormat="1" ht="15">
      <c r="A35" s="95">
        <v>34</v>
      </c>
      <c r="B35" s="648" t="s">
        <v>57</v>
      </c>
      <c r="C35" s="649" t="s">
        <v>89</v>
      </c>
      <c r="D35" s="650">
        <v>4</v>
      </c>
      <c r="E35" s="650" t="s">
        <v>242</v>
      </c>
      <c r="F35" s="651">
        <v>131.804</v>
      </c>
      <c r="G35" s="652">
        <v>43</v>
      </c>
      <c r="H35" s="677"/>
      <c r="I35" s="654">
        <f t="shared" si="4"/>
        <v>144.70400000000001</v>
      </c>
      <c r="J35" s="95" t="s">
        <v>258</v>
      </c>
      <c r="K35" s="371" t="s">
        <v>17280</v>
      </c>
      <c r="L35" s="95"/>
      <c r="M35" s="95"/>
      <c r="N35" s="102"/>
      <c r="O35" s="717"/>
      <c r="P35" s="446" t="s">
        <v>249</v>
      </c>
      <c r="Q35" s="446" t="s">
        <v>249</v>
      </c>
      <c r="R35" s="656">
        <v>377000</v>
      </c>
      <c r="S35" s="475">
        <v>377000</v>
      </c>
      <c r="T35" s="475">
        <v>395850</v>
      </c>
      <c r="U35" s="475"/>
      <c r="V35" s="101"/>
      <c r="W35" s="102">
        <f t="shared" si="5"/>
        <v>2605.3184431667401</v>
      </c>
      <c r="X35" s="102">
        <f>T35/I35</f>
        <v>2735.5843653250772</v>
      </c>
      <c r="Y35" s="102"/>
      <c r="Z35" s="102"/>
      <c r="AA35" s="554">
        <v>44902</v>
      </c>
      <c r="AB35" s="135">
        <v>45343</v>
      </c>
      <c r="AC35" s="663">
        <v>75400</v>
      </c>
      <c r="AD35" s="663"/>
      <c r="AE35" s="135"/>
      <c r="AF35" s="663"/>
      <c r="AG35" s="135"/>
      <c r="AH35" s="663">
        <v>301600</v>
      </c>
      <c r="AI35" s="95" t="s">
        <v>274</v>
      </c>
      <c r="AJ35" s="95"/>
      <c r="AK35" s="306">
        <v>0.04</v>
      </c>
      <c r="AL35" s="95"/>
      <c r="AM35" s="95"/>
      <c r="AN35" s="95"/>
      <c r="AO35" s="95" t="s">
        <v>257</v>
      </c>
      <c r="AP35" s="104" t="s">
        <v>517</v>
      </c>
      <c r="AQ35" s="104"/>
      <c r="AR35" s="104"/>
      <c r="AS35" s="104"/>
      <c r="AT35" s="1612" t="s">
        <v>18118</v>
      </c>
      <c r="AU35" s="104"/>
      <c r="AV35" s="104"/>
      <c r="AW35" s="104"/>
      <c r="AX35" s="115">
        <f t="shared" si="6"/>
        <v>395041.92000000004</v>
      </c>
      <c r="AY35" s="115">
        <v>2730</v>
      </c>
      <c r="AZ35" s="115"/>
    </row>
    <row r="36" spans="1:52" s="657" customFormat="1" ht="15">
      <c r="A36" s="95">
        <v>35</v>
      </c>
      <c r="B36" s="648" t="s">
        <v>58</v>
      </c>
      <c r="C36" s="649" t="s">
        <v>90</v>
      </c>
      <c r="D36" s="650">
        <v>4</v>
      </c>
      <c r="E36" s="650" t="s">
        <v>237</v>
      </c>
      <c r="F36" s="651">
        <v>59.668999999999997</v>
      </c>
      <c r="G36" s="652">
        <v>5.7850000000000001</v>
      </c>
      <c r="H36" s="653"/>
      <c r="I36" s="654">
        <f t="shared" si="4"/>
        <v>61.404499999999999</v>
      </c>
      <c r="J36" s="95" t="s">
        <v>258</v>
      </c>
      <c r="K36" s="371" t="s">
        <v>17278</v>
      </c>
      <c r="L36" s="713"/>
      <c r="M36" s="95"/>
      <c r="N36" s="102"/>
      <c r="O36" s="717"/>
      <c r="P36" s="714" t="s">
        <v>249</v>
      </c>
      <c r="Q36" s="446" t="s">
        <v>249</v>
      </c>
      <c r="R36" s="656">
        <v>178480</v>
      </c>
      <c r="S36" s="475">
        <f>T36-(T36*V36)</f>
        <v>178480</v>
      </c>
      <c r="T36" s="475">
        <v>184000</v>
      </c>
      <c r="U36" s="475"/>
      <c r="V36" s="101">
        <v>0.03</v>
      </c>
      <c r="W36" s="102">
        <f t="shared" si="5"/>
        <v>2906.6273644439739</v>
      </c>
      <c r="X36" s="102">
        <f>T36/I36</f>
        <v>2996.5230561278081</v>
      </c>
      <c r="Y36" s="102"/>
      <c r="Z36" s="102"/>
      <c r="AA36" s="554">
        <v>44946</v>
      </c>
      <c r="AB36" s="135">
        <v>45343</v>
      </c>
      <c r="AC36" s="663">
        <v>35969</v>
      </c>
      <c r="AD36" s="663"/>
      <c r="AE36" s="135"/>
      <c r="AF36" s="663"/>
      <c r="AG36" s="135"/>
      <c r="AH36" s="663">
        <v>142784</v>
      </c>
      <c r="AI36" s="95" t="s">
        <v>247</v>
      </c>
      <c r="AJ36" s="95" t="s">
        <v>309</v>
      </c>
      <c r="AK36" s="95"/>
      <c r="AL36" s="95"/>
      <c r="AM36" s="95"/>
      <c r="AN36" s="95"/>
      <c r="AO36" s="104" t="s">
        <v>310</v>
      </c>
      <c r="AP36" s="104" t="s">
        <v>265</v>
      </c>
      <c r="AQ36" s="104"/>
      <c r="AR36" s="104"/>
      <c r="AS36" s="104"/>
      <c r="AT36" s="1612" t="s">
        <v>18119</v>
      </c>
      <c r="AU36" s="104">
        <v>967429350</v>
      </c>
      <c r="AV36" s="104"/>
      <c r="AW36" s="104"/>
      <c r="AX36" s="115">
        <f t="shared" si="6"/>
        <v>167634.285</v>
      </c>
      <c r="AY36" s="115">
        <v>2730</v>
      </c>
      <c r="AZ36" s="115"/>
    </row>
    <row r="37" spans="1:52" s="657" customFormat="1">
      <c r="A37" s="95">
        <v>36</v>
      </c>
      <c r="B37" s="648" t="s">
        <v>59</v>
      </c>
      <c r="C37" s="649" t="s">
        <v>89</v>
      </c>
      <c r="D37" s="650">
        <v>4</v>
      </c>
      <c r="E37" s="650" t="s">
        <v>241</v>
      </c>
      <c r="F37" s="651">
        <v>116.492</v>
      </c>
      <c r="G37" s="652">
        <v>16</v>
      </c>
      <c r="H37" s="653"/>
      <c r="I37" s="654">
        <f t="shared" si="4"/>
        <v>121.292</v>
      </c>
      <c r="J37" s="95" t="s">
        <v>258</v>
      </c>
      <c r="K37" s="371" t="s">
        <v>17275</v>
      </c>
      <c r="L37" s="95"/>
      <c r="M37" s="95"/>
      <c r="N37" s="102"/>
      <c r="O37" s="717"/>
      <c r="P37" s="446" t="s">
        <v>249</v>
      </c>
      <c r="Q37" s="446" t="s">
        <v>249</v>
      </c>
      <c r="R37" s="656">
        <f>0.96*T37</f>
        <v>375360</v>
      </c>
      <c r="S37" s="475">
        <v>383250</v>
      </c>
      <c r="T37" s="475">
        <v>391000</v>
      </c>
      <c r="U37" s="475"/>
      <c r="V37" s="101">
        <f>100%-(T37/S37)</f>
        <v>-2.022178734507496E-2</v>
      </c>
      <c r="W37" s="102">
        <f t="shared" si="5"/>
        <v>3094.6806054809881</v>
      </c>
      <c r="X37" s="102">
        <f>S37/I37</f>
        <v>3159.7302377733072</v>
      </c>
      <c r="Y37" s="102">
        <f>T37/I37</f>
        <v>3223.6256307093627</v>
      </c>
      <c r="Z37" s="554"/>
      <c r="AA37" s="554"/>
      <c r="AB37" s="135">
        <v>45343</v>
      </c>
      <c r="AC37" s="663">
        <v>75072</v>
      </c>
      <c r="AD37" s="663"/>
      <c r="AE37" s="135"/>
      <c r="AF37" s="663"/>
      <c r="AG37" s="135"/>
      <c r="AH37" s="663">
        <v>300288</v>
      </c>
      <c r="AI37" s="95" t="s">
        <v>248</v>
      </c>
      <c r="AJ37" s="95"/>
      <c r="AK37" s="95"/>
      <c r="AL37" s="95"/>
      <c r="AM37" s="95"/>
      <c r="AN37" s="95"/>
      <c r="AO37" s="104" t="s">
        <v>17345</v>
      </c>
      <c r="AP37" s="104" t="s">
        <v>265</v>
      </c>
      <c r="AQ37" s="104"/>
      <c r="AR37" s="104"/>
      <c r="AS37" s="104"/>
      <c r="AT37" s="104"/>
      <c r="AU37" s="104"/>
      <c r="AV37" s="104"/>
      <c r="AW37" s="104"/>
      <c r="AX37" s="115">
        <f t="shared" si="6"/>
        <v>331127.16000000003</v>
      </c>
      <c r="AY37" s="115">
        <v>2730</v>
      </c>
      <c r="AZ37" s="115"/>
    </row>
    <row r="38" spans="1:52" s="657" customFormat="1">
      <c r="A38" s="95">
        <v>37</v>
      </c>
      <c r="B38" s="648" t="s">
        <v>60</v>
      </c>
      <c r="C38" s="649" t="s">
        <v>91</v>
      </c>
      <c r="D38" s="650">
        <v>4</v>
      </c>
      <c r="E38" s="650" t="s">
        <v>238</v>
      </c>
      <c r="F38" s="651">
        <v>86.61</v>
      </c>
      <c r="G38" s="652">
        <f>34.052+14.95</f>
        <v>49.001999999999995</v>
      </c>
      <c r="H38" s="653"/>
      <c r="I38" s="654">
        <f t="shared" si="4"/>
        <v>101.31059999999999</v>
      </c>
      <c r="J38" s="95" t="s">
        <v>258</v>
      </c>
      <c r="K38" s="371" t="s">
        <v>17276</v>
      </c>
      <c r="L38" s="95"/>
      <c r="M38" s="95"/>
      <c r="N38" s="95"/>
      <c r="O38" s="99"/>
      <c r="P38" s="714" t="s">
        <v>249</v>
      </c>
      <c r="Q38" s="446" t="s">
        <v>249</v>
      </c>
      <c r="R38" s="664">
        <v>274000</v>
      </c>
      <c r="S38" s="475">
        <v>274000</v>
      </c>
      <c r="T38" s="475">
        <v>287700</v>
      </c>
      <c r="U38" s="475"/>
      <c r="V38" s="101"/>
      <c r="W38" s="102">
        <f t="shared" si="5"/>
        <v>2704.5541137847372</v>
      </c>
      <c r="X38" s="102">
        <f>T38/I38</f>
        <v>2839.7818194739743</v>
      </c>
      <c r="Y38" s="102"/>
      <c r="Z38" s="102"/>
      <c r="AA38" s="554">
        <v>44941</v>
      </c>
      <c r="AB38" s="135">
        <v>45342</v>
      </c>
      <c r="AC38" s="663">
        <v>54800</v>
      </c>
      <c r="AD38" s="663"/>
      <c r="AE38" s="135"/>
      <c r="AF38" s="663"/>
      <c r="AG38" s="135"/>
      <c r="AH38" s="663">
        <v>219200</v>
      </c>
      <c r="AI38" s="95" t="s">
        <v>274</v>
      </c>
      <c r="AJ38" s="95"/>
      <c r="AK38" s="306">
        <v>0.04</v>
      </c>
      <c r="AL38" s="95"/>
      <c r="AM38" s="95"/>
      <c r="AN38" s="95"/>
      <c r="AO38" s="104" t="s">
        <v>308</v>
      </c>
      <c r="AP38" s="104" t="s">
        <v>517</v>
      </c>
      <c r="AQ38" s="104"/>
      <c r="AR38" s="104"/>
      <c r="AS38" s="104"/>
      <c r="AT38" s="104"/>
      <c r="AU38" s="104"/>
      <c r="AV38" s="104"/>
      <c r="AW38" s="104"/>
      <c r="AX38" s="115">
        <f t="shared" si="6"/>
        <v>276577.93799999997</v>
      </c>
      <c r="AY38" s="115">
        <v>2730</v>
      </c>
      <c r="AZ38" s="115"/>
    </row>
    <row r="39" spans="1:52" s="657" customFormat="1">
      <c r="A39" s="95">
        <v>38</v>
      </c>
      <c r="B39" s="648" t="s">
        <v>61</v>
      </c>
      <c r="C39" s="649" t="s">
        <v>90</v>
      </c>
      <c r="D39" s="650">
        <v>4</v>
      </c>
      <c r="E39" s="650" t="s">
        <v>239</v>
      </c>
      <c r="F39" s="651">
        <v>63.220999999999997</v>
      </c>
      <c r="G39" s="652">
        <v>25.146999999999998</v>
      </c>
      <c r="H39" s="653"/>
      <c r="I39" s="654">
        <f t="shared" si="4"/>
        <v>70.76509999999999</v>
      </c>
      <c r="J39" s="95" t="s">
        <v>258</v>
      </c>
      <c r="K39" s="371" t="s">
        <v>17278</v>
      </c>
      <c r="L39" s="95"/>
      <c r="M39" s="95"/>
      <c r="N39" s="95"/>
      <c r="O39" s="105"/>
      <c r="P39" s="714" t="s">
        <v>249</v>
      </c>
      <c r="Q39" s="446" t="s">
        <v>249</v>
      </c>
      <c r="R39" s="664">
        <v>187750</v>
      </c>
      <c r="S39" s="475">
        <v>196500</v>
      </c>
      <c r="T39" s="475">
        <v>206325</v>
      </c>
      <c r="U39" s="475"/>
      <c r="V39" s="101"/>
      <c r="W39" s="102">
        <f t="shared" si="5"/>
        <v>2653.1439932961307</v>
      </c>
      <c r="X39" s="102">
        <f>S39/I39</f>
        <v>2776.7925149544058</v>
      </c>
      <c r="Y39" s="102">
        <f>T39/I39</f>
        <v>2915.632140702126</v>
      </c>
      <c r="Z39" s="102"/>
      <c r="AA39" s="554">
        <v>45182</v>
      </c>
      <c r="AB39" s="135">
        <v>45345</v>
      </c>
      <c r="AC39" s="663">
        <v>18775</v>
      </c>
      <c r="AD39" s="663"/>
      <c r="AE39" s="135"/>
      <c r="AF39" s="663"/>
      <c r="AG39" s="135"/>
      <c r="AH39" s="663">
        <v>168975</v>
      </c>
      <c r="AI39" s="95" t="s">
        <v>247</v>
      </c>
      <c r="AJ39" s="95"/>
      <c r="AK39" s="95">
        <v>0</v>
      </c>
      <c r="AL39" s="95"/>
      <c r="AM39" s="95"/>
      <c r="AN39" s="95"/>
      <c r="AO39" s="104" t="s">
        <v>17695</v>
      </c>
      <c r="AP39" s="104" t="s">
        <v>517</v>
      </c>
      <c r="AQ39" s="104"/>
      <c r="AR39" s="104"/>
      <c r="AS39" s="104"/>
      <c r="AT39" s="104"/>
      <c r="AU39" s="104"/>
      <c r="AV39" s="104"/>
      <c r="AW39" s="104"/>
      <c r="AX39" s="115">
        <f t="shared" si="6"/>
        <v>193188.72299999997</v>
      </c>
      <c r="AY39" s="115">
        <v>2730</v>
      </c>
      <c r="AZ39" s="115"/>
    </row>
    <row r="40" spans="1:52" s="657" customFormat="1">
      <c r="A40" s="95">
        <v>39</v>
      </c>
      <c r="B40" s="648" t="s">
        <v>62</v>
      </c>
      <c r="C40" s="649" t="s">
        <v>90</v>
      </c>
      <c r="D40" s="650">
        <v>4</v>
      </c>
      <c r="E40" s="650" t="s">
        <v>239</v>
      </c>
      <c r="F40" s="651">
        <v>63.220999999999997</v>
      </c>
      <c r="G40" s="652">
        <v>25.146999999999998</v>
      </c>
      <c r="H40" s="653"/>
      <c r="I40" s="654">
        <f t="shared" si="4"/>
        <v>70.76509999999999</v>
      </c>
      <c r="J40" s="95" t="s">
        <v>258</v>
      </c>
      <c r="K40" s="371" t="s">
        <v>17276</v>
      </c>
      <c r="L40" s="95"/>
      <c r="M40" s="95"/>
      <c r="N40" s="95"/>
      <c r="O40" s="99"/>
      <c r="P40" s="95" t="s">
        <v>249</v>
      </c>
      <c r="Q40" s="446" t="s">
        <v>249</v>
      </c>
      <c r="R40" s="664">
        <v>192500</v>
      </c>
      <c r="S40" s="475">
        <v>192500</v>
      </c>
      <c r="T40" s="475">
        <v>202125</v>
      </c>
      <c r="U40" s="475"/>
      <c r="V40" s="101"/>
      <c r="W40" s="102">
        <f t="shared" si="5"/>
        <v>2720.2674764820517</v>
      </c>
      <c r="X40" s="102">
        <f>T40/I40</f>
        <v>2856.2808503061542</v>
      </c>
      <c r="Y40" s="102"/>
      <c r="Z40" s="102"/>
      <c r="AA40" s="554">
        <v>44879</v>
      </c>
      <c r="AB40" s="661">
        <v>45345</v>
      </c>
      <c r="AC40" s="662">
        <v>38500</v>
      </c>
      <c r="AD40" s="662"/>
      <c r="AE40" s="661"/>
      <c r="AF40" s="662"/>
      <c r="AG40" s="661"/>
      <c r="AH40" s="662">
        <v>154000</v>
      </c>
      <c r="AI40" s="95" t="s">
        <v>247</v>
      </c>
      <c r="AJ40" s="95" t="s">
        <v>254</v>
      </c>
      <c r="AK40" s="95"/>
      <c r="AL40" s="95"/>
      <c r="AM40" s="95"/>
      <c r="AN40" s="95"/>
      <c r="AO40" s="330" t="s">
        <v>17348</v>
      </c>
      <c r="AP40" s="104" t="s">
        <v>265</v>
      </c>
      <c r="AQ40" s="104"/>
      <c r="AR40" s="104"/>
      <c r="AS40" s="104"/>
      <c r="AT40" s="104"/>
      <c r="AU40" s="104"/>
      <c r="AV40" s="330"/>
      <c r="AW40" s="330"/>
      <c r="AX40" s="115">
        <f t="shared" si="6"/>
        <v>193188.72299999997</v>
      </c>
      <c r="AY40" s="115">
        <v>2730</v>
      </c>
      <c r="AZ40" s="115">
        <v>240000</v>
      </c>
    </row>
    <row r="41" spans="1:52" s="657" customFormat="1">
      <c r="A41" s="95">
        <v>40</v>
      </c>
      <c r="B41" s="648" t="s">
        <v>63</v>
      </c>
      <c r="C41" s="649" t="s">
        <v>91</v>
      </c>
      <c r="D41" s="650">
        <v>4</v>
      </c>
      <c r="E41" s="650" t="s">
        <v>240</v>
      </c>
      <c r="F41" s="651">
        <v>86.61</v>
      </c>
      <c r="G41" s="652">
        <v>52.567999999999998</v>
      </c>
      <c r="H41" s="653"/>
      <c r="I41" s="654">
        <f t="shared" si="4"/>
        <v>102.38039999999999</v>
      </c>
      <c r="J41" s="95" t="s">
        <v>258</v>
      </c>
      <c r="K41" s="371" t="s">
        <v>17276</v>
      </c>
      <c r="L41" s="95"/>
      <c r="M41" s="95"/>
      <c r="N41" s="95"/>
      <c r="O41" s="105"/>
      <c r="P41" s="95" t="s">
        <v>249</v>
      </c>
      <c r="Q41" s="446" t="s">
        <v>249</v>
      </c>
      <c r="R41" s="664">
        <v>285000</v>
      </c>
      <c r="S41" s="475">
        <v>285000</v>
      </c>
      <c r="T41" s="475">
        <v>299250</v>
      </c>
      <c r="U41" s="475"/>
      <c r="V41" s="101"/>
      <c r="W41" s="102">
        <f t="shared" si="5"/>
        <v>2783.7359494590764</v>
      </c>
      <c r="X41" s="102">
        <f>T41/I41</f>
        <v>2922.9227469320299</v>
      </c>
      <c r="Y41" s="102"/>
      <c r="Z41" s="102"/>
      <c r="AA41" s="554">
        <v>44951</v>
      </c>
      <c r="AB41" s="135">
        <v>45342</v>
      </c>
      <c r="AC41" s="663">
        <v>57000</v>
      </c>
      <c r="AD41" s="663"/>
      <c r="AE41" s="135"/>
      <c r="AF41" s="663"/>
      <c r="AG41" s="135"/>
      <c r="AH41" s="663">
        <v>228000</v>
      </c>
      <c r="AI41" s="95" t="s">
        <v>274</v>
      </c>
      <c r="AJ41" s="95"/>
      <c r="AK41" s="306">
        <v>0.04</v>
      </c>
      <c r="AL41" s="95"/>
      <c r="AM41" s="95"/>
      <c r="AN41" s="95"/>
      <c r="AO41" s="104" t="s">
        <v>17855</v>
      </c>
      <c r="AP41" s="104" t="s">
        <v>517</v>
      </c>
      <c r="AQ41" s="104"/>
      <c r="AR41" s="104"/>
      <c r="AS41" s="104"/>
      <c r="AT41" s="104"/>
      <c r="AU41" s="104"/>
      <c r="AV41" s="104"/>
      <c r="AW41" s="104"/>
      <c r="AX41" s="115">
        <f t="shared" si="6"/>
        <v>279498.49199999997</v>
      </c>
      <c r="AY41" s="115">
        <v>2730</v>
      </c>
      <c r="AZ41" s="115"/>
    </row>
    <row r="42" spans="1:52" s="657" customFormat="1" ht="15">
      <c r="A42" s="95">
        <v>41</v>
      </c>
      <c r="B42" s="648" t="s">
        <v>64</v>
      </c>
      <c r="C42" s="649" t="s">
        <v>89</v>
      </c>
      <c r="D42" s="650">
        <v>5</v>
      </c>
      <c r="E42" s="650" t="s">
        <v>236</v>
      </c>
      <c r="F42" s="651">
        <v>116.492</v>
      </c>
      <c r="G42" s="652">
        <v>21.416</v>
      </c>
      <c r="H42" s="653"/>
      <c r="I42" s="654">
        <f t="shared" si="4"/>
        <v>122.91680000000001</v>
      </c>
      <c r="J42" s="95" t="s">
        <v>258</v>
      </c>
      <c r="K42" s="371" t="s">
        <v>17280</v>
      </c>
      <c r="L42" s="95"/>
      <c r="M42" s="95"/>
      <c r="N42" s="95"/>
      <c r="O42" s="99"/>
      <c r="P42" s="446"/>
      <c r="Q42" s="446"/>
      <c r="R42" s="656">
        <v>393000</v>
      </c>
      <c r="S42" s="475">
        <f>0.96*T42</f>
        <v>386880</v>
      </c>
      <c r="T42" s="475">
        <v>403000</v>
      </c>
      <c r="U42" s="475"/>
      <c r="V42" s="101">
        <f>S42/T42-1</f>
        <v>-4.0000000000000036E-2</v>
      </c>
      <c r="W42" s="102">
        <f t="shared" si="5"/>
        <v>3197.2846673522249</v>
      </c>
      <c r="X42" s="102">
        <f>S42/I42</f>
        <v>3147.4948908529996</v>
      </c>
      <c r="Y42" s="102">
        <f>T42/I42</f>
        <v>3278.6405113052078</v>
      </c>
      <c r="Z42" s="554"/>
      <c r="AA42" s="554">
        <v>45540</v>
      </c>
      <c r="AB42" s="135">
        <v>45596</v>
      </c>
      <c r="AC42" s="663">
        <f>20%*R42</f>
        <v>78600</v>
      </c>
      <c r="AD42" s="663"/>
      <c r="AE42" s="135"/>
      <c r="AF42" s="663"/>
      <c r="AG42" s="135"/>
      <c r="AH42" s="663">
        <f>80%*R42</f>
        <v>314400</v>
      </c>
      <c r="AI42" s="95" t="s">
        <v>247</v>
      </c>
      <c r="AJ42" s="95"/>
      <c r="AK42" s="95"/>
      <c r="AL42" s="95"/>
      <c r="AM42" s="95"/>
      <c r="AN42" s="95"/>
      <c r="AO42" s="104" t="s">
        <v>17700</v>
      </c>
      <c r="AP42" s="104" t="s">
        <v>265</v>
      </c>
      <c r="AQ42" s="104"/>
      <c r="AR42" s="104"/>
      <c r="AS42" s="104"/>
      <c r="AT42" s="1612" t="s">
        <v>18120</v>
      </c>
      <c r="AU42" s="104">
        <v>919361698</v>
      </c>
      <c r="AV42" s="104"/>
      <c r="AW42" s="104"/>
      <c r="AX42" s="115">
        <f t="shared" si="6"/>
        <v>335562.864</v>
      </c>
      <c r="AY42" s="115">
        <v>2730</v>
      </c>
      <c r="AZ42" s="115"/>
    </row>
    <row r="43" spans="1:52" s="657" customFormat="1" ht="15">
      <c r="A43" s="671">
        <v>42</v>
      </c>
      <c r="B43" s="678" t="s">
        <v>65</v>
      </c>
      <c r="C43" s="679" t="s">
        <v>90</v>
      </c>
      <c r="D43" s="680">
        <v>5</v>
      </c>
      <c r="E43" s="680" t="s">
        <v>237</v>
      </c>
      <c r="F43" s="651">
        <v>59.668999999999997</v>
      </c>
      <c r="G43" s="652">
        <v>5.7850000000000001</v>
      </c>
      <c r="H43" s="653"/>
      <c r="I43" s="681">
        <f t="shared" si="4"/>
        <v>61.404499999999999</v>
      </c>
      <c r="J43" s="671" t="s">
        <v>258</v>
      </c>
      <c r="K43" s="371" t="s">
        <v>17278</v>
      </c>
      <c r="L43" s="95"/>
      <c r="M43" s="95"/>
      <c r="N43" s="95"/>
      <c r="O43" s="105"/>
      <c r="P43" s="682" t="s">
        <v>249</v>
      </c>
      <c r="Q43" s="682" t="s">
        <v>249</v>
      </c>
      <c r="R43" s="683">
        <v>181390</v>
      </c>
      <c r="S43" s="684">
        <f>T43-(T43*V43)</f>
        <v>181390</v>
      </c>
      <c r="T43" s="684">
        <v>187000</v>
      </c>
      <c r="U43" s="684"/>
      <c r="V43" s="685">
        <v>0.03</v>
      </c>
      <c r="W43" s="686">
        <f t="shared" si="5"/>
        <v>2954.0180279946908</v>
      </c>
      <c r="X43" s="686">
        <f>S43/I43</f>
        <v>2954.0180279946908</v>
      </c>
      <c r="Y43" s="686"/>
      <c r="Z43" s="686"/>
      <c r="AA43" s="687">
        <v>44953</v>
      </c>
      <c r="AB43" s="688">
        <v>45324</v>
      </c>
      <c r="AC43" s="689">
        <v>36278</v>
      </c>
      <c r="AD43" s="689"/>
      <c r="AE43" s="688"/>
      <c r="AF43" s="689"/>
      <c r="AG43" s="688"/>
      <c r="AH43" s="689">
        <v>145112</v>
      </c>
      <c r="AI43" s="671" t="s">
        <v>247</v>
      </c>
      <c r="AJ43" s="671" t="s">
        <v>309</v>
      </c>
      <c r="AK43" s="671"/>
      <c r="AL43" s="671" t="s">
        <v>249</v>
      </c>
      <c r="AM43" s="671"/>
      <c r="AN43" s="671"/>
      <c r="AO43" s="690" t="s">
        <v>17299</v>
      </c>
      <c r="AP43" s="104" t="s">
        <v>265</v>
      </c>
      <c r="AQ43" s="104"/>
      <c r="AR43" s="104"/>
      <c r="AS43" s="104"/>
      <c r="AT43" s="1612" t="s">
        <v>18121</v>
      </c>
      <c r="AU43" s="104">
        <v>963871036</v>
      </c>
      <c r="AV43" s="690"/>
      <c r="AW43" s="690"/>
      <c r="AX43" s="535">
        <f t="shared" si="6"/>
        <v>167634.285</v>
      </c>
      <c r="AY43" s="535">
        <v>2730</v>
      </c>
      <c r="AZ43" s="535"/>
    </row>
    <row r="44" spans="1:52" s="657" customFormat="1" ht="15">
      <c r="A44" s="95">
        <v>43</v>
      </c>
      <c r="B44" s="648" t="s">
        <v>66</v>
      </c>
      <c r="C44" s="649" t="s">
        <v>89</v>
      </c>
      <c r="D44" s="650">
        <v>5</v>
      </c>
      <c r="E44" s="650" t="s">
        <v>242</v>
      </c>
      <c r="F44" s="651">
        <v>131.804</v>
      </c>
      <c r="G44" s="652">
        <v>43</v>
      </c>
      <c r="H44" s="653"/>
      <c r="I44" s="654">
        <f t="shared" si="4"/>
        <v>144.70400000000001</v>
      </c>
      <c r="J44" s="671" t="s">
        <v>258</v>
      </c>
      <c r="K44" s="371" t="s">
        <v>17275</v>
      </c>
      <c r="L44" s="95"/>
      <c r="M44" s="95"/>
      <c r="N44" s="95"/>
      <c r="O44" s="99"/>
      <c r="P44" s="95" t="s">
        <v>249</v>
      </c>
      <c r="Q44" s="95" t="s">
        <v>249</v>
      </c>
      <c r="R44" s="664">
        <v>398670</v>
      </c>
      <c r="S44" s="475">
        <f>T44-(T44*V44)</f>
        <v>398670</v>
      </c>
      <c r="T44" s="475">
        <v>411000</v>
      </c>
      <c r="U44" s="475"/>
      <c r="V44" s="101">
        <v>0.03</v>
      </c>
      <c r="W44" s="102">
        <f t="shared" si="5"/>
        <v>2755.0724237063246</v>
      </c>
      <c r="X44" s="102">
        <f>S44/I44</f>
        <v>2755.0724237063246</v>
      </c>
      <c r="Y44" s="102"/>
      <c r="Z44" s="102"/>
      <c r="AA44" s="554">
        <v>44970</v>
      </c>
      <c r="AB44" s="135">
        <v>45322</v>
      </c>
      <c r="AC44" s="663">
        <v>79734</v>
      </c>
      <c r="AD44" s="663"/>
      <c r="AE44" s="135"/>
      <c r="AF44" s="663"/>
      <c r="AG44" s="135"/>
      <c r="AH44" s="663">
        <v>318936</v>
      </c>
      <c r="AI44" s="671" t="s">
        <v>247</v>
      </c>
      <c r="AJ44" s="95" t="s">
        <v>252</v>
      </c>
      <c r="AK44" s="95"/>
      <c r="AL44" s="671" t="s">
        <v>249</v>
      </c>
      <c r="AM44" s="95"/>
      <c r="AN44" s="95"/>
      <c r="AO44" s="104" t="s">
        <v>323</v>
      </c>
      <c r="AP44" s="104" t="s">
        <v>265</v>
      </c>
      <c r="AQ44" s="104"/>
      <c r="AR44" s="104"/>
      <c r="AS44" s="104"/>
      <c r="AT44" s="1612" t="s">
        <v>18122</v>
      </c>
      <c r="AU44" s="104">
        <v>965094440</v>
      </c>
      <c r="AV44" s="104"/>
      <c r="AW44" s="104"/>
      <c r="AX44" s="115">
        <f t="shared" si="6"/>
        <v>395041.92000000004</v>
      </c>
      <c r="AY44" s="115">
        <v>2730</v>
      </c>
      <c r="AZ44" s="115"/>
    </row>
    <row r="45" spans="1:52" s="657" customFormat="1" ht="15">
      <c r="A45" s="95">
        <v>44</v>
      </c>
      <c r="B45" s="648" t="s">
        <v>67</v>
      </c>
      <c r="C45" s="649" t="s">
        <v>89</v>
      </c>
      <c r="D45" s="650">
        <v>5</v>
      </c>
      <c r="E45" s="650" t="s">
        <v>242</v>
      </c>
      <c r="F45" s="651">
        <v>131.804</v>
      </c>
      <c r="G45" s="652">
        <v>43</v>
      </c>
      <c r="H45" s="653"/>
      <c r="I45" s="654">
        <f t="shared" si="4"/>
        <v>144.70400000000001</v>
      </c>
      <c r="J45" s="671" t="s">
        <v>258</v>
      </c>
      <c r="K45" s="371" t="s">
        <v>17280</v>
      </c>
      <c r="L45" s="95"/>
      <c r="M45" s="95"/>
      <c r="N45" s="95"/>
      <c r="O45" s="105"/>
      <c r="P45" s="446" t="s">
        <v>249</v>
      </c>
      <c r="Q45" s="446" t="s">
        <v>249</v>
      </c>
      <c r="R45" s="664">
        <v>348680</v>
      </c>
      <c r="S45" s="475">
        <v>382000</v>
      </c>
      <c r="T45" s="475">
        <v>401100</v>
      </c>
      <c r="U45" s="475"/>
      <c r="V45" s="101"/>
      <c r="W45" s="102">
        <f t="shared" si="5"/>
        <v>2409.608580274215</v>
      </c>
      <c r="X45" s="102">
        <f>S45/I45</f>
        <v>2639.8717381689517</v>
      </c>
      <c r="Y45" s="101">
        <f>-(100%-(R45/S45))</f>
        <v>-8.7225130890052349E-2</v>
      </c>
      <c r="Z45" s="101"/>
      <c r="AA45" s="554">
        <v>45054</v>
      </c>
      <c r="AB45" s="135">
        <v>45343</v>
      </c>
      <c r="AC45" s="663">
        <v>34868</v>
      </c>
      <c r="AD45" s="663"/>
      <c r="AE45" s="135"/>
      <c r="AF45" s="663"/>
      <c r="AG45" s="135"/>
      <c r="AH45" s="663">
        <v>313812</v>
      </c>
      <c r="AI45" s="95" t="s">
        <v>274</v>
      </c>
      <c r="AJ45" s="95"/>
      <c r="AK45" s="95">
        <v>0</v>
      </c>
      <c r="AL45" s="95"/>
      <c r="AM45" s="95"/>
      <c r="AN45" s="95"/>
      <c r="AO45" s="104" t="s">
        <v>17346</v>
      </c>
      <c r="AP45" s="104" t="s">
        <v>517</v>
      </c>
      <c r="AQ45" s="104"/>
      <c r="AR45" s="104"/>
      <c r="AS45" s="104"/>
      <c r="AT45" s="1612" t="s">
        <v>17754</v>
      </c>
      <c r="AU45" s="104">
        <v>-526709105</v>
      </c>
      <c r="AV45" s="104"/>
      <c r="AW45" s="104"/>
      <c r="AX45" s="115">
        <f t="shared" si="6"/>
        <v>395041.92000000004</v>
      </c>
      <c r="AY45" s="115">
        <v>2730</v>
      </c>
      <c r="AZ45" s="115">
        <v>460420</v>
      </c>
    </row>
    <row r="46" spans="1:52" s="657" customFormat="1" ht="15">
      <c r="A46" s="95">
        <v>45</v>
      </c>
      <c r="B46" s="648" t="s">
        <v>68</v>
      </c>
      <c r="C46" s="649" t="s">
        <v>90</v>
      </c>
      <c r="D46" s="650">
        <v>5</v>
      </c>
      <c r="E46" s="650" t="s">
        <v>237</v>
      </c>
      <c r="F46" s="651">
        <v>59.668999999999997</v>
      </c>
      <c r="G46" s="652">
        <v>5.7850000000000001</v>
      </c>
      <c r="H46" s="653"/>
      <c r="I46" s="654">
        <f t="shared" si="4"/>
        <v>61.404499999999999</v>
      </c>
      <c r="J46" s="671" t="s">
        <v>258</v>
      </c>
      <c r="K46" s="371" t="s">
        <v>17276</v>
      </c>
      <c r="L46" s="95"/>
      <c r="M46" s="95"/>
      <c r="N46" s="95"/>
      <c r="O46" s="99"/>
      <c r="P46" s="95" t="s">
        <v>249</v>
      </c>
      <c r="Q46" s="95" t="s">
        <v>249</v>
      </c>
      <c r="R46" s="664">
        <v>172500</v>
      </c>
      <c r="S46" s="475">
        <v>172500</v>
      </c>
      <c r="T46" s="475">
        <v>181125</v>
      </c>
      <c r="U46" s="475"/>
      <c r="V46" s="101"/>
      <c r="W46" s="102">
        <f t="shared" si="5"/>
        <v>2809.2403651198201</v>
      </c>
      <c r="X46" s="102">
        <f>T46/I46</f>
        <v>2949.7023833758112</v>
      </c>
      <c r="Y46" s="102"/>
      <c r="Z46" s="102"/>
      <c r="AA46" s="554">
        <v>44889</v>
      </c>
      <c r="AB46" s="135">
        <v>45341</v>
      </c>
      <c r="AC46" s="663">
        <v>34500</v>
      </c>
      <c r="AD46" s="663"/>
      <c r="AE46" s="135"/>
      <c r="AF46" s="663"/>
      <c r="AG46" s="135"/>
      <c r="AH46" s="663">
        <v>138000</v>
      </c>
      <c r="AI46" s="95" t="s">
        <v>247</v>
      </c>
      <c r="AJ46" s="95" t="s">
        <v>252</v>
      </c>
      <c r="AK46" s="95"/>
      <c r="AL46" s="95" t="s">
        <v>249</v>
      </c>
      <c r="AM46" s="95"/>
      <c r="AN46" s="95"/>
      <c r="AO46" s="104" t="s">
        <v>17342</v>
      </c>
      <c r="AP46" s="104" t="s">
        <v>265</v>
      </c>
      <c r="AQ46" s="104"/>
      <c r="AR46" s="104"/>
      <c r="AS46" s="104"/>
      <c r="AT46" s="1612" t="s">
        <v>18123</v>
      </c>
      <c r="AU46" s="104">
        <v>968964123</v>
      </c>
      <c r="AV46" s="104"/>
      <c r="AW46" s="104"/>
      <c r="AX46" s="115">
        <f t="shared" si="6"/>
        <v>167634.285</v>
      </c>
      <c r="AY46" s="115">
        <v>2730</v>
      </c>
      <c r="AZ46" s="115"/>
    </row>
    <row r="47" spans="1:52" s="657" customFormat="1" ht="15">
      <c r="A47" s="95">
        <v>46</v>
      </c>
      <c r="B47" s="648" t="s">
        <v>69</v>
      </c>
      <c r="C47" s="649" t="s">
        <v>89</v>
      </c>
      <c r="D47" s="650">
        <v>5</v>
      </c>
      <c r="E47" s="650" t="s">
        <v>241</v>
      </c>
      <c r="F47" s="651">
        <v>116.492</v>
      </c>
      <c r="G47" s="652">
        <v>16</v>
      </c>
      <c r="H47" s="653"/>
      <c r="I47" s="654">
        <f t="shared" si="4"/>
        <v>121.292</v>
      </c>
      <c r="J47" s="671" t="s">
        <v>258</v>
      </c>
      <c r="K47" s="371" t="s">
        <v>17275</v>
      </c>
      <c r="L47" s="95"/>
      <c r="M47" s="95"/>
      <c r="N47" s="95"/>
      <c r="O47" s="105"/>
      <c r="P47" s="95" t="s">
        <v>249</v>
      </c>
      <c r="Q47" s="95" t="s">
        <v>249</v>
      </c>
      <c r="R47" s="475">
        <v>358900</v>
      </c>
      <c r="S47" s="475">
        <f>T47-(T47*V47)</f>
        <v>358900</v>
      </c>
      <c r="T47" s="475">
        <v>370000</v>
      </c>
      <c r="U47" s="475"/>
      <c r="V47" s="101">
        <v>0.03</v>
      </c>
      <c r="W47" s="102">
        <f t="shared" si="5"/>
        <v>2958.9750354516373</v>
      </c>
      <c r="X47" s="102">
        <f>T47/I47</f>
        <v>3050.4897272697294</v>
      </c>
      <c r="Y47" s="102"/>
      <c r="Z47" s="102"/>
      <c r="AA47" s="554">
        <v>44935</v>
      </c>
      <c r="AB47" s="135">
        <v>45324</v>
      </c>
      <c r="AC47" s="663">
        <v>71780</v>
      </c>
      <c r="AD47" s="663"/>
      <c r="AE47" s="135"/>
      <c r="AF47" s="663"/>
      <c r="AG47" s="135"/>
      <c r="AH47" s="663">
        <v>287120</v>
      </c>
      <c r="AI47" s="95" t="s">
        <v>247</v>
      </c>
      <c r="AJ47" s="95" t="s">
        <v>252</v>
      </c>
      <c r="AK47" s="95">
        <v>4</v>
      </c>
      <c r="AL47" s="95" t="s">
        <v>249</v>
      </c>
      <c r="AM47" s="95"/>
      <c r="AN47" s="95"/>
      <c r="AO47" s="104" t="s">
        <v>602</v>
      </c>
      <c r="AP47" s="104" t="s">
        <v>265</v>
      </c>
      <c r="AQ47" s="104"/>
      <c r="AR47" s="104"/>
      <c r="AS47" s="104"/>
      <c r="AT47" s="1612" t="s">
        <v>18124</v>
      </c>
      <c r="AU47" s="104">
        <v>910117524</v>
      </c>
      <c r="AV47" s="104"/>
      <c r="AW47" s="104"/>
      <c r="AX47" s="115">
        <f t="shared" si="6"/>
        <v>331127.16000000003</v>
      </c>
      <c r="AY47" s="115">
        <v>2730</v>
      </c>
      <c r="AZ47" s="115"/>
    </row>
    <row r="48" spans="1:52" s="657" customFormat="1" ht="15">
      <c r="A48" s="95">
        <v>47</v>
      </c>
      <c r="B48" s="648" t="s">
        <v>70</v>
      </c>
      <c r="C48" s="649" t="s">
        <v>91</v>
      </c>
      <c r="D48" s="650">
        <v>5</v>
      </c>
      <c r="E48" s="650" t="s">
        <v>238</v>
      </c>
      <c r="F48" s="651">
        <v>86.61</v>
      </c>
      <c r="G48" s="652">
        <f>34.052+14.95</f>
        <v>49.001999999999995</v>
      </c>
      <c r="H48" s="653"/>
      <c r="I48" s="654">
        <f t="shared" si="4"/>
        <v>101.31059999999999</v>
      </c>
      <c r="J48" s="671" t="s">
        <v>258</v>
      </c>
      <c r="K48" s="371" t="s">
        <v>17276</v>
      </c>
      <c r="L48" s="95"/>
      <c r="M48" s="95"/>
      <c r="N48" s="95"/>
      <c r="O48" s="99"/>
      <c r="P48" s="95" t="s">
        <v>249</v>
      </c>
      <c r="Q48" s="95" t="s">
        <v>249</v>
      </c>
      <c r="R48" s="664">
        <v>279000</v>
      </c>
      <c r="S48" s="475">
        <v>279000</v>
      </c>
      <c r="T48" s="475">
        <v>292950</v>
      </c>
      <c r="U48" s="475"/>
      <c r="V48" s="101"/>
      <c r="W48" s="102">
        <f t="shared" si="5"/>
        <v>2753.907291043583</v>
      </c>
      <c r="X48" s="102">
        <f>T48/I48</f>
        <v>2891.6026555957619</v>
      </c>
      <c r="Y48" s="102"/>
      <c r="Z48" s="102"/>
      <c r="AA48" s="554">
        <v>44941</v>
      </c>
      <c r="AB48" s="135">
        <v>45343</v>
      </c>
      <c r="AC48" s="663">
        <v>55800</v>
      </c>
      <c r="AD48" s="663"/>
      <c r="AE48" s="135"/>
      <c r="AF48" s="663"/>
      <c r="AG48" s="135"/>
      <c r="AH48" s="663">
        <v>223200</v>
      </c>
      <c r="AI48" s="95" t="s">
        <v>274</v>
      </c>
      <c r="AJ48" s="95"/>
      <c r="AK48" s="306">
        <v>0.04</v>
      </c>
      <c r="AL48" s="95"/>
      <c r="AM48" s="95"/>
      <c r="AN48" s="95"/>
      <c r="AO48" s="104" t="s">
        <v>273</v>
      </c>
      <c r="AP48" s="104" t="s">
        <v>517</v>
      </c>
      <c r="AQ48" s="104"/>
      <c r="AR48" s="104"/>
      <c r="AS48" s="104"/>
      <c r="AT48" s="1612" t="s">
        <v>18125</v>
      </c>
      <c r="AU48" s="104">
        <v>972523525907</v>
      </c>
      <c r="AV48" s="104"/>
      <c r="AW48" s="104"/>
      <c r="AX48" s="115">
        <f t="shared" si="6"/>
        <v>276577.93799999997</v>
      </c>
      <c r="AY48" s="115">
        <v>2730</v>
      </c>
      <c r="AZ48" s="115"/>
    </row>
    <row r="49" spans="1:52" s="657" customFormat="1" ht="15">
      <c r="A49" s="95">
        <v>48</v>
      </c>
      <c r="B49" s="648" t="s">
        <v>71</v>
      </c>
      <c r="C49" s="649" t="s">
        <v>90</v>
      </c>
      <c r="D49" s="650">
        <v>5</v>
      </c>
      <c r="E49" s="650" t="s">
        <v>239</v>
      </c>
      <c r="F49" s="651">
        <v>63.220999999999997</v>
      </c>
      <c r="G49" s="652">
        <v>25.146999999999998</v>
      </c>
      <c r="H49" s="653"/>
      <c r="I49" s="654">
        <f t="shared" si="4"/>
        <v>70.76509999999999</v>
      </c>
      <c r="J49" s="671" t="s">
        <v>258</v>
      </c>
      <c r="K49" s="371" t="s">
        <v>17278</v>
      </c>
      <c r="L49" s="95"/>
      <c r="M49" s="95"/>
      <c r="N49" s="95"/>
      <c r="O49" s="105"/>
      <c r="P49" s="95" t="s">
        <v>249</v>
      </c>
      <c r="Q49" s="95" t="s">
        <v>249</v>
      </c>
      <c r="R49" s="664">
        <v>199000</v>
      </c>
      <c r="S49" s="475">
        <v>199000</v>
      </c>
      <c r="T49" s="475">
        <v>208950</v>
      </c>
      <c r="U49" s="475"/>
      <c r="V49" s="101"/>
      <c r="W49" s="102">
        <f t="shared" si="5"/>
        <v>2812.1206639996271</v>
      </c>
      <c r="X49" s="102">
        <f>T49/I49</f>
        <v>2952.7266971996087</v>
      </c>
      <c r="Y49" s="102"/>
      <c r="Z49" s="102"/>
      <c r="AA49" s="554">
        <v>44879</v>
      </c>
      <c r="AB49" s="135">
        <v>45324</v>
      </c>
      <c r="AC49" s="663">
        <v>39800</v>
      </c>
      <c r="AD49" s="663"/>
      <c r="AE49" s="135"/>
      <c r="AF49" s="663"/>
      <c r="AG49" s="135"/>
      <c r="AH49" s="663">
        <v>159200</v>
      </c>
      <c r="AI49" s="95" t="s">
        <v>247</v>
      </c>
      <c r="AJ49" s="95" t="s">
        <v>254</v>
      </c>
      <c r="AK49" s="95"/>
      <c r="AL49" s="95" t="s">
        <v>249</v>
      </c>
      <c r="AM49" s="95"/>
      <c r="AN49" s="95"/>
      <c r="AO49" s="104" t="s">
        <v>266</v>
      </c>
      <c r="AP49" s="104" t="s">
        <v>265</v>
      </c>
      <c r="AQ49" s="104"/>
      <c r="AR49" s="104"/>
      <c r="AS49" s="104"/>
      <c r="AT49" s="1612" t="s">
        <v>18126</v>
      </c>
      <c r="AU49" s="104">
        <v>968077175</v>
      </c>
      <c r="AV49" s="104"/>
      <c r="AW49" s="104"/>
      <c r="AX49" s="115">
        <f t="shared" si="6"/>
        <v>193188.72299999997</v>
      </c>
      <c r="AY49" s="115">
        <v>2730</v>
      </c>
      <c r="AZ49" s="115"/>
    </row>
    <row r="50" spans="1:52" s="657" customFormat="1" ht="15">
      <c r="A50" s="95">
        <v>49</v>
      </c>
      <c r="B50" s="648" t="s">
        <v>72</v>
      </c>
      <c r="C50" s="649" t="s">
        <v>90</v>
      </c>
      <c r="D50" s="650">
        <v>5</v>
      </c>
      <c r="E50" s="650" t="s">
        <v>239</v>
      </c>
      <c r="F50" s="651">
        <v>63.220999999999997</v>
      </c>
      <c r="G50" s="652">
        <v>25.146999999999998</v>
      </c>
      <c r="H50" s="653"/>
      <c r="I50" s="654">
        <f t="shared" si="4"/>
        <v>70.76509999999999</v>
      </c>
      <c r="J50" s="671" t="s">
        <v>258</v>
      </c>
      <c r="K50" s="371" t="s">
        <v>17276</v>
      </c>
      <c r="L50" s="98"/>
      <c r="M50" s="95"/>
      <c r="N50" s="95"/>
      <c r="O50" s="99"/>
      <c r="P50" s="95" t="s">
        <v>249</v>
      </c>
      <c r="Q50" s="95" t="s">
        <v>249</v>
      </c>
      <c r="R50" s="656">
        <v>204670</v>
      </c>
      <c r="S50" s="475">
        <f>T50-(T50*V50)</f>
        <v>204670</v>
      </c>
      <c r="T50" s="475">
        <v>211000</v>
      </c>
      <c r="U50" s="475"/>
      <c r="V50" s="101">
        <v>0.03</v>
      </c>
      <c r="W50" s="102">
        <f t="shared" si="5"/>
        <v>2892.2449060341896</v>
      </c>
      <c r="X50" s="102">
        <f>S50/I50</f>
        <v>2892.2449060341896</v>
      </c>
      <c r="Y50" s="102"/>
      <c r="Z50" s="102"/>
      <c r="AA50" s="554">
        <v>44970</v>
      </c>
      <c r="AB50" s="135">
        <v>45356</v>
      </c>
      <c r="AC50" s="663">
        <v>40934</v>
      </c>
      <c r="AD50" s="663"/>
      <c r="AE50" s="135"/>
      <c r="AF50" s="663"/>
      <c r="AG50" s="135"/>
      <c r="AH50" s="663">
        <v>163736</v>
      </c>
      <c r="AI50" s="95" t="s">
        <v>247</v>
      </c>
      <c r="AJ50" s="95" t="s">
        <v>309</v>
      </c>
      <c r="AK50" s="95"/>
      <c r="AL50" s="95"/>
      <c r="AM50" s="95"/>
      <c r="AN50" s="95"/>
      <c r="AO50" s="104" t="s">
        <v>18059</v>
      </c>
      <c r="AP50" s="104" t="s">
        <v>265</v>
      </c>
      <c r="AQ50" s="104"/>
      <c r="AR50" s="104"/>
      <c r="AS50" s="104"/>
      <c r="AT50" s="1612" t="s">
        <v>18106</v>
      </c>
      <c r="AU50" s="104">
        <v>968083749</v>
      </c>
      <c r="AV50" s="104"/>
      <c r="AW50" s="104"/>
      <c r="AX50" s="115">
        <f t="shared" si="6"/>
        <v>193188.72299999997</v>
      </c>
      <c r="AY50" s="115">
        <v>2730</v>
      </c>
      <c r="AZ50" s="115"/>
    </row>
    <row r="51" spans="1:52" s="657" customFormat="1" ht="15">
      <c r="A51" s="95">
        <v>50</v>
      </c>
      <c r="B51" s="648" t="s">
        <v>73</v>
      </c>
      <c r="C51" s="649" t="s">
        <v>91</v>
      </c>
      <c r="D51" s="650">
        <v>5</v>
      </c>
      <c r="E51" s="650" t="s">
        <v>240</v>
      </c>
      <c r="F51" s="651">
        <v>86.61</v>
      </c>
      <c r="G51" s="652">
        <v>52.567999999999998</v>
      </c>
      <c r="H51" s="653"/>
      <c r="I51" s="654">
        <f t="shared" si="4"/>
        <v>102.38039999999999</v>
      </c>
      <c r="J51" s="671" t="s">
        <v>258</v>
      </c>
      <c r="K51" s="371" t="s">
        <v>17276</v>
      </c>
      <c r="L51" s="98"/>
      <c r="M51" s="95"/>
      <c r="N51" s="95"/>
      <c r="O51" s="99"/>
      <c r="P51" s="446" t="s">
        <v>249</v>
      </c>
      <c r="Q51" s="446" t="s">
        <v>249</v>
      </c>
      <c r="R51" s="664">
        <v>290000</v>
      </c>
      <c r="S51" s="475">
        <v>290000</v>
      </c>
      <c r="T51" s="475">
        <v>304500</v>
      </c>
      <c r="U51" s="475"/>
      <c r="V51" s="101"/>
      <c r="W51" s="102">
        <f t="shared" si="5"/>
        <v>2832.5734222566039</v>
      </c>
      <c r="X51" s="102">
        <f>T51/I51</f>
        <v>2974.2020933694344</v>
      </c>
      <c r="Y51" s="102"/>
      <c r="Z51" s="102"/>
      <c r="AA51" s="554">
        <v>44909</v>
      </c>
      <c r="AB51" s="135">
        <v>45331</v>
      </c>
      <c r="AC51" s="663">
        <v>58000</v>
      </c>
      <c r="AD51" s="663"/>
      <c r="AE51" s="135"/>
      <c r="AF51" s="663"/>
      <c r="AG51" s="135"/>
      <c r="AH51" s="663">
        <v>232000</v>
      </c>
      <c r="AI51" s="95" t="s">
        <v>274</v>
      </c>
      <c r="AJ51" s="95"/>
      <c r="AK51" s="306">
        <v>0.04</v>
      </c>
      <c r="AL51" s="95"/>
      <c r="AM51" s="95"/>
      <c r="AN51" s="95"/>
      <c r="AO51" s="104" t="s">
        <v>272</v>
      </c>
      <c r="AP51" s="104" t="s">
        <v>517</v>
      </c>
      <c r="AQ51" s="104"/>
      <c r="AR51" s="104"/>
      <c r="AS51" s="104"/>
      <c r="AT51" s="1612" t="s">
        <v>18127</v>
      </c>
      <c r="AU51" s="104"/>
      <c r="AV51" s="104"/>
      <c r="AW51" s="104"/>
      <c r="AX51" s="115">
        <f t="shared" si="6"/>
        <v>279498.49199999997</v>
      </c>
      <c r="AY51" s="115">
        <v>2730</v>
      </c>
      <c r="AZ51" s="115"/>
    </row>
    <row r="52" spans="1:52" s="657" customFormat="1">
      <c r="A52" s="95">
        <v>51</v>
      </c>
      <c r="B52" s="648" t="s">
        <v>74</v>
      </c>
      <c r="C52" s="649" t="s">
        <v>89</v>
      </c>
      <c r="D52" s="650">
        <v>6</v>
      </c>
      <c r="E52" s="650" t="s">
        <v>236</v>
      </c>
      <c r="F52" s="651">
        <v>116.492</v>
      </c>
      <c r="G52" s="652">
        <v>21.416</v>
      </c>
      <c r="H52" s="653"/>
      <c r="I52" s="654">
        <f t="shared" si="4"/>
        <v>122.91680000000001</v>
      </c>
      <c r="J52" s="671" t="s">
        <v>258</v>
      </c>
      <c r="K52" s="371" t="s">
        <v>17280</v>
      </c>
      <c r="L52" s="95"/>
      <c r="M52" s="95"/>
      <c r="N52" s="95"/>
      <c r="O52" s="99"/>
      <c r="P52" s="446" t="s">
        <v>249</v>
      </c>
      <c r="Q52" s="446" t="s">
        <v>249</v>
      </c>
      <c r="R52" s="656">
        <v>393600</v>
      </c>
      <c r="S52" s="475">
        <f>0.96*T52</f>
        <v>393600</v>
      </c>
      <c r="T52" s="475">
        <v>410000</v>
      </c>
      <c r="U52" s="475"/>
      <c r="V52" s="101">
        <f>S52/T52-1</f>
        <v>-4.0000000000000036E-2</v>
      </c>
      <c r="W52" s="102">
        <f t="shared" si="5"/>
        <v>3202.1660179894038</v>
      </c>
      <c r="X52" s="102">
        <f>S52/I52</f>
        <v>3202.1660179894038</v>
      </c>
      <c r="Y52" s="102">
        <f>T52/I52</f>
        <v>3335.5896020722957</v>
      </c>
      <c r="Z52" s="554"/>
      <c r="AA52" s="554"/>
      <c r="AB52" s="135">
        <v>45454</v>
      </c>
      <c r="AC52" s="663">
        <v>39360</v>
      </c>
      <c r="AD52" s="663">
        <v>19680</v>
      </c>
      <c r="AE52" s="135">
        <v>45565</v>
      </c>
      <c r="AF52" s="663">
        <v>19680</v>
      </c>
      <c r="AG52" s="135">
        <v>45657</v>
      </c>
      <c r="AH52" s="663">
        <v>314880</v>
      </c>
      <c r="AI52" s="95" t="s">
        <v>248</v>
      </c>
      <c r="AJ52" s="95"/>
      <c r="AK52" s="95"/>
      <c r="AL52" s="95"/>
      <c r="AM52" s="95"/>
      <c r="AN52" s="95"/>
      <c r="AO52" s="104" t="s">
        <v>17485</v>
      </c>
      <c r="AP52" s="104" t="s">
        <v>17421</v>
      </c>
      <c r="AQ52" s="104"/>
      <c r="AR52" s="104"/>
      <c r="AS52" s="104"/>
      <c r="AT52" s="104"/>
      <c r="AU52" s="104"/>
      <c r="AV52" s="104"/>
      <c r="AW52" s="104"/>
      <c r="AX52" s="115">
        <f t="shared" si="6"/>
        <v>335562.864</v>
      </c>
      <c r="AY52" s="115">
        <v>2730</v>
      </c>
      <c r="AZ52" s="115"/>
    </row>
    <row r="53" spans="1:52" s="657" customFormat="1" ht="15.75" thickBot="1">
      <c r="A53" s="95">
        <v>52</v>
      </c>
      <c r="B53" s="648" t="s">
        <v>75</v>
      </c>
      <c r="C53" s="649" t="s">
        <v>90</v>
      </c>
      <c r="D53" s="650">
        <v>6</v>
      </c>
      <c r="E53" s="650" t="s">
        <v>237</v>
      </c>
      <c r="F53" s="651">
        <v>59.668999999999997</v>
      </c>
      <c r="G53" s="652">
        <v>5.7850000000000001</v>
      </c>
      <c r="H53" s="670"/>
      <c r="I53" s="654">
        <f t="shared" si="4"/>
        <v>61.404499999999999</v>
      </c>
      <c r="J53" s="671" t="s">
        <v>258</v>
      </c>
      <c r="K53" s="371" t="s">
        <v>17278</v>
      </c>
      <c r="L53" s="95"/>
      <c r="M53" s="95"/>
      <c r="N53" s="95"/>
      <c r="O53" s="300"/>
      <c r="P53" s="95" t="s">
        <v>249</v>
      </c>
      <c r="Q53" s="95" t="s">
        <v>249</v>
      </c>
      <c r="R53" s="656">
        <v>175000</v>
      </c>
      <c r="S53" s="475">
        <v>175000</v>
      </c>
      <c r="T53" s="475">
        <v>183750</v>
      </c>
      <c r="U53" s="475"/>
      <c r="V53" s="101"/>
      <c r="W53" s="102">
        <f t="shared" si="5"/>
        <v>2849.9539935998177</v>
      </c>
      <c r="X53" s="102">
        <f>T53/I53</f>
        <v>2992.4516932798088</v>
      </c>
      <c r="Y53" s="102"/>
      <c r="Z53" s="102"/>
      <c r="AA53" s="554">
        <v>44908</v>
      </c>
      <c r="AB53" s="554">
        <v>45352</v>
      </c>
      <c r="AC53" s="658">
        <v>35000</v>
      </c>
      <c r="AD53" s="658"/>
      <c r="AE53" s="554"/>
      <c r="AF53" s="658"/>
      <c r="AG53" s="554"/>
      <c r="AH53" s="658">
        <v>140000</v>
      </c>
      <c r="AI53" s="95" t="s">
        <v>247</v>
      </c>
      <c r="AJ53" s="95" t="s">
        <v>253</v>
      </c>
      <c r="AK53" s="95"/>
      <c r="AL53" s="95"/>
      <c r="AM53" s="95"/>
      <c r="AN53" s="95"/>
      <c r="AO53" s="95" t="s">
        <v>319</v>
      </c>
      <c r="AP53" s="104" t="s">
        <v>265</v>
      </c>
      <c r="AQ53" s="104"/>
      <c r="AR53" s="104"/>
      <c r="AS53" s="104"/>
      <c r="AT53" s="1612" t="s">
        <v>18128</v>
      </c>
      <c r="AU53" s="104">
        <v>968837313</v>
      </c>
      <c r="AV53" s="95"/>
      <c r="AW53" s="95"/>
      <c r="AX53" s="115">
        <f t="shared" si="6"/>
        <v>167634.285</v>
      </c>
      <c r="AY53" s="115">
        <v>2730</v>
      </c>
      <c r="AZ53" s="115"/>
    </row>
    <row r="54" spans="1:52" s="657" customFormat="1" ht="15">
      <c r="A54" s="95">
        <v>53</v>
      </c>
      <c r="B54" s="648" t="s">
        <v>76</v>
      </c>
      <c r="C54" s="649" t="s">
        <v>89</v>
      </c>
      <c r="D54" s="650">
        <v>6</v>
      </c>
      <c r="E54" s="650" t="s">
        <v>242</v>
      </c>
      <c r="F54" s="651">
        <v>131.804</v>
      </c>
      <c r="G54" s="652">
        <v>43</v>
      </c>
      <c r="H54" s="677"/>
      <c r="I54" s="654">
        <f t="shared" si="4"/>
        <v>144.70400000000001</v>
      </c>
      <c r="J54" s="671" t="s">
        <v>258</v>
      </c>
      <c r="K54" s="371" t="s">
        <v>17275</v>
      </c>
      <c r="L54" s="98"/>
      <c r="M54" s="95"/>
      <c r="N54" s="95"/>
      <c r="O54" s="232"/>
      <c r="P54" s="95" t="s">
        <v>249</v>
      </c>
      <c r="Q54" s="95" t="s">
        <v>249</v>
      </c>
      <c r="R54" s="656">
        <v>385000</v>
      </c>
      <c r="S54" s="475">
        <v>385000</v>
      </c>
      <c r="T54" s="475">
        <v>404250</v>
      </c>
      <c r="U54" s="475"/>
      <c r="V54" s="101"/>
      <c r="W54" s="102">
        <f t="shared" si="5"/>
        <v>2660.6037151702785</v>
      </c>
      <c r="X54" s="102">
        <f>T54/I54</f>
        <v>2793.6339009287926</v>
      </c>
      <c r="Y54" s="102"/>
      <c r="Z54" s="102"/>
      <c r="AA54" s="554">
        <v>44904</v>
      </c>
      <c r="AB54" s="135">
        <v>45385</v>
      </c>
      <c r="AC54" s="663">
        <v>38250</v>
      </c>
      <c r="AD54" s="663">
        <v>38250</v>
      </c>
      <c r="AE54" s="135">
        <f>90+AB54</f>
        <v>45475</v>
      </c>
      <c r="AF54" s="663"/>
      <c r="AG54" s="135"/>
      <c r="AH54" s="663">
        <v>308000</v>
      </c>
      <c r="AI54" s="95" t="s">
        <v>247</v>
      </c>
      <c r="AJ54" s="95" t="s">
        <v>253</v>
      </c>
      <c r="AK54" s="95"/>
      <c r="AL54" s="95"/>
      <c r="AM54" s="95"/>
      <c r="AN54" s="95"/>
      <c r="AO54" s="104" t="s">
        <v>295</v>
      </c>
      <c r="AP54" s="104" t="s">
        <v>265</v>
      </c>
      <c r="AQ54" s="104"/>
      <c r="AR54" s="104"/>
      <c r="AS54" s="104"/>
      <c r="AT54" s="1612" t="s">
        <v>18129</v>
      </c>
      <c r="AU54" s="104">
        <v>969525321</v>
      </c>
      <c r="AV54" s="104"/>
      <c r="AW54" s="104"/>
      <c r="AX54" s="115">
        <f t="shared" si="6"/>
        <v>395041.92000000004</v>
      </c>
      <c r="AY54" s="115">
        <v>2730</v>
      </c>
      <c r="AZ54" s="115"/>
    </row>
    <row r="55" spans="1:52" s="657" customFormat="1" ht="13.5" customHeight="1">
      <c r="A55" s="95">
        <v>54</v>
      </c>
      <c r="B55" s="648" t="s">
        <v>77</v>
      </c>
      <c r="C55" s="649" t="s">
        <v>89</v>
      </c>
      <c r="D55" s="650">
        <v>6</v>
      </c>
      <c r="E55" s="650" t="s">
        <v>242</v>
      </c>
      <c r="F55" s="651">
        <v>131.804</v>
      </c>
      <c r="G55" s="652">
        <v>43</v>
      </c>
      <c r="H55" s="653"/>
      <c r="I55" s="654">
        <f t="shared" si="4"/>
        <v>144.70400000000001</v>
      </c>
      <c r="J55" s="671" t="s">
        <v>258</v>
      </c>
      <c r="K55" s="371" t="s">
        <v>17275</v>
      </c>
      <c r="L55" s="95"/>
      <c r="M55" s="102"/>
      <c r="N55" s="95"/>
      <c r="O55" s="105"/>
      <c r="P55" s="446" t="s">
        <v>249</v>
      </c>
      <c r="Q55" s="446" t="s">
        <v>249</v>
      </c>
      <c r="R55" s="656">
        <v>353500</v>
      </c>
      <c r="S55" s="475">
        <v>387000</v>
      </c>
      <c r="T55" s="475">
        <v>406350</v>
      </c>
      <c r="U55" s="475"/>
      <c r="V55" s="101">
        <f>S55/T55-1</f>
        <v>-4.7619047619047672E-2</v>
      </c>
      <c r="W55" s="102">
        <f t="shared" si="5"/>
        <v>2442.9179566563466</v>
      </c>
      <c r="X55" s="102">
        <f>S55/I55</f>
        <v>2674.4250331711632</v>
      </c>
      <c r="Y55" s="101">
        <f>-(100%-(R55/S55))</f>
        <v>-8.656330749354002E-2</v>
      </c>
      <c r="Z55" s="101"/>
      <c r="AA55" s="554"/>
      <c r="AB55" s="135">
        <v>45471</v>
      </c>
      <c r="AC55" s="663">
        <v>35350</v>
      </c>
      <c r="AD55" s="663"/>
      <c r="AE55" s="135"/>
      <c r="AF55" s="663"/>
      <c r="AG55" s="135"/>
      <c r="AH55" s="663">
        <v>318150</v>
      </c>
      <c r="AI55" s="95" t="s">
        <v>274</v>
      </c>
      <c r="AJ55" s="95"/>
      <c r="AK55" s="95"/>
      <c r="AL55" s="95"/>
      <c r="AM55" s="95"/>
      <c r="AN55" s="95"/>
      <c r="AO55" s="104" t="s">
        <v>17504</v>
      </c>
      <c r="AP55" s="104" t="s">
        <v>517</v>
      </c>
      <c r="AQ55" s="104"/>
      <c r="AR55" s="104"/>
      <c r="AS55" s="104"/>
      <c r="AT55" s="1612" t="s">
        <v>17762</v>
      </c>
      <c r="AU55" s="104">
        <v>-52199068</v>
      </c>
      <c r="AV55" s="104"/>
      <c r="AW55" s="104"/>
      <c r="AX55" s="115">
        <f t="shared" si="6"/>
        <v>395041.92000000004</v>
      </c>
      <c r="AY55" s="115">
        <v>2730</v>
      </c>
      <c r="AZ55" s="115">
        <v>480000</v>
      </c>
    </row>
    <row r="56" spans="1:52" s="657" customFormat="1" ht="15">
      <c r="A56" s="95">
        <v>55</v>
      </c>
      <c r="B56" s="648" t="s">
        <v>78</v>
      </c>
      <c r="C56" s="649" t="s">
        <v>90</v>
      </c>
      <c r="D56" s="650">
        <v>6</v>
      </c>
      <c r="E56" s="650" t="s">
        <v>237</v>
      </c>
      <c r="F56" s="651">
        <v>59.668999999999997</v>
      </c>
      <c r="G56" s="652">
        <v>5.7850000000000001</v>
      </c>
      <c r="H56" s="653"/>
      <c r="I56" s="654">
        <f t="shared" si="4"/>
        <v>61.404499999999999</v>
      </c>
      <c r="J56" s="671" t="s">
        <v>258</v>
      </c>
      <c r="K56" s="371" t="s">
        <v>17276</v>
      </c>
      <c r="L56" s="95"/>
      <c r="M56" s="95"/>
      <c r="N56" s="95"/>
      <c r="O56" s="99"/>
      <c r="P56" s="95" t="s">
        <v>249</v>
      </c>
      <c r="Q56" s="95" t="s">
        <v>249</v>
      </c>
      <c r="R56" s="664">
        <v>175000</v>
      </c>
      <c r="S56" s="475">
        <v>175000</v>
      </c>
      <c r="T56" s="475">
        <v>183750</v>
      </c>
      <c r="U56" s="475"/>
      <c r="V56" s="101"/>
      <c r="W56" s="102">
        <f t="shared" si="5"/>
        <v>2849.9539935998177</v>
      </c>
      <c r="X56" s="102">
        <f>T56/I56</f>
        <v>2992.4516932798088</v>
      </c>
      <c r="Y56" s="102"/>
      <c r="Z56" s="102"/>
      <c r="AA56" s="554">
        <v>44889</v>
      </c>
      <c r="AB56" s="135">
        <v>45341</v>
      </c>
      <c r="AC56" s="663">
        <v>35000</v>
      </c>
      <c r="AD56" s="663"/>
      <c r="AE56" s="135"/>
      <c r="AF56" s="663"/>
      <c r="AG56" s="135"/>
      <c r="AH56" s="663">
        <v>140000</v>
      </c>
      <c r="AI56" s="95" t="s">
        <v>247</v>
      </c>
      <c r="AJ56" s="95" t="s">
        <v>252</v>
      </c>
      <c r="AK56" s="95"/>
      <c r="AL56" s="95" t="s">
        <v>249</v>
      </c>
      <c r="AM56" s="95"/>
      <c r="AN56" s="95"/>
      <c r="AO56" s="104" t="s">
        <v>17342</v>
      </c>
      <c r="AP56" s="104" t="s">
        <v>265</v>
      </c>
      <c r="AQ56" s="104"/>
      <c r="AR56" s="104"/>
      <c r="AS56" s="104"/>
      <c r="AT56" s="1612" t="s">
        <v>18123</v>
      </c>
      <c r="AU56" s="104">
        <v>968964123</v>
      </c>
      <c r="AV56" s="104"/>
      <c r="AW56" s="104"/>
      <c r="AX56" s="115">
        <f t="shared" si="6"/>
        <v>167634.285</v>
      </c>
      <c r="AY56" s="115">
        <v>2730</v>
      </c>
      <c r="AZ56" s="115"/>
    </row>
    <row r="57" spans="1:52" s="657" customFormat="1">
      <c r="A57" s="95">
        <v>56</v>
      </c>
      <c r="B57" s="648" t="s">
        <v>79</v>
      </c>
      <c r="C57" s="649" t="s">
        <v>89</v>
      </c>
      <c r="D57" s="650">
        <v>6</v>
      </c>
      <c r="E57" s="650" t="s">
        <v>241</v>
      </c>
      <c r="F57" s="651">
        <v>116.492</v>
      </c>
      <c r="G57" s="652">
        <v>16</v>
      </c>
      <c r="H57" s="653"/>
      <c r="I57" s="654">
        <f t="shared" si="4"/>
        <v>121.292</v>
      </c>
      <c r="J57" s="671" t="s">
        <v>258</v>
      </c>
      <c r="K57" s="371" t="s">
        <v>17275</v>
      </c>
      <c r="L57" s="95"/>
      <c r="M57" s="95"/>
      <c r="N57" s="95"/>
      <c r="O57" s="105"/>
      <c r="P57" s="95" t="s">
        <v>249</v>
      </c>
      <c r="Q57" s="95" t="s">
        <v>249</v>
      </c>
      <c r="R57" s="656">
        <v>393600</v>
      </c>
      <c r="S57" s="475">
        <f>0.96*T57</f>
        <v>393600</v>
      </c>
      <c r="T57" s="475">
        <v>410000</v>
      </c>
      <c r="U57" s="475"/>
      <c r="V57" s="101">
        <f>S57/T57-1</f>
        <v>-4.0000000000000036E-2</v>
      </c>
      <c r="W57" s="102">
        <f t="shared" si="5"/>
        <v>3245.0615044685551</v>
      </c>
      <c r="X57" s="102">
        <f>S57/I57</f>
        <v>3245.0615044685551</v>
      </c>
      <c r="Y57" s="102"/>
      <c r="Z57" s="102"/>
      <c r="AA57" s="554"/>
      <c r="AB57" s="135">
        <v>45405</v>
      </c>
      <c r="AC57" s="663">
        <f>20%*R57</f>
        <v>78720</v>
      </c>
      <c r="AD57" s="663"/>
      <c r="AE57" s="135"/>
      <c r="AF57" s="663"/>
      <c r="AG57" s="135"/>
      <c r="AH57" s="663">
        <f>80%*R57</f>
        <v>314880</v>
      </c>
      <c r="AI57" s="95" t="s">
        <v>247</v>
      </c>
      <c r="AJ57" s="95" t="s">
        <v>17419</v>
      </c>
      <c r="AK57" s="95"/>
      <c r="AL57" s="95"/>
      <c r="AM57" s="95"/>
      <c r="AN57" s="95"/>
      <c r="AO57" s="104" t="s">
        <v>17418</v>
      </c>
      <c r="AP57" s="104" t="s">
        <v>265</v>
      </c>
      <c r="AQ57" s="104"/>
      <c r="AR57" s="104"/>
      <c r="AS57" s="104"/>
      <c r="AT57" s="104"/>
      <c r="AU57" s="104"/>
      <c r="AV57" s="104"/>
      <c r="AW57" s="104"/>
      <c r="AX57" s="115">
        <f t="shared" si="6"/>
        <v>331127.16000000003</v>
      </c>
      <c r="AY57" s="115">
        <v>2730</v>
      </c>
      <c r="AZ57" s="115"/>
    </row>
    <row r="58" spans="1:52" s="657" customFormat="1">
      <c r="A58" s="95">
        <v>57</v>
      </c>
      <c r="B58" s="648" t="s">
        <v>80</v>
      </c>
      <c r="C58" s="649" t="s">
        <v>91</v>
      </c>
      <c r="D58" s="650">
        <v>6</v>
      </c>
      <c r="E58" s="650" t="s">
        <v>238</v>
      </c>
      <c r="F58" s="651">
        <v>86.61</v>
      </c>
      <c r="G58" s="652">
        <f>34.052+14.95</f>
        <v>49.001999999999995</v>
      </c>
      <c r="H58" s="653"/>
      <c r="I58" s="654">
        <f t="shared" si="4"/>
        <v>101.31059999999999</v>
      </c>
      <c r="J58" s="95" t="s">
        <v>258</v>
      </c>
      <c r="K58" s="371" t="s">
        <v>17276</v>
      </c>
      <c r="L58" s="95"/>
      <c r="M58" s="95"/>
      <c r="N58" s="95"/>
      <c r="O58" s="99"/>
      <c r="P58" s="95" t="s">
        <v>249</v>
      </c>
      <c r="Q58" s="95" t="s">
        <v>249</v>
      </c>
      <c r="R58" s="664">
        <v>258440</v>
      </c>
      <c r="S58" s="475">
        <v>284000</v>
      </c>
      <c r="T58" s="475">
        <v>298200</v>
      </c>
      <c r="U58" s="475"/>
      <c r="V58" s="101"/>
      <c r="W58" s="102">
        <f t="shared" si="5"/>
        <v>2550.9670261552101</v>
      </c>
      <c r="X58" s="102">
        <f>S58/I58</f>
        <v>2803.2604683024288</v>
      </c>
      <c r="Y58" s="102">
        <f>T58/I58</f>
        <v>2943.42349171755</v>
      </c>
      <c r="Z58" s="554"/>
      <c r="AA58" s="554">
        <v>45108</v>
      </c>
      <c r="AB58" s="661">
        <v>45343</v>
      </c>
      <c r="AC58" s="662">
        <v>25844</v>
      </c>
      <c r="AD58" s="662"/>
      <c r="AE58" s="661"/>
      <c r="AF58" s="662"/>
      <c r="AG58" s="661"/>
      <c r="AH58" s="662">
        <v>232596</v>
      </c>
      <c r="AI58" s="95" t="s">
        <v>274</v>
      </c>
      <c r="AJ58" s="95"/>
      <c r="AK58" s="95">
        <v>0</v>
      </c>
      <c r="AL58" s="95"/>
      <c r="AM58" s="95"/>
      <c r="AN58" s="95"/>
      <c r="AO58" s="104" t="s">
        <v>17177</v>
      </c>
      <c r="AP58" s="104" t="s">
        <v>517</v>
      </c>
      <c r="AQ58" s="104"/>
      <c r="AR58" s="104"/>
      <c r="AS58" s="104"/>
      <c r="AT58" s="104"/>
      <c r="AU58" s="104"/>
      <c r="AV58" s="330"/>
      <c r="AW58" s="330"/>
      <c r="AX58" s="115">
        <f t="shared" si="6"/>
        <v>276577.93799999997</v>
      </c>
      <c r="AY58" s="115">
        <v>2730</v>
      </c>
      <c r="AZ58" s="115">
        <v>380000</v>
      </c>
    </row>
    <row r="59" spans="1:52" s="657" customFormat="1" ht="15">
      <c r="A59" s="95">
        <v>58</v>
      </c>
      <c r="B59" s="648" t="s">
        <v>81</v>
      </c>
      <c r="C59" s="649" t="s">
        <v>90</v>
      </c>
      <c r="D59" s="650">
        <v>6</v>
      </c>
      <c r="E59" s="650" t="s">
        <v>239</v>
      </c>
      <c r="F59" s="651">
        <v>63.220999999999997</v>
      </c>
      <c r="G59" s="652">
        <v>25.146999999999998</v>
      </c>
      <c r="H59" s="653"/>
      <c r="I59" s="654">
        <f t="shared" si="4"/>
        <v>70.76509999999999</v>
      </c>
      <c r="J59" s="95" t="s">
        <v>258</v>
      </c>
      <c r="K59" s="371" t="s">
        <v>17278</v>
      </c>
      <c r="L59" s="98"/>
      <c r="M59" s="95"/>
      <c r="N59" s="95"/>
      <c r="O59" s="105"/>
      <c r="P59" s="446" t="s">
        <v>249</v>
      </c>
      <c r="Q59" s="446" t="s">
        <v>249</v>
      </c>
      <c r="R59" s="656">
        <v>211460</v>
      </c>
      <c r="S59" s="475">
        <f>T59-(T59*V59)</f>
        <v>211460</v>
      </c>
      <c r="T59" s="475">
        <v>218000</v>
      </c>
      <c r="U59" s="475"/>
      <c r="V59" s="101">
        <v>0.03</v>
      </c>
      <c r="W59" s="102">
        <f t="shared" si="5"/>
        <v>2988.1961588410109</v>
      </c>
      <c r="X59" s="102">
        <f>S59/I59</f>
        <v>2988.1961588410109</v>
      </c>
      <c r="Y59" s="102"/>
      <c r="Z59" s="102"/>
      <c r="AA59" s="554">
        <v>44988</v>
      </c>
      <c r="AB59" s="135">
        <v>45376</v>
      </c>
      <c r="AC59" s="663">
        <f>20%*R59</f>
        <v>42292</v>
      </c>
      <c r="AD59" s="663"/>
      <c r="AE59" s="135"/>
      <c r="AF59" s="663"/>
      <c r="AG59" s="135"/>
      <c r="AH59" s="663">
        <f>80%*R59</f>
        <v>169168</v>
      </c>
      <c r="AI59" s="95" t="s">
        <v>247</v>
      </c>
      <c r="AJ59" s="95" t="s">
        <v>309</v>
      </c>
      <c r="AK59" s="95"/>
      <c r="AL59" s="95"/>
      <c r="AM59" s="95"/>
      <c r="AN59" s="95"/>
      <c r="AO59" s="104" t="s">
        <v>716</v>
      </c>
      <c r="AP59" s="104" t="s">
        <v>514</v>
      </c>
      <c r="AQ59" s="104"/>
      <c r="AR59" s="104"/>
      <c r="AS59" s="104"/>
      <c r="AT59" s="1612" t="s">
        <v>18130</v>
      </c>
      <c r="AU59" s="104" t="s">
        <v>18131</v>
      </c>
      <c r="AV59" s="104"/>
      <c r="AW59" s="104"/>
      <c r="AX59" s="115">
        <f t="shared" si="6"/>
        <v>193188.72299999997</v>
      </c>
      <c r="AY59" s="115">
        <v>2730</v>
      </c>
      <c r="AZ59" s="115"/>
    </row>
    <row r="60" spans="1:52" s="657" customFormat="1">
      <c r="A60" s="95">
        <v>59</v>
      </c>
      <c r="B60" s="648" t="s">
        <v>82</v>
      </c>
      <c r="C60" s="649" t="s">
        <v>90</v>
      </c>
      <c r="D60" s="650">
        <v>6</v>
      </c>
      <c r="E60" s="650" t="s">
        <v>239</v>
      </c>
      <c r="F60" s="651">
        <v>63.220999999999997</v>
      </c>
      <c r="G60" s="652">
        <v>25.146999999999998</v>
      </c>
      <c r="H60" s="653"/>
      <c r="I60" s="654">
        <f t="shared" si="4"/>
        <v>70.76509999999999</v>
      </c>
      <c r="J60" s="95" t="s">
        <v>258</v>
      </c>
      <c r="K60" s="371" t="s">
        <v>17274</v>
      </c>
      <c r="L60" s="98"/>
      <c r="M60" s="95"/>
      <c r="N60" s="95"/>
      <c r="O60" s="99"/>
      <c r="P60" s="95" t="s">
        <v>249</v>
      </c>
      <c r="Q60" s="95" t="s">
        <v>249</v>
      </c>
      <c r="R60" s="664">
        <v>197500</v>
      </c>
      <c r="S60" s="475">
        <v>197500</v>
      </c>
      <c r="T60" s="475">
        <v>207375</v>
      </c>
      <c r="U60" s="475"/>
      <c r="V60" s="101"/>
      <c r="W60" s="102">
        <f t="shared" si="5"/>
        <v>2790.9237745724945</v>
      </c>
      <c r="X60" s="102">
        <f>T60/I60</f>
        <v>2930.4699633011192</v>
      </c>
      <c r="Y60" s="102"/>
      <c r="Z60" s="102"/>
      <c r="AA60" s="554">
        <v>44897</v>
      </c>
      <c r="AB60" s="661">
        <v>45343</v>
      </c>
      <c r="AC60" s="662">
        <v>39500</v>
      </c>
      <c r="AD60" s="662"/>
      <c r="AE60" s="661"/>
      <c r="AF60" s="662"/>
      <c r="AG60" s="661"/>
      <c r="AH60" s="662">
        <v>158000</v>
      </c>
      <c r="AI60" s="95" t="s">
        <v>247</v>
      </c>
      <c r="AJ60" s="95" t="s">
        <v>252</v>
      </c>
      <c r="AK60" s="95"/>
      <c r="AL60" s="95"/>
      <c r="AM60" s="95"/>
      <c r="AN60" s="95"/>
      <c r="AO60" s="104" t="s">
        <v>286</v>
      </c>
      <c r="AP60" s="104" t="s">
        <v>265</v>
      </c>
      <c r="AQ60" s="104"/>
      <c r="AR60" s="104"/>
      <c r="AS60" s="104"/>
      <c r="AT60" s="104"/>
      <c r="AU60" s="104"/>
      <c r="AV60" s="330"/>
      <c r="AW60" s="330"/>
      <c r="AX60" s="115">
        <f t="shared" si="6"/>
        <v>193188.72299999997</v>
      </c>
      <c r="AY60" s="115">
        <v>2730</v>
      </c>
      <c r="AZ60" s="115"/>
    </row>
    <row r="61" spans="1:52" s="657" customFormat="1">
      <c r="A61" s="95">
        <v>60</v>
      </c>
      <c r="B61" s="648" t="s">
        <v>83</v>
      </c>
      <c r="C61" s="649" t="s">
        <v>91</v>
      </c>
      <c r="D61" s="650">
        <v>6</v>
      </c>
      <c r="E61" s="650" t="s">
        <v>240</v>
      </c>
      <c r="F61" s="651">
        <v>86.61</v>
      </c>
      <c r="G61" s="652">
        <v>52.567999999999998</v>
      </c>
      <c r="H61" s="653"/>
      <c r="I61" s="654">
        <f t="shared" si="4"/>
        <v>102.38039999999999</v>
      </c>
      <c r="J61" s="95" t="s">
        <v>258</v>
      </c>
      <c r="K61" s="371" t="s">
        <v>17276</v>
      </c>
      <c r="L61" s="95"/>
      <c r="M61" s="95"/>
      <c r="N61" s="95"/>
      <c r="O61" s="105"/>
      <c r="P61" s="95" t="s">
        <v>249</v>
      </c>
      <c r="Q61" s="95" t="s">
        <v>249</v>
      </c>
      <c r="R61" s="664">
        <v>295000</v>
      </c>
      <c r="S61" s="475">
        <v>295000</v>
      </c>
      <c r="T61" s="475">
        <v>309750</v>
      </c>
      <c r="U61" s="475"/>
      <c r="V61" s="101"/>
      <c r="W61" s="102">
        <f t="shared" si="5"/>
        <v>2881.4108950541317</v>
      </c>
      <c r="X61" s="102">
        <f>T61/I61</f>
        <v>3025.4814398068384</v>
      </c>
      <c r="Y61" s="102"/>
      <c r="Z61" s="102"/>
      <c r="AA61" s="554">
        <v>44914</v>
      </c>
      <c r="AB61" s="135">
        <v>45345</v>
      </c>
      <c r="AC61" s="663">
        <v>59000</v>
      </c>
      <c r="AD61" s="663"/>
      <c r="AE61" s="135"/>
      <c r="AF61" s="663"/>
      <c r="AG61" s="135"/>
      <c r="AH61" s="663">
        <v>236000</v>
      </c>
      <c r="AI61" s="95" t="s">
        <v>274</v>
      </c>
      <c r="AJ61" s="95"/>
      <c r="AK61" s="306">
        <v>0.04</v>
      </c>
      <c r="AL61" s="95"/>
      <c r="AM61" s="95"/>
      <c r="AN61" s="95"/>
      <c r="AO61" s="104" t="s">
        <v>296</v>
      </c>
      <c r="AP61" s="104" t="s">
        <v>517</v>
      </c>
      <c r="AQ61" s="104"/>
      <c r="AR61" s="104"/>
      <c r="AS61" s="104"/>
      <c r="AT61" s="104"/>
      <c r="AU61" s="104"/>
      <c r="AV61" s="104"/>
      <c r="AW61" s="104"/>
      <c r="AX61" s="115">
        <f t="shared" si="6"/>
        <v>279498.49199999997</v>
      </c>
      <c r="AY61" s="115">
        <v>2730</v>
      </c>
      <c r="AZ61" s="115">
        <v>360000</v>
      </c>
    </row>
    <row r="62" spans="1:52" s="657" customFormat="1" ht="15">
      <c r="A62" s="95">
        <v>61</v>
      </c>
      <c r="B62" s="648" t="s">
        <v>84</v>
      </c>
      <c r="C62" s="649" t="s">
        <v>213</v>
      </c>
      <c r="D62" s="650">
        <v>7</v>
      </c>
      <c r="E62" s="650" t="s">
        <v>243</v>
      </c>
      <c r="F62" s="651">
        <v>216.31</v>
      </c>
      <c r="G62" s="652">
        <v>127.727</v>
      </c>
      <c r="H62" s="653"/>
      <c r="I62" s="654">
        <f t="shared" si="4"/>
        <v>254.62810000000002</v>
      </c>
      <c r="J62" s="95" t="s">
        <v>258</v>
      </c>
      <c r="K62" s="371" t="s">
        <v>17272</v>
      </c>
      <c r="L62" s="95"/>
      <c r="M62" s="95"/>
      <c r="N62" s="95"/>
      <c r="O62" s="99"/>
      <c r="P62" s="446" t="s">
        <v>249</v>
      </c>
      <c r="Q62" s="446" t="s">
        <v>249</v>
      </c>
      <c r="R62" s="656">
        <v>786240</v>
      </c>
      <c r="S62" s="475">
        <f>0.96*T62</f>
        <v>786240</v>
      </c>
      <c r="T62" s="475">
        <v>819000</v>
      </c>
      <c r="U62" s="475"/>
      <c r="V62" s="101">
        <f>S62/T62-1</f>
        <v>-4.0000000000000036E-2</v>
      </c>
      <c r="W62" s="102">
        <f t="shared" si="5"/>
        <v>3087.7974583323676</v>
      </c>
      <c r="X62" s="102">
        <f>S62/I62</f>
        <v>3087.7974583323676</v>
      </c>
      <c r="Y62" s="102">
        <f>T62/I62</f>
        <v>3216.4556857628831</v>
      </c>
      <c r="Z62" s="554"/>
      <c r="AA62" s="554"/>
      <c r="AB62" s="135">
        <v>45485</v>
      </c>
      <c r="AC62" s="663">
        <v>78624</v>
      </c>
      <c r="AD62" s="663">
        <v>39312</v>
      </c>
      <c r="AE62" s="135">
        <v>45627</v>
      </c>
      <c r="AF62" s="663">
        <v>39312</v>
      </c>
      <c r="AG62" s="135">
        <v>45839</v>
      </c>
      <c r="AH62" s="663">
        <v>628992</v>
      </c>
      <c r="AI62" s="95" t="s">
        <v>248</v>
      </c>
      <c r="AJ62" s="95"/>
      <c r="AK62" s="95"/>
      <c r="AL62" s="95"/>
      <c r="AM62" s="95"/>
      <c r="AN62" s="95"/>
      <c r="AO62" s="104" t="s">
        <v>17520</v>
      </c>
      <c r="AP62" s="104" t="s">
        <v>265</v>
      </c>
      <c r="AQ62" s="104"/>
      <c r="AR62" s="104"/>
      <c r="AS62" s="104"/>
      <c r="AT62" s="1612" t="s">
        <v>18132</v>
      </c>
      <c r="AU62" s="104">
        <v>935074005</v>
      </c>
      <c r="AV62" s="104"/>
      <c r="AW62" s="104"/>
      <c r="AX62" s="115">
        <f t="shared" si="6"/>
        <v>695134.71300000011</v>
      </c>
      <c r="AY62" s="115">
        <v>2730</v>
      </c>
      <c r="AZ62" s="115"/>
    </row>
    <row r="63" spans="1:52" s="657" customFormat="1" ht="15">
      <c r="A63" s="95">
        <v>62</v>
      </c>
      <c r="B63" s="648" t="s">
        <v>85</v>
      </c>
      <c r="C63" s="649" t="s">
        <v>93</v>
      </c>
      <c r="D63" s="650">
        <v>7</v>
      </c>
      <c r="E63" s="650" t="s">
        <v>242</v>
      </c>
      <c r="F63" s="651">
        <v>180.20400000000001</v>
      </c>
      <c r="G63" s="652">
        <v>49</v>
      </c>
      <c r="H63" s="653"/>
      <c r="I63" s="654">
        <f t="shared" si="4"/>
        <v>194.904</v>
      </c>
      <c r="J63" s="95" t="s">
        <v>258</v>
      </c>
      <c r="K63" s="371" t="s">
        <v>17273</v>
      </c>
      <c r="L63" s="95"/>
      <c r="M63" s="95"/>
      <c r="N63" s="95"/>
      <c r="O63" s="99"/>
      <c r="P63" s="95" t="s">
        <v>249</v>
      </c>
      <c r="Q63" s="95" t="s">
        <v>249</v>
      </c>
      <c r="R63" s="475">
        <v>612000</v>
      </c>
      <c r="S63" s="475">
        <v>612000</v>
      </c>
      <c r="T63" s="475">
        <v>624000</v>
      </c>
      <c r="U63" s="475"/>
      <c r="V63" s="101">
        <f>100%-(T63/S63)</f>
        <v>-1.9607843137254832E-2</v>
      </c>
      <c r="W63" s="102">
        <f t="shared" si="5"/>
        <v>3140.0073882526781</v>
      </c>
      <c r="X63" s="102">
        <f>S63/I63</f>
        <v>3140.0073882526781</v>
      </c>
      <c r="Y63" s="102">
        <f>T63/I63</f>
        <v>3201.5761605713583</v>
      </c>
      <c r="Z63" s="102"/>
      <c r="AA63" s="554">
        <v>45188</v>
      </c>
      <c r="AB63" s="135">
        <v>45313</v>
      </c>
      <c r="AC63" s="663">
        <v>122400</v>
      </c>
      <c r="AD63" s="663"/>
      <c r="AE63" s="135"/>
      <c r="AF63" s="663"/>
      <c r="AG63" s="135"/>
      <c r="AH63" s="663">
        <v>489600</v>
      </c>
      <c r="AI63" s="95" t="s">
        <v>247</v>
      </c>
      <c r="AJ63" s="95"/>
      <c r="AK63" s="95"/>
      <c r="AL63" s="95" t="s">
        <v>249</v>
      </c>
      <c r="AM63" s="95"/>
      <c r="AN63" s="95"/>
      <c r="AO63" s="104" t="s">
        <v>17208</v>
      </c>
      <c r="AP63" s="104" t="s">
        <v>265</v>
      </c>
      <c r="AQ63" s="104"/>
      <c r="AR63" s="104"/>
      <c r="AS63" s="104"/>
      <c r="AT63" s="1612" t="s">
        <v>18133</v>
      </c>
      <c r="AU63" s="104">
        <v>916662498</v>
      </c>
      <c r="AV63" s="104"/>
      <c r="AW63" s="104"/>
      <c r="AX63" s="115">
        <f t="shared" si="6"/>
        <v>532087.92000000004</v>
      </c>
      <c r="AY63" s="115">
        <v>2730</v>
      </c>
      <c r="AZ63" s="115"/>
    </row>
    <row r="64" spans="1:52" s="657" customFormat="1" ht="15">
      <c r="A64" s="95">
        <v>63</v>
      </c>
      <c r="B64" s="648" t="s">
        <v>86</v>
      </c>
      <c r="C64" s="649" t="s">
        <v>93</v>
      </c>
      <c r="D64" s="650">
        <v>7</v>
      </c>
      <c r="E64" s="650" t="s">
        <v>242</v>
      </c>
      <c r="F64" s="651">
        <v>180.20400000000001</v>
      </c>
      <c r="G64" s="652">
        <v>49</v>
      </c>
      <c r="H64" s="653"/>
      <c r="I64" s="654">
        <f t="shared" si="4"/>
        <v>194.904</v>
      </c>
      <c r="J64" s="95" t="s">
        <v>258</v>
      </c>
      <c r="K64" s="371" t="s">
        <v>17273</v>
      </c>
      <c r="L64" s="98"/>
      <c r="M64" s="95"/>
      <c r="N64" s="95"/>
      <c r="O64" s="99"/>
      <c r="P64" s="95" t="s">
        <v>249</v>
      </c>
      <c r="Q64" s="95" t="s">
        <v>249</v>
      </c>
      <c r="R64" s="664">
        <v>530000</v>
      </c>
      <c r="S64" s="475">
        <v>530000</v>
      </c>
      <c r="T64" s="475">
        <v>556500</v>
      </c>
      <c r="U64" s="475"/>
      <c r="V64" s="101"/>
      <c r="W64" s="102">
        <f t="shared" si="5"/>
        <v>2719.287444075032</v>
      </c>
      <c r="X64" s="102">
        <f>T64/I64</f>
        <v>2855.2518162787833</v>
      </c>
      <c r="Y64" s="102"/>
      <c r="Z64" s="102"/>
      <c r="AA64" s="554">
        <v>44881</v>
      </c>
      <c r="AB64" s="135">
        <v>45317</v>
      </c>
      <c r="AC64" s="663">
        <v>116000</v>
      </c>
      <c r="AD64" s="663"/>
      <c r="AE64" s="135"/>
      <c r="AF64" s="663"/>
      <c r="AG64" s="135"/>
      <c r="AH64" s="663">
        <v>414000</v>
      </c>
      <c r="AI64" s="95" t="s">
        <v>248</v>
      </c>
      <c r="AJ64" s="95"/>
      <c r="AK64" s="95"/>
      <c r="AL64" s="95" t="s">
        <v>249</v>
      </c>
      <c r="AM64" s="95" t="s">
        <v>249</v>
      </c>
      <c r="AN64" s="95"/>
      <c r="AO64" s="104" t="s">
        <v>17301</v>
      </c>
      <c r="AP64" s="104" t="s">
        <v>265</v>
      </c>
      <c r="AQ64" s="104"/>
      <c r="AR64" s="104"/>
      <c r="AS64" s="104"/>
      <c r="AT64" s="1612" t="s">
        <v>18134</v>
      </c>
      <c r="AU64" s="104">
        <v>964291841</v>
      </c>
      <c r="AV64" s="104"/>
      <c r="AW64" s="104"/>
      <c r="AX64" s="115">
        <f t="shared" si="6"/>
        <v>532087.92000000004</v>
      </c>
      <c r="AY64" s="115">
        <v>2730</v>
      </c>
      <c r="AZ64" s="115"/>
    </row>
    <row r="65" spans="1:52" s="657" customFormat="1" ht="15.75" thickBot="1">
      <c r="A65" s="95">
        <v>64</v>
      </c>
      <c r="B65" s="648" t="s">
        <v>87</v>
      </c>
      <c r="C65" s="649" t="s">
        <v>213</v>
      </c>
      <c r="D65" s="650">
        <v>7</v>
      </c>
      <c r="E65" s="676" t="s">
        <v>244</v>
      </c>
      <c r="F65" s="651">
        <v>216.31</v>
      </c>
      <c r="G65" s="652">
        <v>127.727</v>
      </c>
      <c r="H65" s="653"/>
      <c r="I65" s="654">
        <f t="shared" si="4"/>
        <v>254.62810000000002</v>
      </c>
      <c r="J65" s="671" t="s">
        <v>258</v>
      </c>
      <c r="K65" s="371" t="s">
        <v>17272</v>
      </c>
      <c r="L65" s="98"/>
      <c r="M65" s="95"/>
      <c r="N65" s="95"/>
      <c r="O65" s="105"/>
      <c r="P65" s="95" t="s">
        <v>249</v>
      </c>
      <c r="Q65" s="95" t="s">
        <v>249</v>
      </c>
      <c r="R65" s="664">
        <v>690000</v>
      </c>
      <c r="S65" s="475">
        <v>690000</v>
      </c>
      <c r="T65" s="475">
        <v>724500</v>
      </c>
      <c r="U65" s="475"/>
      <c r="V65" s="101"/>
      <c r="W65" s="102">
        <f t="shared" si="5"/>
        <v>2709.8344605328316</v>
      </c>
      <c r="X65" s="102">
        <f>T65/I65</f>
        <v>2845.3261835594735</v>
      </c>
      <c r="Y65" s="102"/>
      <c r="Z65" s="102"/>
      <c r="AA65" s="554">
        <v>44907</v>
      </c>
      <c r="AB65" s="135">
        <v>45324</v>
      </c>
      <c r="AC65" s="663">
        <v>138000</v>
      </c>
      <c r="AD65" s="663"/>
      <c r="AE65" s="135"/>
      <c r="AF65" s="663"/>
      <c r="AG65" s="135"/>
      <c r="AH65" s="663">
        <v>552000</v>
      </c>
      <c r="AI65" s="95" t="s">
        <v>247</v>
      </c>
      <c r="AJ65" s="95" t="s">
        <v>253</v>
      </c>
      <c r="AK65" s="95"/>
      <c r="AL65" s="95" t="s">
        <v>249</v>
      </c>
      <c r="AM65" s="95"/>
      <c r="AN65" s="95"/>
      <c r="AO65" s="104" t="s">
        <v>17298</v>
      </c>
      <c r="AP65" s="104" t="s">
        <v>265</v>
      </c>
      <c r="AQ65" s="104"/>
      <c r="AR65" s="104"/>
      <c r="AS65" s="104"/>
      <c r="AT65" s="1612" t="s">
        <v>18135</v>
      </c>
      <c r="AU65" s="104">
        <v>919534783</v>
      </c>
      <c r="AV65" s="104"/>
      <c r="AW65" s="104"/>
      <c r="AX65" s="115">
        <f t="shared" si="6"/>
        <v>695134.71300000011</v>
      </c>
      <c r="AY65" s="115">
        <v>2730</v>
      </c>
      <c r="AZ65" s="115"/>
    </row>
    <row r="66" spans="1:52">
      <c r="F66" s="186">
        <f>SUM(F2:F65)</f>
        <v>6131.0299999999979</v>
      </c>
      <c r="I66" s="167">
        <f>SUM(I2:I65)</f>
        <v>6822.2608999999975</v>
      </c>
      <c r="K66" s="125"/>
      <c r="L66" s="125"/>
      <c r="M66" s="137"/>
      <c r="N66" s="125"/>
      <c r="O66" s="137"/>
      <c r="S66" s="168">
        <f>SUM(S2:S65)</f>
        <v>19285550</v>
      </c>
    </row>
    <row r="67" spans="1:52" ht="13.5" thickBot="1">
      <c r="K67" s="125"/>
      <c r="L67" s="125"/>
      <c r="M67" s="137"/>
      <c r="N67" s="125"/>
      <c r="O67" s="137"/>
      <c r="R67" s="137"/>
      <c r="T67" s="137"/>
      <c r="U67" s="137"/>
    </row>
    <row r="68" spans="1:52" ht="15" customHeight="1">
      <c r="A68" s="1921"/>
      <c r="B68" s="1922"/>
      <c r="C68" s="62" t="s">
        <v>139</v>
      </c>
      <c r="D68" s="62" t="s">
        <v>140</v>
      </c>
      <c r="E68" s="49" t="s">
        <v>17</v>
      </c>
      <c r="F68" s="162"/>
      <c r="G68" s="1915" t="s">
        <v>17394</v>
      </c>
      <c r="H68" s="1916"/>
      <c r="K68" s="125"/>
      <c r="L68" s="125"/>
      <c r="M68" s="137"/>
      <c r="N68" s="125"/>
      <c r="O68" s="137"/>
      <c r="Q68" s="137"/>
      <c r="S68" s="137"/>
      <c r="T68" s="137"/>
      <c r="U68" s="137"/>
    </row>
    <row r="69" spans="1:52">
      <c r="A69" s="1903" t="s">
        <v>258</v>
      </c>
      <c r="B69" s="1904"/>
      <c r="C69" s="63">
        <f>COUNTIF(J2:J65,A69)</f>
        <v>64</v>
      </c>
      <c r="D69" s="75">
        <f>SUMIF(J2:J65,A69,R2:R65)</f>
        <v>19176340</v>
      </c>
      <c r="E69" s="169">
        <f>AVERAGEIF(J2:J65,A69,W2:W65)</f>
        <v>2803.7764996629762</v>
      </c>
      <c r="F69" s="162"/>
      <c r="G69" s="225">
        <v>2022</v>
      </c>
      <c r="H69" s="227">
        <f>COUNTIFS(AA2:AA65,"&gt;="&amp;DATE(2022,1,1),AA2:AA65,"&lt;="&amp;DATE(2022,12,31))</f>
        <v>30</v>
      </c>
      <c r="I69" s="187"/>
      <c r="K69" s="125"/>
      <c r="L69" s="125"/>
      <c r="M69" s="137"/>
      <c r="N69" s="125"/>
      <c r="O69" s="137"/>
      <c r="Q69" s="137"/>
      <c r="S69" s="137"/>
      <c r="T69" s="137"/>
      <c r="U69" s="137"/>
    </row>
    <row r="70" spans="1:52">
      <c r="A70" s="1905" t="s">
        <v>102</v>
      </c>
      <c r="B70" s="1906"/>
      <c r="C70" s="65">
        <f>COUNTIF(J2:J65,A70)</f>
        <v>0</v>
      </c>
      <c r="D70" s="77">
        <f>SUMIF(J2:J65,A70,S2:S65)</f>
        <v>0</v>
      </c>
      <c r="E70" s="177" t="e">
        <f>AVERAGEIF(J2:J65,A70,X2:X65)</f>
        <v>#DIV/0!</v>
      </c>
      <c r="F70" s="162"/>
      <c r="G70" s="225">
        <v>2023</v>
      </c>
      <c r="H70" s="227">
        <f>COUNTIFS(AA2:AA65,"&gt;="&amp;DATE(2023,1,1),AA2:AA65,"&lt;="&amp;DATE(2023,12,31))</f>
        <v>22</v>
      </c>
      <c r="K70" s="125"/>
      <c r="L70" s="125"/>
      <c r="M70" s="137"/>
      <c r="N70" s="125"/>
      <c r="O70" s="137"/>
      <c r="Q70" s="137"/>
      <c r="S70" s="137"/>
      <c r="T70" s="137"/>
      <c r="U70" s="137"/>
    </row>
    <row r="71" spans="1:52" ht="13.5" thickBot="1">
      <c r="A71" s="1917" t="s">
        <v>138</v>
      </c>
      <c r="B71" s="1918"/>
      <c r="C71" s="67">
        <f>COUNTIF(J2:J65,"")</f>
        <v>0</v>
      </c>
      <c r="D71" s="170">
        <f>SUMIF(J2:J65,"",S2:S65)</f>
        <v>0</v>
      </c>
      <c r="E71" s="241" t="e">
        <f>AVERAGEIF(J2:J65,"",X2:X65)</f>
        <v>#DIV/0!</v>
      </c>
      <c r="F71" s="162"/>
      <c r="G71" s="226">
        <v>2024</v>
      </c>
      <c r="H71" s="216">
        <f>C69-(H69+H70)</f>
        <v>12</v>
      </c>
      <c r="K71" s="125"/>
      <c r="L71" s="125"/>
      <c r="M71" s="137"/>
      <c r="N71" s="125"/>
      <c r="O71" s="137"/>
      <c r="Q71" s="137"/>
      <c r="S71" s="137"/>
      <c r="T71" s="137"/>
      <c r="U71" s="137"/>
    </row>
    <row r="72" spans="1:52" ht="13.5" thickBot="1">
      <c r="A72" s="1919" t="s">
        <v>210</v>
      </c>
      <c r="B72" s="1920"/>
      <c r="C72" s="69">
        <f>COUNTIF(J2:J65,A72)</f>
        <v>0</v>
      </c>
      <c r="D72" s="171">
        <f>SUMIF(J2:J65,A72,R2:R65)</f>
        <v>0</v>
      </c>
      <c r="E72" s="233" t="e">
        <f>AVERAGEIF(J2:J65,A72,W2:W65)</f>
        <v>#DIV/0!</v>
      </c>
      <c r="F72" s="162"/>
      <c r="G72" s="226">
        <v>2025</v>
      </c>
      <c r="H72" s="216">
        <f>COUNTIFS(AB2:AB65,"&gt;="&amp;DATE(2025,1,1),AB2:AB65,"&lt;="&amp;DATE(2025,12,31))</f>
        <v>1</v>
      </c>
      <c r="K72" s="125"/>
      <c r="L72" s="125"/>
      <c r="M72" s="137"/>
      <c r="N72" s="125"/>
      <c r="O72" s="137"/>
      <c r="Q72" s="137"/>
      <c r="S72" s="137"/>
      <c r="T72" s="137"/>
      <c r="U72" s="137"/>
    </row>
    <row r="73" spans="1:52" s="40" customFormat="1" ht="26.25" thickBot="1">
      <c r="A73" s="1895" t="s">
        <v>269</v>
      </c>
      <c r="B73" s="1896"/>
      <c r="C73" s="205">
        <f>SUBTOTAL(9,C69:C72)</f>
        <v>64</v>
      </c>
      <c r="D73" s="206">
        <f>SUBTOTAL(9,D69:D72)</f>
        <v>19176340</v>
      </c>
      <c r="E73" s="207">
        <f>D73/I66</f>
        <v>2810.848233611237</v>
      </c>
      <c r="F73" s="198"/>
      <c r="G73" s="308" t="s">
        <v>544</v>
      </c>
      <c r="H73" s="309">
        <f>(C72+C69)/C73</f>
        <v>1</v>
      </c>
      <c r="I73" s="125"/>
      <c r="J73" s="125"/>
      <c r="K73" s="1"/>
      <c r="L73" s="1"/>
      <c r="M73" s="1"/>
      <c r="N73" s="1"/>
      <c r="O73" s="1"/>
      <c r="P73" s="125"/>
      <c r="Q73" s="125"/>
      <c r="R73" s="125"/>
      <c r="S73" s="137"/>
      <c r="T73" s="125"/>
      <c r="U73" s="125"/>
      <c r="V73" s="125"/>
      <c r="W73" s="125"/>
      <c r="X73" s="125"/>
      <c r="Y73" s="125"/>
      <c r="Z73" s="257"/>
      <c r="AA73" s="257"/>
      <c r="AB73" s="257"/>
      <c r="AC73" s="660"/>
      <c r="AD73" s="660"/>
      <c r="AE73" s="257"/>
      <c r="AF73" s="660"/>
      <c r="AG73" s="257"/>
      <c r="AH73" s="660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</row>
    <row r="74" spans="1:52" ht="13.5" thickBot="1">
      <c r="A74" s="162"/>
      <c r="B74" s="162"/>
      <c r="C74" s="162"/>
      <c r="D74" s="162"/>
      <c r="E74" s="162"/>
      <c r="F74" s="162"/>
      <c r="G74" s="162"/>
      <c r="H74" s="162"/>
      <c r="J74" s="1881" t="s">
        <v>17315</v>
      </c>
      <c r="K74" s="1882"/>
      <c r="L74" s="1882"/>
      <c r="M74" s="1882"/>
      <c r="N74" s="1882"/>
      <c r="O74" s="1882"/>
      <c r="P74" s="1882"/>
      <c r="Q74" s="1882"/>
      <c r="R74" s="1882"/>
      <c r="S74" s="1882"/>
      <c r="T74" s="1882"/>
      <c r="U74" s="1883"/>
      <c r="AA74" s="125"/>
    </row>
    <row r="75" spans="1:52" ht="13.5" thickBot="1">
      <c r="A75" s="1893" t="s">
        <v>139</v>
      </c>
      <c r="B75" s="1894"/>
      <c r="C75" s="62" t="s">
        <v>90</v>
      </c>
      <c r="D75" s="62" t="s">
        <v>91</v>
      </c>
      <c r="E75" s="62" t="s">
        <v>89</v>
      </c>
      <c r="F75" s="172" t="s">
        <v>93</v>
      </c>
      <c r="G75" s="172" t="s">
        <v>213</v>
      </c>
      <c r="H75" s="49" t="s">
        <v>141</v>
      </c>
      <c r="J75" s="1015" t="s">
        <v>17303</v>
      </c>
      <c r="K75" s="1015" t="s">
        <v>17304</v>
      </c>
      <c r="L75" s="1016" t="s">
        <v>17305</v>
      </c>
      <c r="M75" s="1017" t="s">
        <v>17306</v>
      </c>
      <c r="N75" s="1017" t="s">
        <v>17307</v>
      </c>
      <c r="O75" s="1017" t="s">
        <v>17308</v>
      </c>
      <c r="P75" s="1018" t="s">
        <v>17309</v>
      </c>
      <c r="Q75" s="1018" t="s">
        <v>17310</v>
      </c>
      <c r="R75" s="1018" t="s">
        <v>17311</v>
      </c>
      <c r="S75" s="1018" t="s">
        <v>17312</v>
      </c>
      <c r="T75" s="1018" t="s">
        <v>17313</v>
      </c>
      <c r="U75" s="1018" t="s">
        <v>17314</v>
      </c>
      <c r="Y75" s="257"/>
      <c r="Z75" s="125"/>
      <c r="AB75" s="660"/>
      <c r="AD75" s="257"/>
      <c r="AE75" s="660"/>
      <c r="AF75" s="257"/>
      <c r="AG75" s="660"/>
      <c r="AH75" s="125"/>
    </row>
    <row r="76" spans="1:52">
      <c r="A76" s="1903" t="s">
        <v>258</v>
      </c>
      <c r="B76" s="1904"/>
      <c r="C76" s="63">
        <f>COUNTIFS(J2:J65,A76,C2:C65,C75)</f>
        <v>21</v>
      </c>
      <c r="D76" s="63">
        <f>COUNTIFS(J2:J65,A76,C2:C65,D75)</f>
        <v>20</v>
      </c>
      <c r="E76" s="63">
        <f>COUNTIFS(J2:J65,A76,C2:C65,E75)</f>
        <v>19</v>
      </c>
      <c r="F76" s="63">
        <f>COUNTIFS(J2:J65,A76,C2:C65,F75)</f>
        <v>2</v>
      </c>
      <c r="G76" s="63">
        <f>COUNTIFS(J2:J65,A76,C2:C65,G75)</f>
        <v>2</v>
      </c>
      <c r="H76" s="64">
        <f>SUM(C76:G76)</f>
        <v>64</v>
      </c>
      <c r="J76" s="1012">
        <f>COUNTIFS(AB2:AB65,"&gt;="&amp;DATE(2024,1,1),AB2:AB65,"&lt;="&amp;DATE(2024,1,31))</f>
        <v>12</v>
      </c>
      <c r="K76" s="719">
        <f>COUNTIFS(AB2:AB65,"&gt;="&amp;DATE(2024,2,1),AB2:AB65,"&lt;="&amp;DATE(2024,2,29))</f>
        <v>34</v>
      </c>
      <c r="L76" s="719">
        <f>COUNTIFS(AB2:AB65,"&gt;="&amp;DATE(2024,3,1),AB2:AB65,"&lt;="&amp;DATE(2024,3,31))</f>
        <v>7</v>
      </c>
      <c r="M76" s="719">
        <f>COUNTIFS(AB2:AB65,"&gt;="&amp;DATE(2024,4,1),AB2:AB65,"&lt;="&amp;DATE(2024,4,31))</f>
        <v>2</v>
      </c>
      <c r="N76" s="719">
        <f>COUNTIFS(AB2:AB65,"&gt;="&amp;DATE(2024,5,1),AB2:AB65,"&lt;="&amp;DATE(2024,5,31))</f>
        <v>2</v>
      </c>
      <c r="O76" s="719">
        <f>COUNTIFS(AB2:AB65,"&gt;="&amp;DATE(2024,6,1),AB2:AB65,"&lt;="&amp;DATE(2024,6,31))</f>
        <v>3</v>
      </c>
      <c r="P76" s="719">
        <f>COUNTIFS(AB2:AB65,"&gt;="&amp;DATE(2024,7,1),AB2:AB65,"&lt;="&amp;DATE(2024,7,31))</f>
        <v>1</v>
      </c>
      <c r="Q76" s="719">
        <f>COUNTIFS(AB2:AB65,"&gt;="&amp;DATE(2024,8,1),AB2:AB65,"&lt;="&amp;DATE(2024,8,31))</f>
        <v>0</v>
      </c>
      <c r="R76" s="719">
        <f>COUNTIFS(AB2:AB65,"&gt;="&amp;DATE(2024,9,1),AB2:AB65,"&lt;="&amp;DATE(2024,9,31))</f>
        <v>0</v>
      </c>
      <c r="S76" s="719">
        <f>COUNTIFS(AB2:AB65,"&gt;="&amp;DATE(2024,10,1),AB2:AB65,"&lt;="&amp;DATE(2024,10,31))</f>
        <v>2</v>
      </c>
      <c r="T76" s="719">
        <f>COUNTIFS(AB2:AB65,"&gt;="&amp;DATE(2024,11,1),AB2:AB65,"&lt;="&amp;DATE(2024,11,31))</f>
        <v>0</v>
      </c>
      <c r="U76" s="719">
        <f>COUNTIFS(AB2:AB65,"&gt;="&amp;DATE(2024,12,1),AB2:AB65,"&lt;="&amp;DATE(2024,12,31))</f>
        <v>0</v>
      </c>
      <c r="Y76" s="257"/>
      <c r="Z76" s="125"/>
      <c r="AB76" s="660"/>
      <c r="AD76" s="257"/>
      <c r="AE76" s="660"/>
      <c r="AF76" s="257"/>
      <c r="AG76" s="660"/>
      <c r="AH76" s="125"/>
    </row>
    <row r="77" spans="1:52" ht="13.5" thickBot="1">
      <c r="A77" s="1905" t="s">
        <v>102</v>
      </c>
      <c r="B77" s="1911"/>
      <c r="C77" s="65">
        <f>COUNTIFS(J2:J65,A77,C2:C65,C75)</f>
        <v>0</v>
      </c>
      <c r="D77" s="65">
        <f>COUNTIFS(J2:J61,A77,C2:C61,D75)</f>
        <v>0</v>
      </c>
      <c r="E77" s="65">
        <f>COUNTIFS(J2:J65,A77,C2:C65,E75)</f>
        <v>0</v>
      </c>
      <c r="F77" s="173">
        <f>COUNTIFS(J2:J65,A77,C2:C65,F75)</f>
        <v>0</v>
      </c>
      <c r="G77" s="173">
        <f>COUNTIFS(J2:J65,A77,C2:C65,G75)</f>
        <v>0</v>
      </c>
      <c r="H77" s="66">
        <f>SUM(C77:G77)</f>
        <v>0</v>
      </c>
      <c r="J77" s="1460"/>
      <c r="K77" s="1147"/>
      <c r="L77" s="1147"/>
      <c r="M77" s="1147"/>
      <c r="N77" s="1147"/>
      <c r="O77" s="1147"/>
      <c r="P77" s="1147"/>
      <c r="Q77" s="1147"/>
      <c r="R77" s="1147"/>
      <c r="S77" s="1147"/>
      <c r="T77" s="1147"/>
      <c r="U77" s="1147"/>
      <c r="V77" s="137"/>
      <c r="AA77" s="125"/>
    </row>
    <row r="78" spans="1:52" ht="13.5" thickBot="1">
      <c r="A78" s="1907" t="s">
        <v>138</v>
      </c>
      <c r="B78" s="1912"/>
      <c r="C78" s="67">
        <f>COUNTIFS(J2:J65,"",C2:C65,C75)</f>
        <v>0</v>
      </c>
      <c r="D78" s="67">
        <f>COUNTIFS(J2:J65,"",C2:C65,D75)</f>
        <v>0</v>
      </c>
      <c r="E78" s="67">
        <f>COUNTIFS(J2:J65,"",C2:C65,E75)</f>
        <v>0</v>
      </c>
      <c r="F78" s="174">
        <f>COUNTIFS(J2:J65,"",C2:C65,F75)</f>
        <v>0</v>
      </c>
      <c r="G78" s="174">
        <f>COUNTIFS(J2:J65,"",C2:C65,G75)</f>
        <v>0</v>
      </c>
      <c r="H78" s="68">
        <f>SUM(C78:G78)</f>
        <v>0</v>
      </c>
      <c r="J78" s="1881" t="s">
        <v>17817</v>
      </c>
      <c r="K78" s="1882"/>
      <c r="L78" s="1882"/>
      <c r="M78" s="1882"/>
      <c r="N78" s="1882"/>
      <c r="O78" s="1882"/>
      <c r="P78" s="1882"/>
      <c r="Q78" s="1882"/>
      <c r="R78" s="1882"/>
      <c r="S78" s="1882"/>
      <c r="T78" s="1882"/>
      <c r="U78" s="1883"/>
      <c r="V78" s="137"/>
      <c r="AA78" s="125"/>
      <c r="AB78" s="1196"/>
    </row>
    <row r="79" spans="1:52" ht="13.5" thickBot="1">
      <c r="A79" s="1913" t="s">
        <v>210</v>
      </c>
      <c r="B79" s="1914"/>
      <c r="C79" s="69">
        <f>COUNTIFS(J2:J65,A79,C2:C65,C75)</f>
        <v>0</v>
      </c>
      <c r="D79" s="69">
        <f>COUNTIFS(J2:J65,A79,C2:C65,D75)</f>
        <v>0</v>
      </c>
      <c r="E79" s="69">
        <f>COUNTIFS(J2:J65,A79,C2:C65,E75)</f>
        <v>0</v>
      </c>
      <c r="F79" s="175">
        <f>COUNTIFS(J2:J65,A79,C2:C65,F75)</f>
        <v>0</v>
      </c>
      <c r="G79" s="175">
        <f>COUNTIFS(J2:J65,A79,C2:C65,G75)</f>
        <v>0</v>
      </c>
      <c r="H79" s="70">
        <f>SUM(C79:G79)</f>
        <v>0</v>
      </c>
      <c r="J79" s="1015" t="s">
        <v>17303</v>
      </c>
      <c r="K79" s="1015" t="s">
        <v>17304</v>
      </c>
      <c r="L79" s="1016" t="s">
        <v>17305</v>
      </c>
      <c r="M79" s="1017" t="s">
        <v>17306</v>
      </c>
      <c r="N79" s="1017" t="s">
        <v>17307</v>
      </c>
      <c r="O79" s="1017" t="s">
        <v>17308</v>
      </c>
      <c r="P79" s="1018" t="s">
        <v>17309</v>
      </c>
      <c r="Q79" s="1018" t="s">
        <v>17310</v>
      </c>
      <c r="R79" s="1018" t="s">
        <v>17311</v>
      </c>
      <c r="S79" s="1018" t="s">
        <v>17312</v>
      </c>
      <c r="T79" s="1018" t="s">
        <v>17313</v>
      </c>
      <c r="U79" s="1018" t="s">
        <v>17314</v>
      </c>
      <c r="W79" s="137"/>
      <c r="Z79" s="125"/>
      <c r="AB79" s="125"/>
      <c r="AC79" s="257"/>
      <c r="AE79" s="660"/>
      <c r="AF79" s="257"/>
      <c r="AG79" s="660"/>
      <c r="AH79" s="257"/>
      <c r="AI79" s="660"/>
    </row>
    <row r="80" spans="1:52" ht="13.5" thickBot="1">
      <c r="A80" s="1899" t="s">
        <v>141</v>
      </c>
      <c r="B80" s="1900"/>
      <c r="C80" s="71">
        <f t="shared" ref="C80:H80" si="7">SUM(C76:C79)</f>
        <v>21</v>
      </c>
      <c r="D80" s="71">
        <f t="shared" si="7"/>
        <v>20</v>
      </c>
      <c r="E80" s="71">
        <f t="shared" si="7"/>
        <v>19</v>
      </c>
      <c r="F80" s="71">
        <f t="shared" si="7"/>
        <v>2</v>
      </c>
      <c r="G80" s="71">
        <f t="shared" si="7"/>
        <v>2</v>
      </c>
      <c r="H80" s="73">
        <f t="shared" si="7"/>
        <v>64</v>
      </c>
      <c r="J80" s="1012">
        <f>COUNTIFS(AB2:AB65,"&gt;="&amp;DATE(2025,1,1),AB2:AB65,"&lt;="&amp;DATE(2025,1,31))</f>
        <v>0</v>
      </c>
      <c r="K80" s="719">
        <f>COUNTIFS(AB2:AB65,"&gt;="&amp;DATE(2025,2,1),AB2:AB65,"&lt;="&amp;DATE(2025,2,28))</f>
        <v>1</v>
      </c>
      <c r="L80" s="719">
        <f>COUNTIFS(AB6:AB69,"&gt;="&amp;DATE(2025,3,1),AB6:AB69,"&lt;="&amp;DATE(2025,3,31))</f>
        <v>0</v>
      </c>
      <c r="M80" s="719">
        <f>COUNTIFS(AB6:AB69,"&gt;="&amp;DATE(2025,4,1),AB6:AB69,"&lt;="&amp;DATE(2025,4,30))</f>
        <v>0</v>
      </c>
      <c r="N80" s="719">
        <f>COUNTIFS(AB6:AB69,"&gt;="&amp;DATE(2025,5,1),AB6:AB69,"&lt;="&amp;DATE(2025,5,31))</f>
        <v>0</v>
      </c>
      <c r="O80" s="719">
        <f>COUNTIFS(AB6:AB69,"&gt;="&amp;DATE(2025,6,1),AB6:AB69,"&lt;="&amp;DATE(2025,6,30))</f>
        <v>0</v>
      </c>
      <c r="P80" s="719">
        <f>COUNTIFS(AB6:AB69,"&gt;="&amp;DATE(2025,7,1),AB6:AB69,"&lt;="&amp;DATE(2025,7,31))</f>
        <v>0</v>
      </c>
      <c r="Q80" s="719">
        <f>COUNTIFS(AB6:AB69,"&gt;="&amp;DATE(2025,8,1),AB6:AB69,"&lt;="&amp;DATE(2025,8,31))</f>
        <v>0</v>
      </c>
      <c r="R80" s="719">
        <f>COUNTIFS(AB6:AB69,"&gt;="&amp;DATE(2025,9,1),AB6:AB69,"&lt;="&amp;DATE(2025,9,30))</f>
        <v>0</v>
      </c>
      <c r="S80" s="719">
        <f>COUNTIFS(AB6:AB69,"&gt;="&amp;DATE(2025,10,1),AB6:AB69,"&lt;="&amp;DATE(2025,10,31))</f>
        <v>0</v>
      </c>
      <c r="T80" s="719">
        <f>COUNTIFS(AB6:AB69,"&gt;="&amp;DATE(2025,11,1),AB6:AB69,"&lt;="&amp;DATE(2025,11,30))</f>
        <v>0</v>
      </c>
      <c r="U80" s="719">
        <f>COUNTIFS(AB6:AB69,"&gt;="&amp;DATE(2025,12,1),AB6:AB69,"&lt;="&amp;DATE(2025,12,31))</f>
        <v>0</v>
      </c>
      <c r="W80" s="137"/>
      <c r="Z80" s="125"/>
      <c r="AB80" s="125"/>
      <c r="AC80" s="257"/>
      <c r="AE80" s="660"/>
      <c r="AF80" s="257"/>
      <c r="AG80" s="660"/>
      <c r="AH80" s="257"/>
      <c r="AI80" s="660"/>
    </row>
    <row r="81" spans="1:35">
      <c r="A81" s="162"/>
      <c r="B81" s="162"/>
      <c r="C81" s="162"/>
      <c r="D81" s="162"/>
      <c r="E81" s="162"/>
      <c r="F81" s="162"/>
      <c r="G81" s="162"/>
      <c r="H81" s="162"/>
      <c r="S81" s="137"/>
      <c r="W81" s="137"/>
      <c r="Z81" s="125"/>
      <c r="AB81" s="125"/>
      <c r="AC81" s="257"/>
      <c r="AE81" s="660"/>
      <c r="AF81" s="257"/>
      <c r="AG81" s="660"/>
      <c r="AH81" s="257"/>
      <c r="AI81" s="660"/>
    </row>
    <row r="82" spans="1:35" ht="13.5" thickBot="1">
      <c r="A82" s="162"/>
      <c r="B82" s="162"/>
      <c r="C82" s="162"/>
      <c r="D82" s="162"/>
      <c r="E82" s="162"/>
      <c r="F82" s="162"/>
      <c r="G82" s="162"/>
      <c r="S82" s="137"/>
      <c r="X82" s="1728"/>
      <c r="Y82" s="660"/>
      <c r="Z82" s="660"/>
      <c r="AB82" s="660"/>
      <c r="AC82" s="257"/>
      <c r="AE82" s="660"/>
      <c r="AF82" s="257"/>
      <c r="AG82" s="660"/>
      <c r="AH82" s="257"/>
      <c r="AI82" s="660"/>
    </row>
    <row r="83" spans="1:35" ht="13.5" thickBot="1">
      <c r="A83" s="1901" t="s">
        <v>142</v>
      </c>
      <c r="B83" s="1902"/>
      <c r="C83" s="62" t="s">
        <v>90</v>
      </c>
      <c r="D83" s="62" t="s">
        <v>91</v>
      </c>
      <c r="E83" s="62" t="s">
        <v>89</v>
      </c>
      <c r="F83" s="172" t="s">
        <v>93</v>
      </c>
      <c r="G83" s="172" t="s">
        <v>213</v>
      </c>
      <c r="H83" s="49" t="s">
        <v>141</v>
      </c>
      <c r="J83" s="1890" t="s">
        <v>17437</v>
      </c>
      <c r="K83" s="1891"/>
      <c r="L83" s="1891"/>
      <c r="M83" s="1892"/>
      <c r="O83" s="1890" t="s">
        <v>17441</v>
      </c>
      <c r="P83" s="1891"/>
      <c r="Q83" s="1891"/>
      <c r="R83" s="1892"/>
      <c r="T83" s="137"/>
      <c r="X83" s="1728"/>
      <c r="Y83" s="660"/>
      <c r="Z83" s="660"/>
      <c r="AB83" s="660"/>
      <c r="AC83" s="257"/>
      <c r="AE83" s="660"/>
      <c r="AF83" s="257"/>
      <c r="AG83" s="660"/>
      <c r="AH83" s="257"/>
      <c r="AI83" s="660"/>
    </row>
    <row r="84" spans="1:35">
      <c r="A84" s="1903" t="s">
        <v>258</v>
      </c>
      <c r="B84" s="1904"/>
      <c r="C84" s="75">
        <f>AVERAGEIFS(W2:W65,J2:J65,A84,C2:C65,C83)</f>
        <v>2789.8982091923726</v>
      </c>
      <c r="D84" s="75">
        <f>AVERAGEIFS(W2:W65,J2:J65,A84,C2:C65,D83)</f>
        <v>2737.3213595816514</v>
      </c>
      <c r="E84" s="75">
        <f>AVERAGEIFS(W2:W65,J2:J65,A84,C2:C65,E83)</f>
        <v>2865.8147180297224</v>
      </c>
      <c r="F84" s="176">
        <f>AVERAGEIFS(W2:W65,J2:J65,A84,C2:C65,F83)</f>
        <v>2929.6474161638553</v>
      </c>
      <c r="G84" s="176">
        <f>AVERAGEIFS(W2:W65,J2:J65,A84,C2:C65,G83)</f>
        <v>2898.8159594325998</v>
      </c>
      <c r="H84" s="169">
        <f>AVERAGEIF(J2:J65,A84,W2:W65)</f>
        <v>2803.7764996629762</v>
      </c>
      <c r="J84" s="1010"/>
      <c r="K84" s="1011" t="s">
        <v>17438</v>
      </c>
      <c r="L84" s="1011">
        <v>2024</v>
      </c>
      <c r="M84" s="1011" t="s">
        <v>17444</v>
      </c>
      <c r="O84" s="1010"/>
      <c r="P84" s="1011" t="s">
        <v>17438</v>
      </c>
      <c r="Q84" s="1011">
        <v>2024</v>
      </c>
      <c r="R84" s="1013" t="s">
        <v>17444</v>
      </c>
      <c r="W84" s="257"/>
      <c r="X84" s="660"/>
      <c r="Y84" s="660"/>
      <c r="AA84" s="660"/>
    </row>
    <row r="85" spans="1:35">
      <c r="A85" s="1905" t="s">
        <v>102</v>
      </c>
      <c r="B85" s="1906"/>
      <c r="C85" s="77" t="e">
        <f>AVERAGEIFS(X2:X65,J2:J65,A85,C2:C65,C83)</f>
        <v>#DIV/0!</v>
      </c>
      <c r="D85" s="77" t="e">
        <f>AVERAGEIFS(X2:X65,J2:J65,A85,C2:C65,D83)</f>
        <v>#DIV/0!</v>
      </c>
      <c r="E85" s="77" t="e">
        <f>AVERAGEIFS(X2:X65,J2:J65,A85,C2:C65,E83)</f>
        <v>#DIV/0!</v>
      </c>
      <c r="F85" s="173" t="e">
        <f>AVERAGEIFS(X2:X65,J2:J65,A85,C2:C65,F83)</f>
        <v>#DIV/0!</v>
      </c>
      <c r="G85" s="173" t="e">
        <f>AVERAGEIFS(X2:X65,J2:J65,A85,C2:C65,G83)</f>
        <v>#DIV/0!</v>
      </c>
      <c r="H85" s="177" t="e">
        <f>AVERAGEIF(J2:J65,A85,X2:X65)</f>
        <v>#DIV/0!</v>
      </c>
      <c r="J85" s="31" t="s">
        <v>17439</v>
      </c>
      <c r="K85" s="129">
        <f>COUNTIFS(J2:J65,J3,AI2:AI65,J85)</f>
        <v>43</v>
      </c>
      <c r="L85" s="129">
        <f>COUNTIFS(AB2:AB65,"&gt;="&amp;DATE(2024,1,1),AB2:AB65,"&lt;="&amp;DATE(2024,12,31),AI2:AI65,J85)</f>
        <v>43</v>
      </c>
      <c r="M85" s="343">
        <f>K85/(+K85+K86+K87)</f>
        <v>0.671875</v>
      </c>
      <c r="O85" s="34" t="s">
        <v>265</v>
      </c>
      <c r="P85" s="129">
        <f>COUNTIFS($J$2:$J$65,$J$3,$AP$2:$AP$65,O85)</f>
        <v>50</v>
      </c>
      <c r="Q85" s="129">
        <f>COUNTIFS(AB2:AB65,"&gt;="&amp;DATE(2024,1,1),AB2:AB65,"&lt;="&amp;DATE(2024,12,31),$AP$2:$AP$65,O85)</f>
        <v>49</v>
      </c>
      <c r="R85" s="1014">
        <f>P85/(+P85+P86+P87)</f>
        <v>0.80645161290322576</v>
      </c>
      <c r="W85" s="257"/>
      <c r="X85" s="660"/>
      <c r="Y85" s="660"/>
      <c r="AA85" s="660"/>
    </row>
    <row r="86" spans="1:35">
      <c r="A86" s="1909" t="s">
        <v>138</v>
      </c>
      <c r="B86" s="1910"/>
      <c r="C86" s="178" t="e">
        <f>AVERAGEIFS(X2:X65,J2:J65,"",C2:C65,C83)</f>
        <v>#DIV/0!</v>
      </c>
      <c r="D86" s="178" t="e">
        <f>AVERAGEIFS(X2:X65,J2:J65,"",C2:C65,D83)</f>
        <v>#DIV/0!</v>
      </c>
      <c r="E86" s="178" t="e">
        <f>AVERAGEIFS(X2:X65,J2:J65,"",C2:C65,E83)</f>
        <v>#DIV/0!</v>
      </c>
      <c r="F86" s="179" t="e">
        <f>AVERAGEIFS(X2:X65,J2:J65,"",C2:C65,F83)</f>
        <v>#DIV/0!</v>
      </c>
      <c r="G86" s="179" t="e">
        <f>AVERAGEIFS(X2:X65,J2:J65,"",C2:C65,G83)</f>
        <v>#DIV/0!</v>
      </c>
      <c r="H86" s="180" t="e">
        <f>AVERAGEIF(J2:J65,"",X2:X65)</f>
        <v>#DIV/0!</v>
      </c>
      <c r="J86" s="31" t="s">
        <v>150</v>
      </c>
      <c r="K86" s="129">
        <f>COUNTIFS(J2:J65,J3,AI2:AI65,J86)</f>
        <v>11</v>
      </c>
      <c r="L86" s="129">
        <f>COUNTIFS(AB2:AB65,"&gt;="&amp;DATE(2024,1,1),AB2:AB65,"&lt;="&amp;DATE(2024,12,31),AI2:AI65,J86)</f>
        <v>10</v>
      </c>
      <c r="M86" s="343">
        <f>K86/(+K85+K86+K87)</f>
        <v>0.171875</v>
      </c>
      <c r="O86" s="34" t="s">
        <v>517</v>
      </c>
      <c r="P86" s="129">
        <f>COUNTIFS($J$2:$J$65,$J$3,$AP$2:$AP$65,O86)</f>
        <v>11</v>
      </c>
      <c r="Q86" s="129">
        <f>COUNTIFS(AB2:AB65,"&gt;="&amp;DATE(2024,1,1),AB2:AB65,"&lt;="&amp;DATE(2024,12,31),$AP$2:$AP$65,O86)</f>
        <v>11</v>
      </c>
      <c r="R86" s="1014">
        <f>P86/(+P85+P86+P87)</f>
        <v>0.17741935483870969</v>
      </c>
      <c r="W86" s="257"/>
      <c r="X86" s="660"/>
      <c r="Y86" s="660"/>
      <c r="AA86" s="660"/>
      <c r="AD86" s="125"/>
      <c r="AE86" s="125"/>
      <c r="AF86" s="125"/>
      <c r="AG86" s="125"/>
      <c r="AH86" s="125"/>
    </row>
    <row r="87" spans="1:35" ht="13.5" thickBot="1">
      <c r="A87" s="1897" t="s">
        <v>210</v>
      </c>
      <c r="B87" s="1898"/>
      <c r="C87" s="82" t="e">
        <f>AVERAGEIFS(W2:W65,J2:J65,A87,C2:C65,C83)</f>
        <v>#DIV/0!</v>
      </c>
      <c r="D87" s="82" t="e">
        <f>AVERAGEIFS(W2:W65,J2:J65,A87,C2:C65,D83)</f>
        <v>#DIV/0!</v>
      </c>
      <c r="E87" s="82" t="e">
        <f>AVERAGEIFS(W2:W65,J2:J65,A87,C2:C65,E83)</f>
        <v>#DIV/0!</v>
      </c>
      <c r="F87" s="181" t="e">
        <f>AVERAGEIFS(W2:W65,J2:J65,A87,C2:C65,F83)</f>
        <v>#DIV/0!</v>
      </c>
      <c r="G87" s="181" t="e">
        <f>AVERAGEIFS(W2:W65,J2:J65,A87,C2:C65,G83)</f>
        <v>#DIV/0!</v>
      </c>
      <c r="H87" s="182" t="e">
        <f>AVERAGEIF(J2:J65,A87,W2:W65)</f>
        <v>#DIV/0!</v>
      </c>
      <c r="J87" s="665" t="s">
        <v>17440</v>
      </c>
      <c r="K87" s="129">
        <f>COUNTIFS(J2:J65,J3,AI2:AI65,J87)</f>
        <v>10</v>
      </c>
      <c r="L87" s="129">
        <f>COUNTIFS(AB2:AB65,"&gt;="&amp;DATE(2024,1,1),AB2:AB65,"&lt;="&amp;DATE(2024,12,31),AI2:AI65,J87)</f>
        <v>10</v>
      </c>
      <c r="M87" s="343">
        <f>K87/(+K85+K86+K87)</f>
        <v>0.15625</v>
      </c>
      <c r="O87" s="34" t="s">
        <v>514</v>
      </c>
      <c r="P87" s="129">
        <f>COUNTIFS($J$2:$J$65,$J$3,$AP$2:$AP$65,O87)</f>
        <v>1</v>
      </c>
      <c r="Q87" s="129">
        <f>COUNTIFS(AB2:AB65,"&gt;="&amp;DATE(2024,1,1),AB2:AB65,"&lt;="&amp;DATE(2024,12,31),$AP$2:$AP$65,O87)</f>
        <v>1</v>
      </c>
      <c r="R87" s="1014">
        <f>P87/(+P85+P86+P87)</f>
        <v>1.6129032258064516E-2</v>
      </c>
      <c r="W87" s="257"/>
      <c r="X87" s="660"/>
      <c r="Y87" s="660"/>
      <c r="AA87" s="660"/>
      <c r="AD87" s="125"/>
      <c r="AE87" s="125"/>
      <c r="AF87" s="125"/>
      <c r="AG87" s="125"/>
      <c r="AH87" s="125"/>
    </row>
    <row r="88" spans="1:35" ht="13.5" thickBot="1">
      <c r="O88" s="34" t="s">
        <v>17421</v>
      </c>
      <c r="P88" s="129">
        <f>COUNTIFS($J$2:$J$65,$J$3,$AP$2:$AP$65,O88)</f>
        <v>2</v>
      </c>
      <c r="Q88" s="129">
        <f>COUNTIFS(AB3:AB66,"&gt;="&amp;DATE(2024,1,1),AB3:AB66,"&lt;="&amp;DATE(2024,12,31),$AP$2:$AP$65,O88)</f>
        <v>2</v>
      </c>
      <c r="R88" s="1014">
        <f>P88/(+P86+P87+P88)</f>
        <v>0.14285714285714285</v>
      </c>
    </row>
    <row r="89" spans="1:35">
      <c r="A89" s="1901" t="s">
        <v>192</v>
      </c>
      <c r="B89" s="1902"/>
      <c r="C89" s="62" t="s">
        <v>90</v>
      </c>
      <c r="D89" s="62" t="s">
        <v>91</v>
      </c>
      <c r="E89" s="62" t="s">
        <v>89</v>
      </c>
      <c r="F89" s="172" t="s">
        <v>93</v>
      </c>
      <c r="G89" s="172" t="s">
        <v>213</v>
      </c>
      <c r="H89" s="49" t="s">
        <v>141</v>
      </c>
    </row>
    <row r="90" spans="1:35">
      <c r="A90" s="1903" t="s">
        <v>258</v>
      </c>
      <c r="B90" s="1904"/>
      <c r="C90" s="75">
        <f>AVERAGEIFS(R2:R65,J2:J65,A90,C2:C65,C89)</f>
        <v>188217.61904761905</v>
      </c>
      <c r="D90" s="75">
        <f>AVERAGEIFS(R2:R65,J2:J65,A90,C2:C65,D89)</f>
        <v>272772.5</v>
      </c>
      <c r="E90" s="75">
        <f>AVERAGEIFS(R2:R65,J2:J65,A90,C2:C65,E89)</f>
        <v>376320</v>
      </c>
      <c r="F90" s="247">
        <f>AVERAGEIFS(R2:R65,J2:J65,A90,C2:C65,F89)</f>
        <v>571000</v>
      </c>
      <c r="G90" s="247">
        <f>AVERAGEIFS(R2:R65,J2:J65,A90,C2:C65,G89)</f>
        <v>738120</v>
      </c>
      <c r="H90" s="169">
        <f>AVERAGEIF(J2:J65,A90,R2:R65)</f>
        <v>299630.3125</v>
      </c>
    </row>
    <row r="91" spans="1:35">
      <c r="A91" s="1905" t="s">
        <v>102</v>
      </c>
      <c r="B91" s="1906"/>
      <c r="C91" s="77" t="e">
        <f>AVERAGEIFS(T2:T65,J2:J65,A91,C2:C65,C89)</f>
        <v>#DIV/0!</v>
      </c>
      <c r="D91" s="77" t="e">
        <f>AVERAGEIFS(T2:T65,J2:J65,A91,C2:C65,D89)</f>
        <v>#DIV/0!</v>
      </c>
      <c r="E91" s="77" t="e">
        <f>AVERAGEIFS(T2:T65,J2:J65,A91,C2:C65,E89)</f>
        <v>#DIV/0!</v>
      </c>
      <c r="F91" s="248" t="e">
        <f>AVERAGEIFS(T2:T65,J2:J65,A91,C2:C65,F89)</f>
        <v>#DIV/0!</v>
      </c>
      <c r="G91" s="248" t="e">
        <f>AVERAGEIFS(T2:T65,J2:J65,A91,C2:C65,G89)</f>
        <v>#DIV/0!</v>
      </c>
      <c r="H91" s="177" t="e">
        <f>AVERAGEIF(J2:J65,A91,R2:R65)</f>
        <v>#DIV/0!</v>
      </c>
    </row>
    <row r="92" spans="1:35" ht="13.5" thickBot="1">
      <c r="A92" s="1907" t="s">
        <v>138</v>
      </c>
      <c r="B92" s="1908"/>
      <c r="C92" s="183" t="e">
        <f>AVERAGEIFS(T2:T65,J2:J65,"",C2:C65,C89)</f>
        <v>#DIV/0!</v>
      </c>
      <c r="D92" s="183" t="e">
        <f>AVERAGEIFS(T2:T65,J2:J65,"",C2:C65,D89)</f>
        <v>#DIV/0!</v>
      </c>
      <c r="E92" s="183" t="e">
        <f>AVERAGEIFS(S2:S65,J2:J65,"",C2:C65,E89)</f>
        <v>#DIV/0!</v>
      </c>
      <c r="F92" s="249" t="e">
        <f>AVERAGEIFS(T2:T65,J2:J65,"",C2:C65,F89)</f>
        <v>#DIV/0!</v>
      </c>
      <c r="G92" s="249" t="e">
        <f>AVERAGEIFS(T2:T65,J2:J65,"",C2:C65,G89)</f>
        <v>#DIV/0!</v>
      </c>
      <c r="H92" s="184" t="e">
        <f>AVERAGEIF(J2:J65,"",T2:T65)</f>
        <v>#DIV/0!</v>
      </c>
    </row>
    <row r="93" spans="1:35" ht="13.5" thickBot="1">
      <c r="A93" s="1897" t="s">
        <v>210</v>
      </c>
      <c r="B93" s="1898"/>
      <c r="C93" s="82" t="e">
        <f>AVERAGEIFS(R2:R65,J2:J65,A93,C2:C65,C89)</f>
        <v>#DIV/0!</v>
      </c>
      <c r="D93" s="82" t="e">
        <f>AVERAGEIFS(R2:R65,J2:J65,A93,C2:C65,D89)</f>
        <v>#DIV/0!</v>
      </c>
      <c r="E93" s="82" t="e">
        <f>AVERAGEIFS(R2:R65,J2:J65,A93,C2:C65,E89)</f>
        <v>#DIV/0!</v>
      </c>
      <c r="F93" s="181" t="e">
        <f>AVERAGEIFS(R2:R65,J2:J65,A93,C2:C65,F89)</f>
        <v>#DIV/0!</v>
      </c>
      <c r="G93" s="181" t="e">
        <f>AVERAGEIFS(R2:R65,J2:J65,A93,C2:C65,G89)</f>
        <v>#DIV/0!</v>
      </c>
      <c r="H93" s="182" t="e">
        <f>AVERAGEIF(J2:J65,A93,R2:R65)</f>
        <v>#DIV/0!</v>
      </c>
    </row>
    <row r="94" spans="1:35" ht="13.5" thickBot="1"/>
    <row r="95" spans="1:35">
      <c r="A95" s="1901" t="s">
        <v>234</v>
      </c>
      <c r="B95" s="1902"/>
      <c r="C95" s="62" t="s">
        <v>90</v>
      </c>
      <c r="D95" s="62" t="s">
        <v>91</v>
      </c>
      <c r="E95" s="62" t="s">
        <v>89</v>
      </c>
      <c r="F95" s="172" t="s">
        <v>93</v>
      </c>
      <c r="G95" s="172" t="s">
        <v>213</v>
      </c>
      <c r="H95" s="49" t="s">
        <v>141</v>
      </c>
      <c r="L95" s="125"/>
      <c r="M95" s="1196"/>
      <c r="N95" s="1196"/>
    </row>
    <row r="96" spans="1:35">
      <c r="A96" s="1903" t="s">
        <v>258</v>
      </c>
      <c r="B96" s="1904"/>
      <c r="C96" s="236">
        <f>AVERAGEIFS(I2:I65,C2:C65,C95,J2:J65,A96)</f>
        <v>67.577757142857152</v>
      </c>
      <c r="D96" s="236">
        <f>AVERAGEIFS(I2:I65,C2:C65,D95,J2:J65,A96)</f>
        <v>99.580540000000013</v>
      </c>
      <c r="E96" s="236">
        <f>AVERAGEIFS(I2:I65,C2:C65,E95,J2:J65,A96)</f>
        <v>132.23436842105264</v>
      </c>
      <c r="F96" s="250">
        <f>AVERAGEIFS(I2:I65,C2:C65,F95,J2:J65,A96)</f>
        <v>194.904</v>
      </c>
      <c r="G96" s="250">
        <f>AVERAGEIFS(I2:I65,C2:C65,G95,J2:J65,A96)</f>
        <v>254.62810000000002</v>
      </c>
      <c r="H96" s="242">
        <f>AVERAGEIF(J2:J65,A96,I2:I65)</f>
        <v>106.59782656249996</v>
      </c>
      <c r="L96" s="137"/>
      <c r="M96" s="137"/>
      <c r="N96" s="137"/>
    </row>
    <row r="97" spans="1:15">
      <c r="A97" s="1905" t="s">
        <v>102</v>
      </c>
      <c r="B97" s="1906"/>
      <c r="C97" s="237" t="e">
        <f>AVERAGEIFS(I2:I65,C2:C65,C95,J2:J65,A97)</f>
        <v>#DIV/0!</v>
      </c>
      <c r="D97" s="237" t="e">
        <f>AVERAGEIFS(I2:I65,C2:C65,D95,J2:J65,A97)</f>
        <v>#DIV/0!</v>
      </c>
      <c r="E97" s="237" t="e">
        <f>AVERAGEIFS(I2:I65,C2:C65,E95,J2:J65,A97)</f>
        <v>#DIV/0!</v>
      </c>
      <c r="F97" s="251" t="e">
        <f>AVERAGEIFS(I2:I65,C2:C65,F95,J2:J65,A97)</f>
        <v>#DIV/0!</v>
      </c>
      <c r="G97" s="251" t="e">
        <f>AVERAGEIFS(I2:I65,C2:C65,G95,J2:J65,A97)</f>
        <v>#DIV/0!</v>
      </c>
      <c r="H97" s="243" t="e">
        <f>AVERAGEIF(J2:J65,A97,I2:I65)</f>
        <v>#DIV/0!</v>
      </c>
      <c r="L97" s="137"/>
      <c r="M97" s="137"/>
      <c r="N97" s="137"/>
    </row>
    <row r="98" spans="1:15" ht="13.5" thickBot="1">
      <c r="A98" s="1907" t="s">
        <v>138</v>
      </c>
      <c r="B98" s="1908"/>
      <c r="C98" s="185" t="e">
        <f>AVERAGEIFS(I2:I65,C2:C65,C95,J2:J65,"")</f>
        <v>#DIV/0!</v>
      </c>
      <c r="D98" s="185" t="e">
        <f>AVERAGEIFS(I2:I65,C2:C65,D95,J2:J65,"")</f>
        <v>#DIV/0!</v>
      </c>
      <c r="E98" s="185" t="e">
        <f>AVERAGEIFS(I2:I65,C2:C65,E95,J2:J65,"")</f>
        <v>#DIV/0!</v>
      </c>
      <c r="F98" s="252" t="e">
        <f>AVERAGEIFS(I2:I65,C2:C65,F95,J2:J65,"")</f>
        <v>#DIV/0!</v>
      </c>
      <c r="G98" s="252" t="e">
        <f>AVERAGEIFS(I2:I65,C2:C65,G95,J2:J65,"")</f>
        <v>#DIV/0!</v>
      </c>
      <c r="H98" s="246" t="e">
        <f>AVERAGEIF(J2:J65,"",I2:I65)</f>
        <v>#DIV/0!</v>
      </c>
      <c r="L98" s="137"/>
      <c r="M98" s="137"/>
      <c r="N98" s="137"/>
    </row>
    <row r="99" spans="1:15" ht="13.5" thickBot="1">
      <c r="A99" s="1897" t="s">
        <v>210</v>
      </c>
      <c r="B99" s="1898"/>
      <c r="C99" s="253" t="e">
        <f>AVERAGEIFS(I2:I65,C2:C65,C95,J2:J65,A99)</f>
        <v>#DIV/0!</v>
      </c>
      <c r="D99" s="253" t="e">
        <f>AVERAGEIFS(I2:I65,C2:C65,D95,J2:J65,A99)</f>
        <v>#DIV/0!</v>
      </c>
      <c r="E99" s="253" t="e">
        <f>AVERAGEIFS(I2:I65,C2:C65,E95,J2:J65,A99)</f>
        <v>#DIV/0!</v>
      </c>
      <c r="F99" s="254" t="e">
        <f>AVERAGEIFS(I2:I65,C2:C65,F95,J2:J65,A99)</f>
        <v>#DIV/0!</v>
      </c>
      <c r="G99" s="254" t="e">
        <f>AVERAGEIFS(I2:I65,C2:C65,G95,J2:J65,A99)</f>
        <v>#DIV/0!</v>
      </c>
      <c r="H99" s="255" t="e">
        <f>AVERAGEIF(J2:J65,A99,I2:I65)</f>
        <v>#DIV/0!</v>
      </c>
      <c r="L99" s="137"/>
      <c r="M99" s="137"/>
      <c r="N99" s="137"/>
    </row>
    <row r="100" spans="1:15">
      <c r="L100" s="125"/>
      <c r="M100" s="125"/>
      <c r="N100" s="125"/>
    </row>
    <row r="101" spans="1:15">
      <c r="C101" s="137" t="e">
        <f>1.5*C99</f>
        <v>#DIV/0!</v>
      </c>
      <c r="D101" s="137" t="e">
        <f>1.5*D99</f>
        <v>#DIV/0!</v>
      </c>
      <c r="E101" s="137" t="e">
        <f>1.5*E99</f>
        <v>#DIV/0!</v>
      </c>
      <c r="F101" s="137" t="e">
        <f>1.5*F99</f>
        <v>#DIV/0!</v>
      </c>
      <c r="G101" s="137" t="e">
        <f>1.5*G99</f>
        <v>#DIV/0!</v>
      </c>
      <c r="L101" s="125"/>
      <c r="M101" s="1197"/>
      <c r="N101" s="1197"/>
      <c r="O101" s="304"/>
    </row>
  </sheetData>
  <sheetProtection selectLockedCells="1" selectUnlockedCells="1"/>
  <autoFilter ref="A1:AY66" xr:uid="{327EF308-1812-45FB-BF2D-D3DCAD934411}"/>
  <mergeCells count="32">
    <mergeCell ref="J78:U78"/>
    <mergeCell ref="J74:U74"/>
    <mergeCell ref="G68:H68"/>
    <mergeCell ref="A69:B69"/>
    <mergeCell ref="A70:B70"/>
    <mergeCell ref="A71:B71"/>
    <mergeCell ref="A72:B72"/>
    <mergeCell ref="A68:B68"/>
    <mergeCell ref="A90:B90"/>
    <mergeCell ref="A92:B92"/>
    <mergeCell ref="A83:B83"/>
    <mergeCell ref="A91:B91"/>
    <mergeCell ref="A76:B76"/>
    <mergeCell ref="A77:B77"/>
    <mergeCell ref="A78:B78"/>
    <mergeCell ref="A79:B79"/>
    <mergeCell ref="J83:M83"/>
    <mergeCell ref="O83:R83"/>
    <mergeCell ref="A75:B75"/>
    <mergeCell ref="A73:B73"/>
    <mergeCell ref="A99:B99"/>
    <mergeCell ref="A80:B80"/>
    <mergeCell ref="A95:B95"/>
    <mergeCell ref="A96:B96"/>
    <mergeCell ref="A97:B97"/>
    <mergeCell ref="A98:B98"/>
    <mergeCell ref="A93:B93"/>
    <mergeCell ref="A84:B84"/>
    <mergeCell ref="A85:B85"/>
    <mergeCell ref="A86:B86"/>
    <mergeCell ref="A87:B87"/>
    <mergeCell ref="A89:B89"/>
  </mergeCells>
  <phoneticPr fontId="11" type="noConversion"/>
  <conditionalFormatting sqref="Z1:Z74 Y75:Y76 Z77:Z78 AA79:AA81 Z88:Z1048576">
    <cfRule type="cellIs" dxfId="17" priority="1" operator="lessThan">
      <formula>TODAY()-15</formula>
    </cfRule>
  </conditionalFormatting>
  <hyperlinks>
    <hyperlink ref="AT2" r:id="rId1" xr:uid="{0643DC8E-1043-49D9-8F07-C77198EFDC73}"/>
    <hyperlink ref="AT5" r:id="rId2" xr:uid="{3704B40A-208B-49DA-8D14-C25DE7C2BC42}"/>
    <hyperlink ref="AT6" r:id="rId3" xr:uid="{72C7DBB7-7B8F-4C03-8715-7D1BF2CFAD78}"/>
    <hyperlink ref="AT7" r:id="rId4" xr:uid="{5DACD243-B5DF-4F89-BBEC-3B30D1844134}"/>
    <hyperlink ref="AT8" r:id="rId5" xr:uid="{0CB5AD16-1388-40D3-9611-7F495E92A392}"/>
    <hyperlink ref="AT9" r:id="rId6" xr:uid="{154B2FBA-175E-421D-B017-B737CCFC2112}"/>
    <hyperlink ref="AT10" r:id="rId7" xr:uid="{097C09AD-9B3E-4971-BFD9-32C8AAD2CFA3}"/>
    <hyperlink ref="AT11" r:id="rId8" xr:uid="{A6A575B1-EFF5-47B1-AB0E-453DBC6518E9}"/>
    <hyperlink ref="AT13" r:id="rId9" xr:uid="{52238B98-4BEC-4FAE-8F10-A58A12DB8375}"/>
    <hyperlink ref="AT14" r:id="rId10" xr:uid="{596DFC13-8757-48E3-ABFC-3D4EFDD86E3C}"/>
    <hyperlink ref="AT15" r:id="rId11" xr:uid="{E1E130DB-44D4-42C4-A10A-5AD7FE0AAE81}"/>
    <hyperlink ref="AT16" r:id="rId12" xr:uid="{22035794-C3D8-41AA-9189-FB0F5DADC7B6}"/>
    <hyperlink ref="AT17" r:id="rId13" xr:uid="{7218130A-532B-4DBB-80FE-97CA70765F90}"/>
    <hyperlink ref="AT18" r:id="rId14" xr:uid="{9F4E58C7-FAC0-424B-9ACF-B870C3AA0CAB}"/>
    <hyperlink ref="AT19" r:id="rId15" xr:uid="{C52AACE1-A4BE-4BE1-A292-A5CC4B7207AC}"/>
    <hyperlink ref="AT20" r:id="rId16" xr:uid="{C4469ABE-E43E-442D-9188-521BD5BC3F62}"/>
    <hyperlink ref="AT21" r:id="rId17" xr:uid="{BC1BE376-F915-41AF-AF3B-431A8579565B}"/>
    <hyperlink ref="AT22" r:id="rId18" xr:uid="{4C1E93A1-9F28-46EA-9D95-1B7663CA50ED}"/>
    <hyperlink ref="AT23" r:id="rId19" xr:uid="{C6B1D487-32FB-4680-B7C3-5D90FB5550CA}"/>
    <hyperlink ref="AT24" r:id="rId20" xr:uid="{F81B09A9-B249-40B3-945F-7C6104964C50}"/>
    <hyperlink ref="AT25" r:id="rId21" xr:uid="{DCEBB0E8-E7D8-4691-ABE0-01DE64F4EA25}"/>
    <hyperlink ref="AT26" r:id="rId22" xr:uid="{6AC9F3E7-6C8C-4175-8670-E8B3ED15367A}"/>
    <hyperlink ref="AT27" r:id="rId23" xr:uid="{3DDAFA7C-E847-402C-A3F3-EEF505E0BC8C}"/>
    <hyperlink ref="AT28" r:id="rId24" xr:uid="{BB7DB953-2F0D-4281-B5A2-D973777AFA0E}"/>
    <hyperlink ref="AT29" r:id="rId25" xr:uid="{ED326538-0EE4-40B2-A29B-4C9A3E854DBB}"/>
    <hyperlink ref="AT30" r:id="rId26" xr:uid="{E9E7D57F-12C2-4D19-923C-99D63841C9FB}"/>
    <hyperlink ref="AT31" r:id="rId27" xr:uid="{18587571-2205-4C6D-AE51-DF462F6DD7D4}"/>
    <hyperlink ref="AT32" r:id="rId28" xr:uid="{0BA51DA3-DF5E-416B-A8B8-D88957A4AAA1}"/>
    <hyperlink ref="AT33" r:id="rId29" xr:uid="{868D0BED-DE66-42BB-86B0-CB4F6405ABCD}"/>
    <hyperlink ref="AT34" r:id="rId30" xr:uid="{C8A4B4D2-15A8-4EC0-AD30-4C6E99C410BA}"/>
    <hyperlink ref="AT35" r:id="rId31" xr:uid="{B2DDE51E-9572-4018-AE0F-36312CCC7522}"/>
    <hyperlink ref="AT36" r:id="rId32" xr:uid="{71C67531-B9DE-4B3A-A5A6-10DEF68F6DC7}"/>
    <hyperlink ref="AT42" r:id="rId33" xr:uid="{CB72727E-9A9F-4548-A1FF-4D4F577EFDDB}"/>
    <hyperlink ref="AT43" r:id="rId34" xr:uid="{39A42778-3E6B-4515-9234-7D860E0E3D05}"/>
    <hyperlink ref="AT44" r:id="rId35" xr:uid="{84ADD643-B7EE-4A19-A223-1022CE83F85F}"/>
    <hyperlink ref="AT45" r:id="rId36" xr:uid="{956D6098-BCC3-45D8-8481-6AC68C8B213A}"/>
    <hyperlink ref="AT46" r:id="rId37" xr:uid="{1A8E3315-289A-4CE6-B163-1852D3FD2409}"/>
    <hyperlink ref="AT47" r:id="rId38" xr:uid="{0D270ABE-3F78-4FC1-A40C-0DF117A59DA6}"/>
    <hyperlink ref="AT48" r:id="rId39" xr:uid="{2F7F3710-2FCB-46A2-80BB-CB7500D20F31}"/>
    <hyperlink ref="AT49" r:id="rId40" xr:uid="{C6BF6353-D113-490D-8456-1730E6754D9C}"/>
    <hyperlink ref="AT50" r:id="rId41" xr:uid="{82C5BCDC-1FDE-4611-BAFA-2228E715A35D}"/>
    <hyperlink ref="AT51" r:id="rId42" xr:uid="{64A2A5D8-5D67-4781-AEE5-03D3441C721E}"/>
    <hyperlink ref="AT65" r:id="rId43" xr:uid="{7C137FBF-49C5-447C-B351-EE603CF5A1C5}"/>
    <hyperlink ref="AT64" r:id="rId44" xr:uid="{745214BE-FFF0-4EC9-A379-3E6B5132DA9C}"/>
    <hyperlink ref="AT63" r:id="rId45" xr:uid="{F9BD2966-2F82-456C-B0AB-3A1287CF3496}"/>
    <hyperlink ref="AT62" r:id="rId46" xr:uid="{FAF5159E-3131-4609-93A8-5A43863F8D61}"/>
    <hyperlink ref="AT59" r:id="rId47" xr:uid="{36DE40E8-A6D4-4DD0-8F97-05DA42952F6B}"/>
    <hyperlink ref="AT53" r:id="rId48" xr:uid="{CCD3D271-6F60-436A-95BB-56D4EB7DEA41}"/>
    <hyperlink ref="AT54" r:id="rId49" xr:uid="{37C325F7-B1C0-4D6F-8407-54EFC1BD12A5}"/>
    <hyperlink ref="AT55" r:id="rId50" xr:uid="{489BFDCC-9236-4F18-91A0-F54B15810628}"/>
    <hyperlink ref="AT56" r:id="rId51" xr:uid="{9A2CFBEA-D9AB-4EF6-912F-0457AA162D90}"/>
  </hyperlinks>
  <pageMargins left="0.25" right="0.25" top="0.75" bottom="0.75" header="0.3" footer="0.3"/>
  <pageSetup paperSize="8" scale="18" orientation="portrait" r:id="rId52"/>
  <legacyDrawing r:id="rId5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B5A6-3AE7-42C4-8A2E-5B528E215524}">
  <sheetPr>
    <tabColor theme="9" tint="-0.249977111117893"/>
  </sheetPr>
  <dimension ref="A1:AZ124"/>
  <sheetViews>
    <sheetView topLeftCell="A47" zoomScaleNormal="100" workbookViewId="0">
      <pane xSplit="3" topLeftCell="AB1" activePane="topRight" state="frozen"/>
      <selection activeCell="A38" sqref="A38"/>
      <selection pane="topRight" activeCell="A22" sqref="A22:XFD22"/>
    </sheetView>
  </sheetViews>
  <sheetFormatPr defaultColWidth="9.140625" defaultRowHeight="15"/>
  <cols>
    <col min="1" max="1" width="9.140625" style="331"/>
    <col min="2" max="2" width="7.140625" style="331" bestFit="1" customWidth="1"/>
    <col min="3" max="3" width="9.140625" style="331"/>
    <col min="4" max="4" width="11.7109375" style="331" bestFit="1" customWidth="1"/>
    <col min="5" max="5" width="9.140625" style="331" customWidth="1"/>
    <col min="6" max="6" width="8.85546875" style="331" customWidth="1"/>
    <col min="7" max="7" width="14.28515625" style="331" customWidth="1"/>
    <col min="8" max="8" width="9.140625" style="331" customWidth="1"/>
    <col min="9" max="9" width="21.7109375" style="331" customWidth="1"/>
    <col min="10" max="10" width="18.7109375" style="331" customWidth="1"/>
    <col min="11" max="11" width="10.7109375" style="331" customWidth="1"/>
    <col min="12" max="13" width="9.42578125" style="331" customWidth="1"/>
    <col min="14" max="14" width="13.5703125" style="331" customWidth="1"/>
    <col min="15" max="15" width="11.42578125" style="331" customWidth="1"/>
    <col min="16" max="16" width="11.28515625" style="331" customWidth="1"/>
    <col min="17" max="17" width="12.85546875" style="331" customWidth="1"/>
    <col min="18" max="18" width="12.5703125" style="331" customWidth="1"/>
    <col min="19" max="21" width="16.42578125" style="333" customWidth="1"/>
    <col min="22" max="22" width="11.42578125" style="333" customWidth="1"/>
    <col min="23" max="23" width="12.85546875" style="333" customWidth="1"/>
    <col min="24" max="24" width="11.140625" style="331" customWidth="1"/>
    <col min="25" max="27" width="9.140625" style="331" customWidth="1"/>
    <col min="28" max="28" width="12.85546875" style="331" customWidth="1"/>
    <col min="29" max="29" width="10.28515625" style="720" bestFit="1" customWidth="1"/>
    <col min="30" max="31" width="11.28515625" style="696" customWidth="1"/>
    <col min="32" max="32" width="10.28515625" style="720" customWidth="1"/>
    <col min="33" max="34" width="9.140625" style="696" customWidth="1"/>
    <col min="35" max="35" width="11.28515625" style="696" bestFit="1" customWidth="1"/>
    <col min="36" max="36" width="15.42578125" style="331" bestFit="1" customWidth="1"/>
    <col min="37" max="40" width="9.140625" style="331"/>
    <col min="41" max="41" width="27.7109375" style="331" customWidth="1"/>
    <col min="42" max="46" width="10.28515625" style="331" customWidth="1"/>
    <col min="47" max="47" width="14.42578125" style="331" bestFit="1" customWidth="1"/>
    <col min="48" max="48" width="15.7109375" style="331" customWidth="1"/>
    <col min="49" max="16384" width="9.140625" style="331"/>
  </cols>
  <sheetData>
    <row r="1" spans="1:52" ht="39" thickBot="1">
      <c r="A1" s="6" t="s">
        <v>23</v>
      </c>
      <c r="B1" s="6" t="s">
        <v>569</v>
      </c>
      <c r="C1" s="6" t="s">
        <v>5</v>
      </c>
      <c r="D1" s="6" t="s">
        <v>1</v>
      </c>
      <c r="E1" s="20" t="s">
        <v>0</v>
      </c>
      <c r="F1" s="20" t="s">
        <v>3</v>
      </c>
      <c r="G1" s="6" t="s">
        <v>6</v>
      </c>
      <c r="H1" s="6" t="s">
        <v>2</v>
      </c>
      <c r="I1" s="6" t="s">
        <v>572</v>
      </c>
      <c r="J1" s="6" t="s">
        <v>212</v>
      </c>
      <c r="K1" s="6" t="s">
        <v>11</v>
      </c>
      <c r="L1" s="6" t="s">
        <v>216</v>
      </c>
      <c r="M1" s="6" t="s">
        <v>217</v>
      </c>
      <c r="N1" s="6" t="s">
        <v>218</v>
      </c>
      <c r="O1" s="6" t="s">
        <v>219</v>
      </c>
      <c r="P1" s="6" t="s">
        <v>22</v>
      </c>
      <c r="Q1" s="6" t="s">
        <v>12</v>
      </c>
      <c r="R1" s="6" t="s">
        <v>17331</v>
      </c>
      <c r="S1" s="21" t="s">
        <v>221</v>
      </c>
      <c r="T1" s="21" t="s">
        <v>17350</v>
      </c>
      <c r="U1" s="21" t="s">
        <v>17351</v>
      </c>
      <c r="V1" s="6" t="s">
        <v>14</v>
      </c>
      <c r="W1" s="21" t="s">
        <v>17352</v>
      </c>
      <c r="X1" s="6" t="s">
        <v>16</v>
      </c>
      <c r="Y1" s="21" t="s">
        <v>227</v>
      </c>
      <c r="Z1" s="21" t="s">
        <v>522</v>
      </c>
      <c r="AA1" s="21" t="s">
        <v>228</v>
      </c>
      <c r="AB1" s="281" t="s">
        <v>300</v>
      </c>
      <c r="AC1" s="281" t="s">
        <v>4</v>
      </c>
      <c r="AD1" s="310" t="s">
        <v>545</v>
      </c>
      <c r="AE1" s="310" t="s">
        <v>546</v>
      </c>
      <c r="AF1" s="281" t="s">
        <v>553</v>
      </c>
      <c r="AG1" s="310" t="s">
        <v>547</v>
      </c>
      <c r="AH1" s="310" t="s">
        <v>554</v>
      </c>
      <c r="AI1" s="310" t="s">
        <v>548</v>
      </c>
      <c r="AJ1" s="6" t="s">
        <v>8</v>
      </c>
      <c r="AK1" s="6" t="s">
        <v>255</v>
      </c>
      <c r="AL1" s="6" t="s">
        <v>18</v>
      </c>
      <c r="AM1" s="6" t="s">
        <v>542</v>
      </c>
      <c r="AN1" s="6" t="s">
        <v>543</v>
      </c>
      <c r="AO1" s="6" t="s">
        <v>19</v>
      </c>
      <c r="AP1" s="6" t="s">
        <v>261</v>
      </c>
      <c r="AQ1" s="6" t="s">
        <v>17891</v>
      </c>
      <c r="AR1" s="6" t="s">
        <v>17892</v>
      </c>
      <c r="AS1" s="6" t="s">
        <v>17893</v>
      </c>
      <c r="AT1" s="6" t="s">
        <v>17599</v>
      </c>
      <c r="AU1" s="6" t="s">
        <v>17601</v>
      </c>
      <c r="AV1" s="6" t="s">
        <v>262</v>
      </c>
      <c r="AW1" s="6" t="s">
        <v>263</v>
      </c>
      <c r="AX1" s="6" t="s">
        <v>20</v>
      </c>
      <c r="AY1" s="6" t="s">
        <v>21</v>
      </c>
      <c r="AZ1" s="1213" t="s">
        <v>18351</v>
      </c>
    </row>
    <row r="2" spans="1:52" s="476" customFormat="1">
      <c r="A2" s="1121">
        <v>1</v>
      </c>
      <c r="B2" s="1121" t="s">
        <v>570</v>
      </c>
      <c r="C2" s="1861" t="s">
        <v>24</v>
      </c>
      <c r="D2" s="697" t="s">
        <v>93</v>
      </c>
      <c r="E2" s="698">
        <v>1</v>
      </c>
      <c r="F2" s="699" t="s">
        <v>17267</v>
      </c>
      <c r="G2" s="700">
        <v>161.30000000000001</v>
      </c>
      <c r="H2" s="701"/>
      <c r="I2" s="710">
        <f>14.5+67.1</f>
        <v>81.599999999999994</v>
      </c>
      <c r="J2" s="711"/>
      <c r="K2" s="272">
        <f>G2+0.2*H2+0.2*I2+0.2*J2</f>
        <v>177.62</v>
      </c>
      <c r="L2" s="697">
        <v>3</v>
      </c>
      <c r="M2" s="272"/>
      <c r="N2" s="272"/>
      <c r="O2" s="272"/>
      <c r="P2" s="126">
        <v>1</v>
      </c>
      <c r="Q2" s="277" t="s">
        <v>258</v>
      </c>
      <c r="R2" s="277"/>
      <c r="S2" s="475">
        <v>539520</v>
      </c>
      <c r="T2" s="475">
        <v>562000</v>
      </c>
      <c r="U2" s="475">
        <v>562000</v>
      </c>
      <c r="V2" s="475">
        <f>0.96*W2</f>
        <v>539520</v>
      </c>
      <c r="W2" s="475">
        <v>562000</v>
      </c>
      <c r="X2" s="274">
        <f>1-(S2/W2)</f>
        <v>4.0000000000000036E-2</v>
      </c>
      <c r="Y2" s="276">
        <f t="shared" ref="Y2:Y33" si="0">S2/K2</f>
        <v>3037.4957775025332</v>
      </c>
      <c r="Z2" s="276">
        <f t="shared" ref="Z2:Z33" si="1">V2/K2</f>
        <v>3037.4957775025332</v>
      </c>
      <c r="AA2" s="276">
        <f t="shared" ref="AA2:AA33" si="2">W2/K2</f>
        <v>3164.0581015651392</v>
      </c>
      <c r="AB2" s="128"/>
      <c r="AC2" s="103">
        <v>45768</v>
      </c>
      <c r="AD2" s="313">
        <f>10%*S2</f>
        <v>53952</v>
      </c>
      <c r="AE2" s="313">
        <f>10%*S2</f>
        <v>53952</v>
      </c>
      <c r="AF2" s="103"/>
      <c r="AG2" s="313"/>
      <c r="AH2" s="313"/>
      <c r="AI2" s="313">
        <f>80%*S2</f>
        <v>431616</v>
      </c>
      <c r="AJ2" s="126" t="s">
        <v>247</v>
      </c>
      <c r="AK2" s="126"/>
      <c r="AL2" s="126"/>
      <c r="AM2" s="126"/>
      <c r="AN2" s="126"/>
      <c r="AO2" s="132" t="s">
        <v>17904</v>
      </c>
      <c r="AP2" s="132" t="s">
        <v>265</v>
      </c>
      <c r="AQ2" s="132"/>
      <c r="AR2" s="132"/>
      <c r="AS2" s="132"/>
      <c r="AT2" s="132"/>
      <c r="AU2" s="132"/>
      <c r="AV2" s="132"/>
      <c r="AW2" s="132"/>
      <c r="AX2" s="276">
        <f t="shared" ref="AX2:AX33" si="3">AY2*K2</f>
        <v>484902.60000000003</v>
      </c>
      <c r="AY2" s="276">
        <v>2730</v>
      </c>
      <c r="AZ2" s="276"/>
    </row>
    <row r="3" spans="1:52" s="476" customFormat="1">
      <c r="A3" s="1121">
        <v>2</v>
      </c>
      <c r="B3" s="1121" t="s">
        <v>570</v>
      </c>
      <c r="C3" s="1861" t="s">
        <v>25</v>
      </c>
      <c r="D3" s="697" t="s">
        <v>91</v>
      </c>
      <c r="E3" s="698">
        <v>1</v>
      </c>
      <c r="F3" s="699" t="s">
        <v>28</v>
      </c>
      <c r="G3" s="700">
        <v>85</v>
      </c>
      <c r="H3" s="701"/>
      <c r="I3" s="701">
        <v>28.4</v>
      </c>
      <c r="J3" s="702"/>
      <c r="K3" s="272">
        <f t="shared" ref="K3:K55" si="4">G3+0.2*H3+0.2*I3+0.2*J3</f>
        <v>90.68</v>
      </c>
      <c r="L3" s="697">
        <v>1</v>
      </c>
      <c r="M3" s="272"/>
      <c r="N3" s="272"/>
      <c r="O3" s="272"/>
      <c r="P3" s="126" t="s">
        <v>455</v>
      </c>
      <c r="Q3" s="126" t="s">
        <v>258</v>
      </c>
      <c r="R3" s="126" t="s">
        <v>249</v>
      </c>
      <c r="S3" s="706">
        <v>281280</v>
      </c>
      <c r="T3" s="475">
        <v>265000</v>
      </c>
      <c r="U3" s="475">
        <v>276000</v>
      </c>
      <c r="V3" s="475">
        <f>0.96*W3</f>
        <v>281280</v>
      </c>
      <c r="W3" s="475">
        <v>293000</v>
      </c>
      <c r="X3" s="274">
        <f t="shared" ref="X3:X57" si="5">1-(S3/W3)</f>
        <v>4.0000000000000036E-2</v>
      </c>
      <c r="Y3" s="276">
        <f t="shared" si="0"/>
        <v>3101.8967798853109</v>
      </c>
      <c r="Z3" s="276">
        <f>V3/K3</f>
        <v>3101.8967798853109</v>
      </c>
      <c r="AA3" s="276">
        <f t="shared" si="2"/>
        <v>3231.1424790471988</v>
      </c>
      <c r="AB3" s="128">
        <v>45447</v>
      </c>
      <c r="AC3" s="103">
        <v>45471</v>
      </c>
      <c r="AD3" s="313">
        <v>56256</v>
      </c>
      <c r="AE3" s="313"/>
      <c r="AF3" s="103"/>
      <c r="AG3" s="313"/>
      <c r="AH3" s="313"/>
      <c r="AI3" s="313">
        <v>225024</v>
      </c>
      <c r="AJ3" s="126" t="s">
        <v>247</v>
      </c>
      <c r="AK3" s="126" t="s">
        <v>17484</v>
      </c>
      <c r="AL3" s="126"/>
      <c r="AM3" s="126" t="s">
        <v>249</v>
      </c>
      <c r="AN3" s="126"/>
      <c r="AO3" s="132" t="s">
        <v>319</v>
      </c>
      <c r="AP3" s="132" t="s">
        <v>265</v>
      </c>
      <c r="AQ3" s="132"/>
      <c r="AR3" s="132"/>
      <c r="AS3" s="132"/>
      <c r="AT3" s="1428" t="s">
        <v>18128</v>
      </c>
      <c r="AU3" s="132">
        <v>968837313</v>
      </c>
      <c r="AV3" s="132"/>
      <c r="AW3" s="132"/>
      <c r="AX3" s="276">
        <f t="shared" si="3"/>
        <v>247556.40000000002</v>
      </c>
      <c r="AY3" s="276">
        <v>2730</v>
      </c>
      <c r="AZ3" s="276"/>
    </row>
    <row r="4" spans="1:52" s="476" customFormat="1">
      <c r="A4" s="1121">
        <v>3</v>
      </c>
      <c r="B4" s="1121" t="s">
        <v>570</v>
      </c>
      <c r="C4" s="703" t="s">
        <v>26</v>
      </c>
      <c r="D4" s="705" t="s">
        <v>90</v>
      </c>
      <c r="E4" s="698">
        <v>1</v>
      </c>
      <c r="F4" s="699" t="s">
        <v>46</v>
      </c>
      <c r="G4" s="700">
        <v>62.4</v>
      </c>
      <c r="H4" s="701"/>
      <c r="I4" s="701">
        <v>46.8</v>
      </c>
      <c r="J4" s="702"/>
      <c r="K4" s="272">
        <f t="shared" si="4"/>
        <v>71.759999999999991</v>
      </c>
      <c r="L4" s="697">
        <v>1</v>
      </c>
      <c r="M4" s="272"/>
      <c r="N4" s="272"/>
      <c r="O4" s="272"/>
      <c r="P4" s="126" t="s">
        <v>455</v>
      </c>
      <c r="Q4" s="126" t="s">
        <v>258</v>
      </c>
      <c r="R4" s="126" t="s">
        <v>249</v>
      </c>
      <c r="S4" s="706">
        <v>204480</v>
      </c>
      <c r="T4" s="475">
        <v>213000</v>
      </c>
      <c r="U4" s="475">
        <v>213000</v>
      </c>
      <c r="V4" s="475">
        <f t="shared" ref="V4:V57" si="6">0.96*W4</f>
        <v>204480</v>
      </c>
      <c r="W4" s="475">
        <v>213000</v>
      </c>
      <c r="X4" s="274">
        <f t="shared" si="5"/>
        <v>4.0000000000000036E-2</v>
      </c>
      <c r="Y4" s="276">
        <f t="shared" si="0"/>
        <v>2849.4983277591978</v>
      </c>
      <c r="Z4" s="276">
        <f t="shared" si="1"/>
        <v>2849.4983277591978</v>
      </c>
      <c r="AA4" s="276">
        <f t="shared" si="2"/>
        <v>2968.2274247491641</v>
      </c>
      <c r="AB4" s="128"/>
      <c r="AC4" s="103">
        <v>45365</v>
      </c>
      <c r="AD4" s="313">
        <v>40896</v>
      </c>
      <c r="AE4" s="313"/>
      <c r="AF4" s="103"/>
      <c r="AG4" s="313"/>
      <c r="AH4" s="313"/>
      <c r="AI4" s="313">
        <v>163584</v>
      </c>
      <c r="AJ4" s="126" t="s">
        <v>248</v>
      </c>
      <c r="AK4" s="126"/>
      <c r="AL4" s="126"/>
      <c r="AM4" s="126"/>
      <c r="AN4" s="126"/>
      <c r="AO4" s="132" t="s">
        <v>17367</v>
      </c>
      <c r="AP4" s="132" t="s">
        <v>265</v>
      </c>
      <c r="AQ4" s="132"/>
      <c r="AR4" s="132"/>
      <c r="AS4" s="132"/>
      <c r="AT4" s="1428" t="s">
        <v>18136</v>
      </c>
      <c r="AU4" s="132">
        <v>968032204</v>
      </c>
      <c r="AV4" s="132"/>
      <c r="AW4" s="132"/>
      <c r="AX4" s="276">
        <f t="shared" si="3"/>
        <v>195904.8</v>
      </c>
      <c r="AY4" s="276">
        <v>2730</v>
      </c>
      <c r="AZ4" s="276"/>
    </row>
    <row r="5" spans="1:52" s="476" customFormat="1">
      <c r="A5" s="1121">
        <v>4</v>
      </c>
      <c r="B5" s="1121" t="s">
        <v>570</v>
      </c>
      <c r="C5" s="703" t="s">
        <v>27</v>
      </c>
      <c r="D5" s="697" t="s">
        <v>91</v>
      </c>
      <c r="E5" s="698">
        <v>1</v>
      </c>
      <c r="F5" s="699" t="s">
        <v>46</v>
      </c>
      <c r="G5" s="700">
        <v>85.9</v>
      </c>
      <c r="H5" s="701"/>
      <c r="I5" s="701">
        <v>62.5</v>
      </c>
      <c r="J5" s="702"/>
      <c r="K5" s="272">
        <f t="shared" si="4"/>
        <v>98.4</v>
      </c>
      <c r="L5" s="697">
        <v>1</v>
      </c>
      <c r="M5" s="272"/>
      <c r="N5" s="272"/>
      <c r="O5" s="272"/>
      <c r="P5" s="126" t="s">
        <v>455</v>
      </c>
      <c r="Q5" s="126" t="s">
        <v>258</v>
      </c>
      <c r="R5" s="126"/>
      <c r="S5" s="706">
        <v>270720</v>
      </c>
      <c r="T5" s="475">
        <v>271000</v>
      </c>
      <c r="U5" s="475">
        <v>282000</v>
      </c>
      <c r="V5" s="475">
        <f t="shared" si="6"/>
        <v>270720</v>
      </c>
      <c r="W5" s="475">
        <v>282000</v>
      </c>
      <c r="X5" s="274">
        <f t="shared" si="5"/>
        <v>4.0000000000000036E-2</v>
      </c>
      <c r="Y5" s="276">
        <f t="shared" si="0"/>
        <v>2751.2195121951218</v>
      </c>
      <c r="Z5" s="276">
        <f t="shared" si="1"/>
        <v>2751.2195121951218</v>
      </c>
      <c r="AA5" s="276">
        <f t="shared" si="2"/>
        <v>2865.853658536585</v>
      </c>
      <c r="AB5" s="128">
        <v>45351</v>
      </c>
      <c r="AC5" s="103">
        <v>45358</v>
      </c>
      <c r="AD5" s="313">
        <f>20%*S5</f>
        <v>54144</v>
      </c>
      <c r="AE5" s="313"/>
      <c r="AF5" s="103"/>
      <c r="AG5" s="313"/>
      <c r="AH5" s="313"/>
      <c r="AI5" s="313">
        <f>S5-AD5</f>
        <v>216576</v>
      </c>
      <c r="AJ5" s="126" t="s">
        <v>248</v>
      </c>
      <c r="AK5" s="126"/>
      <c r="AL5" s="126"/>
      <c r="AM5" s="126"/>
      <c r="AN5" s="126"/>
      <c r="AO5" s="132" t="s">
        <v>17375</v>
      </c>
      <c r="AP5" s="132" t="s">
        <v>265</v>
      </c>
      <c r="AQ5" s="132"/>
      <c r="AR5" s="132"/>
      <c r="AS5" s="132"/>
      <c r="AT5" s="1428" t="s">
        <v>18137</v>
      </c>
      <c r="AU5" s="132">
        <v>919920672</v>
      </c>
      <c r="AV5" s="132"/>
      <c r="AW5" s="132"/>
      <c r="AX5" s="276">
        <f t="shared" si="3"/>
        <v>268632</v>
      </c>
      <c r="AY5" s="276">
        <v>2730</v>
      </c>
      <c r="AZ5" s="276"/>
    </row>
    <row r="6" spans="1:52" s="476" customFormat="1">
      <c r="A6" s="1121">
        <v>5</v>
      </c>
      <c r="B6" s="1121" t="s">
        <v>570</v>
      </c>
      <c r="C6" s="703" t="s">
        <v>28</v>
      </c>
      <c r="D6" s="697" t="s">
        <v>93</v>
      </c>
      <c r="E6" s="698">
        <v>2</v>
      </c>
      <c r="F6" s="699" t="s">
        <v>17267</v>
      </c>
      <c r="G6" s="700">
        <v>164.9</v>
      </c>
      <c r="H6" s="701">
        <v>98.4</v>
      </c>
      <c r="I6" s="701"/>
      <c r="J6" s="702"/>
      <c r="K6" s="272">
        <f t="shared" si="4"/>
        <v>184.58</v>
      </c>
      <c r="L6" s="697">
        <v>3</v>
      </c>
      <c r="M6" s="272"/>
      <c r="N6" s="272"/>
      <c r="O6" s="272"/>
      <c r="P6" s="126">
        <v>1</v>
      </c>
      <c r="Q6" s="126" t="s">
        <v>258</v>
      </c>
      <c r="R6" s="277"/>
      <c r="S6" s="475">
        <v>593000</v>
      </c>
      <c r="T6" s="475">
        <v>593000</v>
      </c>
      <c r="U6" s="475">
        <v>593000</v>
      </c>
      <c r="V6" s="475">
        <f t="shared" si="6"/>
        <v>569280</v>
      </c>
      <c r="W6" s="475">
        <v>593000</v>
      </c>
      <c r="X6" s="274">
        <f t="shared" si="5"/>
        <v>0</v>
      </c>
      <c r="Y6" s="276">
        <f t="shared" si="0"/>
        <v>3212.6991006609596</v>
      </c>
      <c r="Z6" s="276">
        <f t="shared" si="1"/>
        <v>3084.1911366345216</v>
      </c>
      <c r="AA6" s="276">
        <f t="shared" si="2"/>
        <v>3212.6991006609596</v>
      </c>
      <c r="AB6" s="128">
        <v>45440</v>
      </c>
      <c r="AC6" s="103">
        <v>45672</v>
      </c>
      <c r="AD6" s="313">
        <f>5000+113600</f>
        <v>118600</v>
      </c>
      <c r="AE6" s="313"/>
      <c r="AF6" s="103"/>
      <c r="AG6" s="313"/>
      <c r="AH6" s="313"/>
      <c r="AI6" s="313">
        <v>474400</v>
      </c>
      <c r="AJ6" s="126" t="s">
        <v>247</v>
      </c>
      <c r="AK6" s="126"/>
      <c r="AL6" s="126"/>
      <c r="AM6" s="126"/>
      <c r="AN6" s="126"/>
      <c r="AO6" s="132" t="s">
        <v>17716</v>
      </c>
      <c r="AP6" s="132" t="s">
        <v>265</v>
      </c>
      <c r="AQ6" s="132"/>
      <c r="AR6" s="132"/>
      <c r="AS6" s="132"/>
      <c r="AT6" s="1428" t="s">
        <v>18138</v>
      </c>
      <c r="AU6" s="132">
        <v>919525513</v>
      </c>
      <c r="AV6" s="132"/>
      <c r="AW6" s="132"/>
      <c r="AX6" s="276">
        <f t="shared" si="3"/>
        <v>503903.4</v>
      </c>
      <c r="AY6" s="276">
        <v>2730</v>
      </c>
      <c r="AZ6" s="276"/>
    </row>
    <row r="7" spans="1:52" s="476" customFormat="1">
      <c r="A7" s="1121">
        <v>6</v>
      </c>
      <c r="B7" s="1121" t="s">
        <v>570</v>
      </c>
      <c r="C7" s="703" t="s">
        <v>29</v>
      </c>
      <c r="D7" s="697" t="s">
        <v>89</v>
      </c>
      <c r="E7" s="698">
        <v>2</v>
      </c>
      <c r="F7" s="699" t="s">
        <v>17268</v>
      </c>
      <c r="G7" s="700">
        <v>116.3</v>
      </c>
      <c r="H7" s="701">
        <v>53.1</v>
      </c>
      <c r="I7" s="701"/>
      <c r="J7" s="702"/>
      <c r="K7" s="272">
        <f>G7+0.2*H7+0.2*I7+0.2*J7</f>
        <v>126.92</v>
      </c>
      <c r="L7" s="697">
        <v>2</v>
      </c>
      <c r="M7" s="272"/>
      <c r="N7" s="272"/>
      <c r="O7" s="272"/>
      <c r="P7" s="126">
        <v>1</v>
      </c>
      <c r="Q7" s="126" t="s">
        <v>258</v>
      </c>
      <c r="R7" s="126"/>
      <c r="S7" s="706">
        <v>393600</v>
      </c>
      <c r="T7" s="475">
        <v>372000</v>
      </c>
      <c r="U7" s="475">
        <v>387000</v>
      </c>
      <c r="V7" s="475">
        <f t="shared" si="6"/>
        <v>393600</v>
      </c>
      <c r="W7" s="475">
        <v>410000</v>
      </c>
      <c r="X7" s="274">
        <f t="shared" si="5"/>
        <v>4.0000000000000036E-2</v>
      </c>
      <c r="Y7" s="276">
        <f t="shared" si="0"/>
        <v>3101.1660888748816</v>
      </c>
      <c r="Z7" s="276">
        <f t="shared" si="1"/>
        <v>3101.1660888748816</v>
      </c>
      <c r="AA7" s="276">
        <f t="shared" si="2"/>
        <v>3230.3813425780017</v>
      </c>
      <c r="AB7" s="128"/>
      <c r="AC7" s="128">
        <v>45572</v>
      </c>
      <c r="AD7" s="275">
        <v>78720</v>
      </c>
      <c r="AE7" s="275"/>
      <c r="AF7" s="128"/>
      <c r="AG7" s="275"/>
      <c r="AH7" s="275"/>
      <c r="AI7" s="275">
        <v>314880</v>
      </c>
      <c r="AJ7" s="126" t="s">
        <v>17320</v>
      </c>
      <c r="AK7" s="126"/>
      <c r="AL7" s="126"/>
      <c r="AM7" s="126"/>
      <c r="AN7" s="126"/>
      <c r="AO7" s="126" t="s">
        <v>17668</v>
      </c>
      <c r="AP7" s="126" t="s">
        <v>265</v>
      </c>
      <c r="AQ7" s="126"/>
      <c r="AR7" s="126"/>
      <c r="AS7" s="126"/>
      <c r="AT7" s="126" t="s">
        <v>455</v>
      </c>
      <c r="AU7" s="1806">
        <v>96897230431</v>
      </c>
      <c r="AV7" s="126"/>
      <c r="AW7" s="126"/>
      <c r="AX7" s="276">
        <f t="shared" si="3"/>
        <v>346491.6</v>
      </c>
      <c r="AY7" s="276">
        <v>2730</v>
      </c>
      <c r="AZ7" s="276"/>
    </row>
    <row r="8" spans="1:52" s="476" customFormat="1">
      <c r="A8" s="1121">
        <v>7</v>
      </c>
      <c r="B8" s="1121" t="s">
        <v>570</v>
      </c>
      <c r="C8" s="703" t="s">
        <v>30</v>
      </c>
      <c r="D8" s="697" t="s">
        <v>90</v>
      </c>
      <c r="E8" s="698">
        <v>2</v>
      </c>
      <c r="F8" s="699" t="s">
        <v>17269</v>
      </c>
      <c r="G8" s="700">
        <v>62.5</v>
      </c>
      <c r="H8" s="701">
        <v>26</v>
      </c>
      <c r="I8" s="701"/>
      <c r="J8" s="702"/>
      <c r="K8" s="272">
        <f t="shared" si="4"/>
        <v>67.7</v>
      </c>
      <c r="L8" s="697">
        <v>1</v>
      </c>
      <c r="M8" s="272"/>
      <c r="N8" s="272"/>
      <c r="O8" s="272"/>
      <c r="P8" s="126" t="s">
        <v>455</v>
      </c>
      <c r="Q8" s="707" t="s">
        <v>258</v>
      </c>
      <c r="R8" s="708" t="s">
        <v>249</v>
      </c>
      <c r="S8" s="475">
        <v>199680</v>
      </c>
      <c r="T8" s="475">
        <v>208000</v>
      </c>
      <c r="U8" s="475">
        <v>208000</v>
      </c>
      <c r="V8" s="475">
        <f t="shared" si="6"/>
        <v>199680</v>
      </c>
      <c r="W8" s="475">
        <v>208000</v>
      </c>
      <c r="X8" s="274">
        <f t="shared" si="5"/>
        <v>4.0000000000000036E-2</v>
      </c>
      <c r="Y8" s="276">
        <f t="shared" si="0"/>
        <v>2949.4830132939437</v>
      </c>
      <c r="Z8" s="276">
        <f t="shared" si="1"/>
        <v>2949.4830132939437</v>
      </c>
      <c r="AA8" s="276">
        <f t="shared" si="2"/>
        <v>3072.3781388478583</v>
      </c>
      <c r="AB8" s="128"/>
      <c r="AC8" s="128">
        <v>45387</v>
      </c>
      <c r="AD8" s="275">
        <v>39936</v>
      </c>
      <c r="AE8" s="275"/>
      <c r="AF8" s="128"/>
      <c r="AG8" s="275"/>
      <c r="AH8" s="275"/>
      <c r="AI8" s="275">
        <v>159744</v>
      </c>
      <c r="AJ8" s="126" t="s">
        <v>274</v>
      </c>
      <c r="AK8" s="126" t="s">
        <v>17168</v>
      </c>
      <c r="AL8" s="126"/>
      <c r="AM8" s="126"/>
      <c r="AN8" s="126"/>
      <c r="AO8" s="126" t="s">
        <v>17385</v>
      </c>
      <c r="AP8" s="126" t="s">
        <v>265</v>
      </c>
      <c r="AQ8" s="126"/>
      <c r="AR8" s="126"/>
      <c r="AS8" s="126"/>
      <c r="AT8" s="1428" t="s">
        <v>18139</v>
      </c>
      <c r="AU8" s="126">
        <v>917321296</v>
      </c>
      <c r="AV8" s="126"/>
      <c r="AW8" s="126"/>
      <c r="AX8" s="276">
        <f t="shared" si="3"/>
        <v>184821</v>
      </c>
      <c r="AY8" s="276">
        <v>2730</v>
      </c>
      <c r="AZ8" s="276"/>
    </row>
    <row r="9" spans="1:52" s="476" customFormat="1">
      <c r="A9" s="1121">
        <v>8</v>
      </c>
      <c r="B9" s="1121" t="s">
        <v>570</v>
      </c>
      <c r="C9" s="703" t="s">
        <v>31</v>
      </c>
      <c r="D9" s="705" t="s">
        <v>91</v>
      </c>
      <c r="E9" s="698">
        <v>2</v>
      </c>
      <c r="F9" s="699" t="s">
        <v>146</v>
      </c>
      <c r="G9" s="700">
        <v>85.6</v>
      </c>
      <c r="H9" s="701">
        <v>54.9</v>
      </c>
      <c r="I9" s="701"/>
      <c r="J9" s="702"/>
      <c r="K9" s="272">
        <f t="shared" si="4"/>
        <v>96.58</v>
      </c>
      <c r="L9" s="697">
        <v>1</v>
      </c>
      <c r="M9" s="272"/>
      <c r="N9" s="272"/>
      <c r="O9" s="272"/>
      <c r="P9" s="126" t="s">
        <v>455</v>
      </c>
      <c r="Q9" s="707" t="s">
        <v>258</v>
      </c>
      <c r="R9" s="277"/>
      <c r="S9" s="475">
        <v>320000</v>
      </c>
      <c r="T9" s="475">
        <v>302000</v>
      </c>
      <c r="U9" s="475">
        <v>314000</v>
      </c>
      <c r="V9" s="475">
        <f t="shared" si="6"/>
        <v>319680</v>
      </c>
      <c r="W9" s="475">
        <v>333000</v>
      </c>
      <c r="X9" s="274">
        <f t="shared" si="5"/>
        <v>3.9039039039039047E-2</v>
      </c>
      <c r="Y9" s="276">
        <f t="shared" si="0"/>
        <v>3313.315386208325</v>
      </c>
      <c r="Z9" s="276">
        <f t="shared" si="1"/>
        <v>3310.0020708221164</v>
      </c>
      <c r="AA9" s="276">
        <f t="shared" si="2"/>
        <v>3447.9188237730377</v>
      </c>
      <c r="AB9" s="128">
        <v>45391</v>
      </c>
      <c r="AC9" s="113">
        <v>45561</v>
      </c>
      <c r="AD9" s="325">
        <f>20%*S9</f>
        <v>64000</v>
      </c>
      <c r="AE9" s="325"/>
      <c r="AF9" s="113"/>
      <c r="AG9" s="325"/>
      <c r="AH9" s="325"/>
      <c r="AI9" s="325">
        <f>80%*S9</f>
        <v>256000</v>
      </c>
      <c r="AJ9" s="126" t="s">
        <v>247</v>
      </c>
      <c r="AK9" s="126"/>
      <c r="AL9" s="126"/>
      <c r="AM9" s="126"/>
      <c r="AN9" s="126"/>
      <c r="AO9" s="112" t="s">
        <v>17585</v>
      </c>
      <c r="AP9" s="132" t="s">
        <v>265</v>
      </c>
      <c r="AQ9" s="132"/>
      <c r="AR9" s="132"/>
      <c r="AS9" s="132"/>
      <c r="AT9" s="1428" t="s">
        <v>18140</v>
      </c>
      <c r="AU9" s="132">
        <v>913005306</v>
      </c>
      <c r="AV9" s="112"/>
      <c r="AW9" s="112"/>
      <c r="AX9" s="276">
        <f t="shared" si="3"/>
        <v>263663.40000000002</v>
      </c>
      <c r="AY9" s="276">
        <v>2730</v>
      </c>
      <c r="AZ9" s="276"/>
    </row>
    <row r="10" spans="1:52" s="476" customFormat="1">
      <c r="A10" s="1121">
        <v>9</v>
      </c>
      <c r="B10" s="1121" t="s">
        <v>570</v>
      </c>
      <c r="C10" s="703" t="s">
        <v>32</v>
      </c>
      <c r="D10" s="697" t="s">
        <v>89</v>
      </c>
      <c r="E10" s="698">
        <v>3</v>
      </c>
      <c r="F10" s="699" t="s">
        <v>145</v>
      </c>
      <c r="G10" s="700">
        <v>116.3</v>
      </c>
      <c r="H10" s="701">
        <v>21.2</v>
      </c>
      <c r="I10" s="701"/>
      <c r="J10" s="702"/>
      <c r="K10" s="272">
        <f>G10+0.3*H10+0.2*I10+0.2*J10</f>
        <v>122.66</v>
      </c>
      <c r="L10" s="697">
        <v>2</v>
      </c>
      <c r="M10" s="272"/>
      <c r="N10" s="272"/>
      <c r="O10" s="272"/>
      <c r="P10" s="274"/>
      <c r="Q10" s="126" t="s">
        <v>258</v>
      </c>
      <c r="R10" s="126"/>
      <c r="S10" s="706">
        <v>385920</v>
      </c>
      <c r="T10" s="475">
        <v>379000</v>
      </c>
      <c r="U10" s="475">
        <v>379000</v>
      </c>
      <c r="V10" s="475">
        <f t="shared" si="6"/>
        <v>385920</v>
      </c>
      <c r="W10" s="475">
        <v>402000</v>
      </c>
      <c r="X10" s="274">
        <f t="shared" si="5"/>
        <v>4.0000000000000036E-2</v>
      </c>
      <c r="Y10" s="276">
        <f t="shared" si="0"/>
        <v>3146.2579488015654</v>
      </c>
      <c r="Z10" s="276">
        <f t="shared" si="1"/>
        <v>3146.2579488015654</v>
      </c>
      <c r="AA10" s="276">
        <f t="shared" si="2"/>
        <v>3277.3520300016307</v>
      </c>
      <c r="AB10" s="128"/>
      <c r="AC10" s="103">
        <v>45596</v>
      </c>
      <c r="AD10" s="313">
        <f>10%*S10</f>
        <v>38592</v>
      </c>
      <c r="AE10" s="313"/>
      <c r="AF10" s="103"/>
      <c r="AG10" s="313"/>
      <c r="AH10" s="313"/>
      <c r="AI10" s="313">
        <f>90%*S10</f>
        <v>347328</v>
      </c>
      <c r="AJ10" s="126" t="s">
        <v>247</v>
      </c>
      <c r="AK10" s="126"/>
      <c r="AL10" s="126"/>
      <c r="AM10" s="126"/>
      <c r="AN10" s="126"/>
      <c r="AO10" s="132" t="s">
        <v>17717</v>
      </c>
      <c r="AP10" s="132" t="s">
        <v>265</v>
      </c>
      <c r="AQ10" s="132"/>
      <c r="AR10" s="132"/>
      <c r="AS10" s="132"/>
      <c r="AT10" s="1428" t="s">
        <v>18141</v>
      </c>
      <c r="AU10" s="132">
        <v>939947609</v>
      </c>
      <c r="AV10" s="132"/>
      <c r="AW10" s="132"/>
      <c r="AX10" s="276">
        <f t="shared" si="3"/>
        <v>334861.8</v>
      </c>
      <c r="AY10" s="276">
        <v>2730</v>
      </c>
      <c r="AZ10" s="276"/>
    </row>
    <row r="11" spans="1:52" s="476" customFormat="1">
      <c r="A11" s="1121">
        <v>10</v>
      </c>
      <c r="B11" s="1121" t="s">
        <v>570</v>
      </c>
      <c r="C11" s="703" t="s">
        <v>33</v>
      </c>
      <c r="D11" s="697" t="s">
        <v>89</v>
      </c>
      <c r="E11" s="698">
        <v>3</v>
      </c>
      <c r="F11" s="699" t="s">
        <v>17268</v>
      </c>
      <c r="G11" s="700">
        <v>116.2</v>
      </c>
      <c r="H11" s="701">
        <v>16.600000000000001</v>
      </c>
      <c r="I11" s="701"/>
      <c r="J11" s="702"/>
      <c r="K11" s="272">
        <f>G11+0.3*H11+0.2*I11+0.2*J11</f>
        <v>121.18</v>
      </c>
      <c r="L11" s="697">
        <v>2</v>
      </c>
      <c r="M11" s="272"/>
      <c r="N11" s="272"/>
      <c r="O11" s="272"/>
      <c r="P11" s="126">
        <v>1</v>
      </c>
      <c r="Q11" s="126" t="s">
        <v>258</v>
      </c>
      <c r="R11" s="126"/>
      <c r="S11" s="706">
        <v>405000</v>
      </c>
      <c r="T11" s="475">
        <v>382000</v>
      </c>
      <c r="U11" s="475">
        <v>382000</v>
      </c>
      <c r="V11" s="475">
        <f t="shared" si="6"/>
        <v>388800</v>
      </c>
      <c r="W11" s="475">
        <v>405000</v>
      </c>
      <c r="X11" s="274">
        <f t="shared" si="5"/>
        <v>0</v>
      </c>
      <c r="Y11" s="276">
        <f t="shared" si="0"/>
        <v>3342.1356659514768</v>
      </c>
      <c r="Z11" s="276">
        <f t="shared" si="1"/>
        <v>3208.450239313418</v>
      </c>
      <c r="AA11" s="276">
        <f t="shared" si="2"/>
        <v>3342.1356659514768</v>
      </c>
      <c r="AB11" s="128"/>
      <c r="AC11" s="103">
        <v>45631</v>
      </c>
      <c r="AD11" s="313">
        <f>5000+35500</f>
        <v>40500</v>
      </c>
      <c r="AE11" s="313"/>
      <c r="AF11" s="103"/>
      <c r="AG11" s="313"/>
      <c r="AH11" s="313"/>
      <c r="AI11" s="313">
        <v>364500</v>
      </c>
      <c r="AJ11" s="126" t="s">
        <v>247</v>
      </c>
      <c r="AK11" s="126"/>
      <c r="AL11" s="126"/>
      <c r="AM11" s="126"/>
      <c r="AN11" s="126"/>
      <c r="AO11" s="132" t="s">
        <v>17732</v>
      </c>
      <c r="AP11" s="132" t="s">
        <v>265</v>
      </c>
      <c r="AQ11" s="132"/>
      <c r="AR11" s="132"/>
      <c r="AS11" s="132"/>
      <c r="AT11" s="132"/>
      <c r="AU11" s="132">
        <v>913993043</v>
      </c>
      <c r="AV11" s="132"/>
      <c r="AW11" s="132"/>
      <c r="AX11" s="276">
        <f t="shared" si="3"/>
        <v>330821.40000000002</v>
      </c>
      <c r="AY11" s="276">
        <v>2730</v>
      </c>
      <c r="AZ11" s="276"/>
    </row>
    <row r="12" spans="1:52" s="476" customFormat="1">
      <c r="A12" s="1121">
        <v>11</v>
      </c>
      <c r="B12" s="1121" t="s">
        <v>570</v>
      </c>
      <c r="C12" s="703" t="s">
        <v>34</v>
      </c>
      <c r="D12" s="697" t="s">
        <v>91</v>
      </c>
      <c r="E12" s="698">
        <v>3</v>
      </c>
      <c r="F12" s="699" t="s">
        <v>17269</v>
      </c>
      <c r="G12" s="700">
        <v>86.5</v>
      </c>
      <c r="H12" s="701">
        <v>55</v>
      </c>
      <c r="I12" s="701"/>
      <c r="J12" s="702"/>
      <c r="K12" s="272">
        <f>G12+0.2*H12+0.2*I12+0.2*J12</f>
        <v>97.5</v>
      </c>
      <c r="L12" s="697">
        <v>1</v>
      </c>
      <c r="M12" s="272"/>
      <c r="N12" s="272"/>
      <c r="O12" s="272"/>
      <c r="P12" s="126" t="s">
        <v>455</v>
      </c>
      <c r="Q12" s="277" t="s">
        <v>258</v>
      </c>
      <c r="R12" s="277"/>
      <c r="S12" s="475">
        <v>321600</v>
      </c>
      <c r="T12" s="475">
        <v>304000</v>
      </c>
      <c r="U12" s="475">
        <v>316000</v>
      </c>
      <c r="V12" s="475">
        <f t="shared" si="6"/>
        <v>321600</v>
      </c>
      <c r="W12" s="475">
        <v>335000</v>
      </c>
      <c r="X12" s="274">
        <f t="shared" si="5"/>
        <v>4.0000000000000036E-2</v>
      </c>
      <c r="Y12" s="276">
        <f t="shared" si="0"/>
        <v>3298.4615384615386</v>
      </c>
      <c r="Z12" s="276">
        <f t="shared" si="1"/>
        <v>3298.4615384615386</v>
      </c>
      <c r="AA12" s="276">
        <f t="shared" si="2"/>
        <v>3435.897435897436</v>
      </c>
      <c r="AB12" s="128"/>
      <c r="AC12" s="103">
        <v>45504</v>
      </c>
      <c r="AD12" s="313">
        <v>64320</v>
      </c>
      <c r="AE12" s="313"/>
      <c r="AF12" s="103"/>
      <c r="AG12" s="313"/>
      <c r="AH12" s="313"/>
      <c r="AI12" s="313">
        <v>257280</v>
      </c>
      <c r="AJ12" s="126" t="s">
        <v>247</v>
      </c>
      <c r="AK12" s="126"/>
      <c r="AL12" s="126"/>
      <c r="AM12" s="126"/>
      <c r="AN12" s="126"/>
      <c r="AO12" s="132" t="s">
        <v>17542</v>
      </c>
      <c r="AP12" s="132" t="s">
        <v>265</v>
      </c>
      <c r="AQ12" s="132"/>
      <c r="AR12" s="132"/>
      <c r="AS12" s="132"/>
      <c r="AT12" s="1428" t="s">
        <v>18142</v>
      </c>
      <c r="AU12" s="132">
        <v>916676729</v>
      </c>
      <c r="AV12" s="132"/>
      <c r="AW12" s="132"/>
      <c r="AX12" s="276">
        <f t="shared" si="3"/>
        <v>266175</v>
      </c>
      <c r="AY12" s="276">
        <v>2730</v>
      </c>
      <c r="AZ12" s="276"/>
    </row>
    <row r="13" spans="1:52" s="476" customFormat="1">
      <c r="A13" s="1121">
        <v>12</v>
      </c>
      <c r="B13" s="1121" t="s">
        <v>570</v>
      </c>
      <c r="C13" s="703" t="s">
        <v>35</v>
      </c>
      <c r="D13" s="697" t="s">
        <v>90</v>
      </c>
      <c r="E13" s="698">
        <v>3</v>
      </c>
      <c r="F13" s="699" t="s">
        <v>46</v>
      </c>
      <c r="G13" s="700">
        <v>62.4</v>
      </c>
      <c r="H13" s="701">
        <v>25.2</v>
      </c>
      <c r="I13" s="701"/>
      <c r="J13" s="702"/>
      <c r="K13" s="272">
        <f t="shared" si="4"/>
        <v>67.44</v>
      </c>
      <c r="L13" s="697">
        <v>1</v>
      </c>
      <c r="M13" s="272"/>
      <c r="N13" s="272"/>
      <c r="O13" s="272"/>
      <c r="P13" s="126" t="s">
        <v>455</v>
      </c>
      <c r="Q13" s="126" t="s">
        <v>258</v>
      </c>
      <c r="R13" s="126" t="s">
        <v>249</v>
      </c>
      <c r="S13" s="475">
        <v>204480</v>
      </c>
      <c r="T13" s="475">
        <v>213000</v>
      </c>
      <c r="U13" s="475">
        <v>213000</v>
      </c>
      <c r="V13" s="475">
        <f t="shared" si="6"/>
        <v>204480</v>
      </c>
      <c r="W13" s="475">
        <v>213000</v>
      </c>
      <c r="X13" s="274">
        <f t="shared" si="5"/>
        <v>4.0000000000000036E-2</v>
      </c>
      <c r="Y13" s="276">
        <f t="shared" si="0"/>
        <v>3032.0284697508896</v>
      </c>
      <c r="Z13" s="276">
        <f t="shared" si="1"/>
        <v>3032.0284697508896</v>
      </c>
      <c r="AA13" s="276">
        <f t="shared" si="2"/>
        <v>3158.3629893238435</v>
      </c>
      <c r="AB13" s="128"/>
      <c r="AC13" s="103">
        <v>45365</v>
      </c>
      <c r="AD13" s="313">
        <f>20%*S13</f>
        <v>40896</v>
      </c>
      <c r="AE13" s="313"/>
      <c r="AF13" s="103"/>
      <c r="AG13" s="313"/>
      <c r="AH13" s="313"/>
      <c r="AI13" s="313">
        <f>80%*S13</f>
        <v>163584</v>
      </c>
      <c r="AJ13" s="126" t="s">
        <v>248</v>
      </c>
      <c r="AK13" s="126"/>
      <c r="AL13" s="126"/>
      <c r="AM13" s="126"/>
      <c r="AN13" s="126"/>
      <c r="AO13" s="132" t="s">
        <v>17366</v>
      </c>
      <c r="AP13" s="132" t="s">
        <v>265</v>
      </c>
      <c r="AQ13" s="132"/>
      <c r="AR13" s="132"/>
      <c r="AS13" s="132"/>
      <c r="AT13" s="132"/>
      <c r="AU13" s="132"/>
      <c r="AV13" s="132"/>
      <c r="AW13" s="132"/>
      <c r="AX13" s="276">
        <f t="shared" si="3"/>
        <v>184111.19999999998</v>
      </c>
      <c r="AY13" s="276">
        <v>2730</v>
      </c>
      <c r="AZ13" s="276"/>
    </row>
    <row r="14" spans="1:52" s="476" customFormat="1">
      <c r="A14" s="1121">
        <v>13</v>
      </c>
      <c r="B14" s="1121" t="s">
        <v>570</v>
      </c>
      <c r="C14" s="703" t="s">
        <v>36</v>
      </c>
      <c r="D14" s="697" t="s">
        <v>91</v>
      </c>
      <c r="E14" s="698">
        <v>3</v>
      </c>
      <c r="F14" s="699" t="s">
        <v>146</v>
      </c>
      <c r="G14" s="700">
        <v>85.6</v>
      </c>
      <c r="H14" s="701">
        <v>52.8</v>
      </c>
      <c r="I14" s="701"/>
      <c r="J14" s="702"/>
      <c r="K14" s="272">
        <f t="shared" si="4"/>
        <v>96.16</v>
      </c>
      <c r="L14" s="697">
        <v>1</v>
      </c>
      <c r="M14" s="272"/>
      <c r="N14" s="272"/>
      <c r="O14" s="272"/>
      <c r="P14" s="126">
        <v>1</v>
      </c>
      <c r="Q14" s="126" t="s">
        <v>258</v>
      </c>
      <c r="R14" s="126"/>
      <c r="S14" s="706">
        <v>324480</v>
      </c>
      <c r="T14" s="475">
        <v>307000</v>
      </c>
      <c r="U14" s="475">
        <v>319000</v>
      </c>
      <c r="V14" s="475">
        <f t="shared" si="6"/>
        <v>324480</v>
      </c>
      <c r="W14" s="475">
        <v>338000</v>
      </c>
      <c r="X14" s="274">
        <f t="shared" si="5"/>
        <v>4.0000000000000036E-2</v>
      </c>
      <c r="Y14" s="276">
        <f t="shared" si="0"/>
        <v>3374.3760399334442</v>
      </c>
      <c r="Z14" s="276">
        <f t="shared" si="1"/>
        <v>3374.3760399334442</v>
      </c>
      <c r="AA14" s="276">
        <f t="shared" si="2"/>
        <v>3514.9750415973381</v>
      </c>
      <c r="AB14" s="128">
        <v>45467</v>
      </c>
      <c r="AC14" s="103">
        <v>45541</v>
      </c>
      <c r="AD14" s="313">
        <v>64896</v>
      </c>
      <c r="AE14" s="313"/>
      <c r="AF14" s="103"/>
      <c r="AG14" s="313"/>
      <c r="AH14" s="313"/>
      <c r="AI14" s="313">
        <v>259584</v>
      </c>
      <c r="AJ14" s="126" t="s">
        <v>247</v>
      </c>
      <c r="AK14" s="126"/>
      <c r="AL14" s="126"/>
      <c r="AM14" s="126"/>
      <c r="AN14" s="126"/>
      <c r="AO14" s="112" t="s">
        <v>17516</v>
      </c>
      <c r="AP14" s="132" t="s">
        <v>265</v>
      </c>
      <c r="AQ14" s="132"/>
      <c r="AR14" s="132"/>
      <c r="AS14" s="132"/>
      <c r="AT14" s="132"/>
      <c r="AU14" s="132"/>
      <c r="AV14" s="132"/>
      <c r="AW14" s="132"/>
      <c r="AX14" s="276">
        <f t="shared" si="3"/>
        <v>262516.8</v>
      </c>
      <c r="AY14" s="276">
        <v>2730</v>
      </c>
      <c r="AZ14" s="276"/>
    </row>
    <row r="15" spans="1:52" s="476" customFormat="1" ht="15" customHeight="1" thickBot="1">
      <c r="A15" s="1121">
        <v>14</v>
      </c>
      <c r="B15" s="1121" t="s">
        <v>570</v>
      </c>
      <c r="C15" s="703" t="s">
        <v>37</v>
      </c>
      <c r="D15" s="697" t="s">
        <v>89</v>
      </c>
      <c r="E15" s="698">
        <v>4</v>
      </c>
      <c r="F15" s="699" t="s">
        <v>145</v>
      </c>
      <c r="G15" s="700">
        <v>116.3</v>
      </c>
      <c r="H15" s="701">
        <v>21.2</v>
      </c>
      <c r="I15" s="701"/>
      <c r="J15" s="704"/>
      <c r="K15" s="272">
        <f>G15+0.3*H15+0.2*I15+0.2*J15</f>
        <v>122.66</v>
      </c>
      <c r="L15" s="697">
        <v>2</v>
      </c>
      <c r="M15" s="272"/>
      <c r="N15" s="272"/>
      <c r="O15" s="272"/>
      <c r="P15" s="126"/>
      <c r="Q15" s="126" t="s">
        <v>258</v>
      </c>
      <c r="R15" s="126"/>
      <c r="S15" s="706">
        <v>391680</v>
      </c>
      <c r="T15" s="475">
        <v>384000</v>
      </c>
      <c r="U15" s="475">
        <v>384000</v>
      </c>
      <c r="V15" s="475">
        <f t="shared" si="6"/>
        <v>391680</v>
      </c>
      <c r="W15" s="475">
        <v>408000</v>
      </c>
      <c r="X15" s="274">
        <f t="shared" si="5"/>
        <v>4.0000000000000036E-2</v>
      </c>
      <c r="Y15" s="276">
        <f t="shared" si="0"/>
        <v>3193.2170226642752</v>
      </c>
      <c r="Z15" s="276">
        <f t="shared" si="1"/>
        <v>3193.2170226642752</v>
      </c>
      <c r="AA15" s="276">
        <f t="shared" si="2"/>
        <v>3326.2677319419536</v>
      </c>
      <c r="AB15" s="128">
        <v>45688</v>
      </c>
      <c r="AC15" s="103">
        <v>45714</v>
      </c>
      <c r="AD15" s="313">
        <f>5000+34168</f>
        <v>39168</v>
      </c>
      <c r="AE15" s="313">
        <v>39168</v>
      </c>
      <c r="AF15" s="103">
        <f>30+AC15</f>
        <v>45744</v>
      </c>
      <c r="AG15" s="313"/>
      <c r="AH15" s="313"/>
      <c r="AI15" s="313">
        <v>313344</v>
      </c>
      <c r="AJ15" s="126" t="s">
        <v>247</v>
      </c>
      <c r="AK15" s="126"/>
      <c r="AL15" s="126"/>
      <c r="AM15" s="126"/>
      <c r="AN15" s="126"/>
      <c r="AO15" s="132" t="s">
        <v>17858</v>
      </c>
      <c r="AP15" s="132" t="s">
        <v>265</v>
      </c>
      <c r="AQ15" s="132"/>
      <c r="AR15" s="132"/>
      <c r="AS15" s="132"/>
      <c r="AT15" s="1428" t="s">
        <v>18143</v>
      </c>
      <c r="AU15" s="132">
        <v>930498457</v>
      </c>
      <c r="AV15" s="132"/>
      <c r="AW15" s="132"/>
      <c r="AX15" s="276">
        <f t="shared" si="3"/>
        <v>334861.8</v>
      </c>
      <c r="AY15" s="276">
        <v>2730</v>
      </c>
      <c r="AZ15" s="276"/>
    </row>
    <row r="16" spans="1:52" s="476" customFormat="1">
      <c r="A16" s="1121">
        <v>15</v>
      </c>
      <c r="B16" s="1121" t="s">
        <v>570</v>
      </c>
      <c r="C16" s="703" t="s">
        <v>38</v>
      </c>
      <c r="D16" s="697" t="s">
        <v>89</v>
      </c>
      <c r="E16" s="698">
        <v>4</v>
      </c>
      <c r="F16" s="699" t="s">
        <v>17268</v>
      </c>
      <c r="G16" s="700">
        <v>116.2</v>
      </c>
      <c r="H16" s="701">
        <v>16.600000000000001</v>
      </c>
      <c r="I16" s="701"/>
      <c r="J16" s="711"/>
      <c r="K16" s="272">
        <f>G16+0.3*H16+0.2*I16+0.2*J16</f>
        <v>121.18</v>
      </c>
      <c r="L16" s="697">
        <v>2</v>
      </c>
      <c r="M16" s="272"/>
      <c r="N16" s="272"/>
      <c r="O16" s="272"/>
      <c r="P16" s="126">
        <v>1</v>
      </c>
      <c r="Q16" s="126" t="s">
        <v>258</v>
      </c>
      <c r="R16" s="126"/>
      <c r="S16" s="706">
        <v>410000</v>
      </c>
      <c r="T16" s="475">
        <v>387000</v>
      </c>
      <c r="U16" s="475">
        <v>387000</v>
      </c>
      <c r="V16" s="475">
        <f t="shared" si="6"/>
        <v>393600</v>
      </c>
      <c r="W16" s="475">
        <v>410000</v>
      </c>
      <c r="X16" s="274">
        <f t="shared" si="5"/>
        <v>0</v>
      </c>
      <c r="Y16" s="276">
        <f t="shared" si="0"/>
        <v>3383.3966000990263</v>
      </c>
      <c r="Z16" s="276">
        <f t="shared" si="1"/>
        <v>3248.0607360950648</v>
      </c>
      <c r="AA16" s="276">
        <f t="shared" si="2"/>
        <v>3383.3966000990263</v>
      </c>
      <c r="AB16" s="128"/>
      <c r="AC16" s="103">
        <v>45686</v>
      </c>
      <c r="AD16" s="313">
        <v>82000</v>
      </c>
      <c r="AE16" s="313"/>
      <c r="AF16" s="103"/>
      <c r="AG16" s="313"/>
      <c r="AH16" s="313"/>
      <c r="AI16" s="313">
        <v>328000</v>
      </c>
      <c r="AJ16" s="126" t="s">
        <v>248</v>
      </c>
      <c r="AK16" s="126"/>
      <c r="AL16" s="126"/>
      <c r="AM16" s="126"/>
      <c r="AN16" s="126"/>
      <c r="AO16" s="132" t="s">
        <v>17836</v>
      </c>
      <c r="AP16" s="132" t="s">
        <v>17693</v>
      </c>
      <c r="AQ16" s="132"/>
      <c r="AR16" s="132"/>
      <c r="AS16" s="132"/>
      <c r="AT16" s="132"/>
      <c r="AU16" s="132">
        <v>913924704</v>
      </c>
      <c r="AV16" s="132"/>
      <c r="AW16" s="132"/>
      <c r="AX16" s="276">
        <f t="shared" si="3"/>
        <v>330821.40000000002</v>
      </c>
      <c r="AY16" s="276">
        <v>2730</v>
      </c>
      <c r="AZ16" s="276"/>
    </row>
    <row r="17" spans="1:52" s="476" customFormat="1">
      <c r="A17" s="1121">
        <v>16</v>
      </c>
      <c r="B17" s="1121" t="s">
        <v>570</v>
      </c>
      <c r="C17" s="703" t="s">
        <v>39</v>
      </c>
      <c r="D17" s="697" t="s">
        <v>91</v>
      </c>
      <c r="E17" s="698">
        <v>4</v>
      </c>
      <c r="F17" s="699" t="s">
        <v>17269</v>
      </c>
      <c r="G17" s="700">
        <v>86.5</v>
      </c>
      <c r="H17" s="701">
        <v>55</v>
      </c>
      <c r="I17" s="701"/>
      <c r="J17" s="702"/>
      <c r="K17" s="272">
        <f t="shared" si="4"/>
        <v>97.5</v>
      </c>
      <c r="L17" s="697">
        <v>1</v>
      </c>
      <c r="M17" s="272"/>
      <c r="N17" s="272"/>
      <c r="O17" s="272"/>
      <c r="P17" s="126" t="s">
        <v>455</v>
      </c>
      <c r="Q17" s="126" t="s">
        <v>258</v>
      </c>
      <c r="R17" s="126" t="s">
        <v>249</v>
      </c>
      <c r="S17" s="706">
        <v>308160</v>
      </c>
      <c r="T17" s="475">
        <v>309000</v>
      </c>
      <c r="U17" s="475">
        <v>321000</v>
      </c>
      <c r="V17" s="475">
        <f t="shared" si="6"/>
        <v>308160</v>
      </c>
      <c r="W17" s="475">
        <v>321000</v>
      </c>
      <c r="X17" s="274">
        <f t="shared" si="5"/>
        <v>4.0000000000000036E-2</v>
      </c>
      <c r="Y17" s="276">
        <f t="shared" si="0"/>
        <v>3160.6153846153848</v>
      </c>
      <c r="Z17" s="276">
        <f t="shared" si="1"/>
        <v>3160.6153846153848</v>
      </c>
      <c r="AA17" s="276">
        <f t="shared" si="2"/>
        <v>3292.3076923076924</v>
      </c>
      <c r="AB17" s="128"/>
      <c r="AC17" s="103">
        <v>45369</v>
      </c>
      <c r="AD17" s="313">
        <f>56632+5000</f>
        <v>61632</v>
      </c>
      <c r="AE17" s="313"/>
      <c r="AF17" s="103"/>
      <c r="AG17" s="313"/>
      <c r="AH17" s="313"/>
      <c r="AI17" s="313">
        <v>246528</v>
      </c>
      <c r="AJ17" s="126" t="s">
        <v>247</v>
      </c>
      <c r="AK17" s="126"/>
      <c r="AL17" s="126"/>
      <c r="AM17" s="126"/>
      <c r="AN17" s="126"/>
      <c r="AO17" s="132" t="s">
        <v>17371</v>
      </c>
      <c r="AP17" s="132" t="s">
        <v>265</v>
      </c>
      <c r="AQ17" s="132"/>
      <c r="AR17" s="132"/>
      <c r="AS17" s="132"/>
      <c r="AT17" s="1428" t="s">
        <v>18144</v>
      </c>
      <c r="AU17" s="132">
        <v>932110134</v>
      </c>
      <c r="AV17" s="132"/>
      <c r="AW17" s="132"/>
      <c r="AX17" s="276">
        <f t="shared" si="3"/>
        <v>266175</v>
      </c>
      <c r="AY17" s="276">
        <v>2730</v>
      </c>
      <c r="AZ17" s="276">
        <v>378000</v>
      </c>
    </row>
    <row r="18" spans="1:52" s="476" customFormat="1">
      <c r="A18" s="1121">
        <v>17</v>
      </c>
      <c r="B18" s="1121" t="s">
        <v>570</v>
      </c>
      <c r="C18" s="703" t="s">
        <v>40</v>
      </c>
      <c r="D18" s="697" t="s">
        <v>90</v>
      </c>
      <c r="E18" s="698">
        <v>4</v>
      </c>
      <c r="F18" s="699" t="s">
        <v>46</v>
      </c>
      <c r="G18" s="700">
        <v>62.4</v>
      </c>
      <c r="H18" s="701">
        <v>25.2</v>
      </c>
      <c r="I18" s="701"/>
      <c r="J18" s="702"/>
      <c r="K18" s="272">
        <f t="shared" si="4"/>
        <v>67.44</v>
      </c>
      <c r="L18" s="697">
        <v>1</v>
      </c>
      <c r="M18" s="272"/>
      <c r="N18" s="272"/>
      <c r="O18" s="272"/>
      <c r="P18" s="126" t="s">
        <v>455</v>
      </c>
      <c r="Q18" s="126" t="s">
        <v>258</v>
      </c>
      <c r="R18" s="277" t="s">
        <v>249</v>
      </c>
      <c r="S18" s="684">
        <v>236160</v>
      </c>
      <c r="T18" s="475">
        <v>218000</v>
      </c>
      <c r="U18" s="475">
        <v>236000</v>
      </c>
      <c r="V18" s="475">
        <v>236000</v>
      </c>
      <c r="W18" s="475">
        <v>246000</v>
      </c>
      <c r="X18" s="274">
        <f t="shared" si="5"/>
        <v>4.0000000000000036E-2</v>
      </c>
      <c r="Y18" s="276">
        <f t="shared" si="0"/>
        <v>3501.7793594306049</v>
      </c>
      <c r="Z18" s="276">
        <f t="shared" si="1"/>
        <v>3499.4068801897984</v>
      </c>
      <c r="AA18" s="276">
        <f t="shared" si="2"/>
        <v>3647.6868327402135</v>
      </c>
      <c r="AB18" s="128">
        <v>45352</v>
      </c>
      <c r="AC18" s="103">
        <v>45369</v>
      </c>
      <c r="AD18" s="275">
        <f>5000+42232</f>
        <v>47232</v>
      </c>
      <c r="AE18" s="275"/>
      <c r="AF18" s="128"/>
      <c r="AG18" s="275"/>
      <c r="AH18" s="275"/>
      <c r="AI18" s="275">
        <v>188928</v>
      </c>
      <c r="AJ18" s="126" t="s">
        <v>247</v>
      </c>
      <c r="AK18" s="126"/>
      <c r="AL18" s="126"/>
      <c r="AM18" s="126"/>
      <c r="AN18" s="126"/>
      <c r="AO18" s="126" t="s">
        <v>17372</v>
      </c>
      <c r="AP18" s="132" t="s">
        <v>265</v>
      </c>
      <c r="AQ18" s="132"/>
      <c r="AR18" s="132"/>
      <c r="AS18" s="132"/>
      <c r="AT18" s="1428" t="s">
        <v>18145</v>
      </c>
      <c r="AU18" s="132">
        <v>914400000</v>
      </c>
      <c r="AV18" s="126"/>
      <c r="AW18" s="126"/>
      <c r="AX18" s="276">
        <f t="shared" si="3"/>
        <v>184111.19999999998</v>
      </c>
      <c r="AY18" s="276">
        <v>2730</v>
      </c>
      <c r="AZ18" s="276"/>
    </row>
    <row r="19" spans="1:52" s="476" customFormat="1">
      <c r="A19" s="1121">
        <v>18</v>
      </c>
      <c r="B19" s="1121" t="s">
        <v>570</v>
      </c>
      <c r="C19" s="703" t="s">
        <v>41</v>
      </c>
      <c r="D19" s="697" t="s">
        <v>91</v>
      </c>
      <c r="E19" s="698">
        <v>4</v>
      </c>
      <c r="F19" s="699" t="s">
        <v>146</v>
      </c>
      <c r="G19" s="700">
        <v>85.6</v>
      </c>
      <c r="H19" s="701">
        <v>52.8</v>
      </c>
      <c r="I19" s="701"/>
      <c r="J19" s="702"/>
      <c r="K19" s="272">
        <f t="shared" si="4"/>
        <v>96.16</v>
      </c>
      <c r="L19" s="697">
        <v>1</v>
      </c>
      <c r="M19" s="272"/>
      <c r="N19" s="272"/>
      <c r="O19" s="272"/>
      <c r="P19" s="126">
        <v>1</v>
      </c>
      <c r="Q19" s="126" t="s">
        <v>258</v>
      </c>
      <c r="R19" s="708"/>
      <c r="S19" s="706">
        <v>331200</v>
      </c>
      <c r="T19" s="475">
        <v>312000</v>
      </c>
      <c r="U19" s="475">
        <v>325000</v>
      </c>
      <c r="V19" s="475">
        <f t="shared" si="6"/>
        <v>331200</v>
      </c>
      <c r="W19" s="475">
        <v>345000</v>
      </c>
      <c r="X19" s="274">
        <f t="shared" si="5"/>
        <v>4.0000000000000036E-2</v>
      </c>
      <c r="Y19" s="276">
        <f t="shared" si="0"/>
        <v>3444.2595673876872</v>
      </c>
      <c r="Z19" s="276">
        <f t="shared" si="1"/>
        <v>3444.2595673876872</v>
      </c>
      <c r="AA19" s="276">
        <f t="shared" si="2"/>
        <v>3587.7703826955076</v>
      </c>
      <c r="AB19" s="128"/>
      <c r="AC19" s="103">
        <v>45583</v>
      </c>
      <c r="AD19" s="313">
        <v>66240</v>
      </c>
      <c r="AE19" s="313"/>
      <c r="AF19" s="103"/>
      <c r="AG19" s="313"/>
      <c r="AH19" s="313"/>
      <c r="AI19" s="313">
        <v>264960</v>
      </c>
      <c r="AJ19" s="126" t="s">
        <v>247</v>
      </c>
      <c r="AK19" s="126"/>
      <c r="AL19" s="126"/>
      <c r="AM19" s="126"/>
      <c r="AN19" s="126"/>
      <c r="AO19" s="132" t="s">
        <v>17680</v>
      </c>
      <c r="AP19" s="132" t="s">
        <v>265</v>
      </c>
      <c r="AQ19" s="132"/>
      <c r="AR19" s="132"/>
      <c r="AS19" s="132"/>
      <c r="AT19" s="1428" t="s">
        <v>18146</v>
      </c>
      <c r="AU19" s="132">
        <v>917833757</v>
      </c>
      <c r="AV19" s="132"/>
      <c r="AW19" s="132"/>
      <c r="AX19" s="276">
        <f t="shared" si="3"/>
        <v>262516.8</v>
      </c>
      <c r="AY19" s="276">
        <v>2730</v>
      </c>
      <c r="AZ19" s="276"/>
    </row>
    <row r="20" spans="1:52" s="476" customFormat="1">
      <c r="A20" s="1121">
        <v>19</v>
      </c>
      <c r="B20" s="1121" t="s">
        <v>570</v>
      </c>
      <c r="C20" s="703" t="s">
        <v>42</v>
      </c>
      <c r="D20" s="697" t="s">
        <v>89</v>
      </c>
      <c r="E20" s="698">
        <v>5</v>
      </c>
      <c r="F20" s="699" t="s">
        <v>145</v>
      </c>
      <c r="G20" s="700">
        <v>116.3</v>
      </c>
      <c r="H20" s="701">
        <v>21.2</v>
      </c>
      <c r="I20" s="701"/>
      <c r="J20" s="702"/>
      <c r="K20" s="272">
        <f>G20+0.3*H20+0.2*I20+0.2*J20</f>
        <v>122.66</v>
      </c>
      <c r="L20" s="697">
        <v>2</v>
      </c>
      <c r="M20" s="272"/>
      <c r="N20" s="272"/>
      <c r="O20" s="272"/>
      <c r="P20" s="126"/>
      <c r="Q20" s="126" t="s">
        <v>258</v>
      </c>
      <c r="R20" s="277"/>
      <c r="S20" s="475">
        <v>396480</v>
      </c>
      <c r="T20" s="475">
        <v>389000</v>
      </c>
      <c r="U20" s="475">
        <v>389000</v>
      </c>
      <c r="V20" s="475">
        <f t="shared" si="6"/>
        <v>396480</v>
      </c>
      <c r="W20" s="475">
        <v>413000</v>
      </c>
      <c r="X20" s="274">
        <f t="shared" si="5"/>
        <v>4.0000000000000036E-2</v>
      </c>
      <c r="Y20" s="276">
        <f t="shared" si="0"/>
        <v>3232.3495842165335</v>
      </c>
      <c r="Z20" s="276">
        <f t="shared" si="1"/>
        <v>3232.3495842165335</v>
      </c>
      <c r="AA20" s="276">
        <f t="shared" si="2"/>
        <v>3367.0308168922224</v>
      </c>
      <c r="AB20" s="128"/>
      <c r="AC20" s="103">
        <v>45742</v>
      </c>
      <c r="AD20" s="313">
        <f>20%*S20</f>
        <v>79296</v>
      </c>
      <c r="AE20" s="313"/>
      <c r="AF20" s="103"/>
      <c r="AG20" s="313"/>
      <c r="AH20" s="313"/>
      <c r="AI20" s="313">
        <f>80%*S20</f>
        <v>317184</v>
      </c>
      <c r="AJ20" s="126" t="s">
        <v>247</v>
      </c>
      <c r="AK20" s="126"/>
      <c r="AL20" s="126"/>
      <c r="AM20" s="126"/>
      <c r="AN20" s="126"/>
      <c r="AO20" s="132" t="s">
        <v>17896</v>
      </c>
      <c r="AP20" s="132" t="s">
        <v>17693</v>
      </c>
      <c r="AQ20" s="132"/>
      <c r="AR20" s="132"/>
      <c r="AS20" s="132"/>
      <c r="AT20" s="132"/>
      <c r="AU20" s="132"/>
      <c r="AV20" s="132"/>
      <c r="AW20" s="132"/>
      <c r="AX20" s="276">
        <f t="shared" si="3"/>
        <v>334861.8</v>
      </c>
      <c r="AY20" s="276">
        <v>2730</v>
      </c>
      <c r="AZ20" s="276"/>
    </row>
    <row r="21" spans="1:52" s="476" customFormat="1">
      <c r="A21" s="1121">
        <v>20</v>
      </c>
      <c r="B21" s="1121" t="s">
        <v>570</v>
      </c>
      <c r="C21" s="703" t="s">
        <v>43</v>
      </c>
      <c r="D21" s="697" t="s">
        <v>89</v>
      </c>
      <c r="E21" s="698">
        <v>5</v>
      </c>
      <c r="F21" s="699" t="s">
        <v>17268</v>
      </c>
      <c r="G21" s="700">
        <v>116.2</v>
      </c>
      <c r="H21" s="701">
        <v>16.600000000000001</v>
      </c>
      <c r="I21" s="701"/>
      <c r="J21" s="702"/>
      <c r="K21" s="272">
        <f>G21+0.3*H21+0.2*I21+0.2*J21</f>
        <v>121.18</v>
      </c>
      <c r="L21" s="697">
        <v>2</v>
      </c>
      <c r="M21" s="272"/>
      <c r="N21" s="272"/>
      <c r="O21" s="272"/>
      <c r="P21" s="126">
        <v>1</v>
      </c>
      <c r="Q21" s="126" t="s">
        <v>258</v>
      </c>
      <c r="R21" s="126"/>
      <c r="S21" s="706">
        <v>398400</v>
      </c>
      <c r="T21" s="475">
        <v>392000</v>
      </c>
      <c r="U21" s="475">
        <v>392000</v>
      </c>
      <c r="V21" s="475">
        <f t="shared" si="6"/>
        <v>398400</v>
      </c>
      <c r="W21" s="475">
        <v>415000</v>
      </c>
      <c r="X21" s="274">
        <f t="shared" si="5"/>
        <v>4.0000000000000036E-2</v>
      </c>
      <c r="Y21" s="276">
        <f t="shared" si="0"/>
        <v>3287.6712328767121</v>
      </c>
      <c r="Z21" s="276">
        <f t="shared" si="1"/>
        <v>3287.6712328767121</v>
      </c>
      <c r="AA21" s="276">
        <f t="shared" si="2"/>
        <v>3424.6575342465753</v>
      </c>
      <c r="AB21" s="128"/>
      <c r="AC21" s="103">
        <v>45646</v>
      </c>
      <c r="AD21" s="313">
        <v>39840</v>
      </c>
      <c r="AE21" s="313">
        <v>39840</v>
      </c>
      <c r="AF21" s="103">
        <f>AC21+185</f>
        <v>45831</v>
      </c>
      <c r="AG21" s="313"/>
      <c r="AH21" s="313"/>
      <c r="AI21" s="313">
        <v>318720</v>
      </c>
      <c r="AJ21" s="126" t="s">
        <v>248</v>
      </c>
      <c r="AK21" s="126"/>
      <c r="AL21" s="126"/>
      <c r="AM21" s="126"/>
      <c r="AN21" s="126"/>
      <c r="AO21" s="112" t="s">
        <v>17780</v>
      </c>
      <c r="AP21" s="132" t="s">
        <v>265</v>
      </c>
      <c r="AQ21" s="132"/>
      <c r="AR21" s="132"/>
      <c r="AS21" s="132"/>
      <c r="AT21" s="1428" t="s">
        <v>18147</v>
      </c>
      <c r="AU21" s="132">
        <v>914585868</v>
      </c>
      <c r="AV21" s="132"/>
      <c r="AW21" s="132"/>
      <c r="AX21" s="276">
        <f t="shared" si="3"/>
        <v>330821.40000000002</v>
      </c>
      <c r="AY21" s="276">
        <v>2730</v>
      </c>
      <c r="AZ21" s="276"/>
    </row>
    <row r="22" spans="1:52" s="476" customFormat="1">
      <c r="A22" s="1121">
        <v>21</v>
      </c>
      <c r="B22" s="1121" t="s">
        <v>570</v>
      </c>
      <c r="C22" s="703" t="s">
        <v>44</v>
      </c>
      <c r="D22" s="697" t="s">
        <v>91</v>
      </c>
      <c r="E22" s="698">
        <v>5</v>
      </c>
      <c r="F22" s="699" t="s">
        <v>17269</v>
      </c>
      <c r="G22" s="700">
        <v>86.5</v>
      </c>
      <c r="H22" s="701">
        <v>55</v>
      </c>
      <c r="I22" s="701"/>
      <c r="J22" s="702"/>
      <c r="K22" s="272">
        <f t="shared" si="4"/>
        <v>97.5</v>
      </c>
      <c r="L22" s="697">
        <v>1</v>
      </c>
      <c r="M22" s="272"/>
      <c r="N22" s="272"/>
      <c r="O22" s="272"/>
      <c r="P22" s="126" t="s">
        <v>455</v>
      </c>
      <c r="Q22" s="277" t="s">
        <v>258</v>
      </c>
      <c r="R22" s="277" t="s">
        <v>249</v>
      </c>
      <c r="S22" s="475">
        <v>301440</v>
      </c>
      <c r="T22" s="475">
        <v>314000</v>
      </c>
      <c r="U22" s="475">
        <v>314000</v>
      </c>
      <c r="V22" s="475">
        <f t="shared" si="6"/>
        <v>301440</v>
      </c>
      <c r="W22" s="475">
        <v>314000</v>
      </c>
      <c r="X22" s="274">
        <f t="shared" si="5"/>
        <v>4.0000000000000036E-2</v>
      </c>
      <c r="Y22" s="276">
        <f t="shared" si="0"/>
        <v>3091.6923076923076</v>
      </c>
      <c r="Z22" s="276">
        <f t="shared" si="1"/>
        <v>3091.6923076923076</v>
      </c>
      <c r="AA22" s="276">
        <f t="shared" si="2"/>
        <v>3220.5128205128203</v>
      </c>
      <c r="AB22" s="128"/>
      <c r="AC22" s="103">
        <v>45379</v>
      </c>
      <c r="AD22" s="313">
        <v>60288</v>
      </c>
      <c r="AE22" s="313"/>
      <c r="AF22" s="103"/>
      <c r="AG22" s="313"/>
      <c r="AH22" s="313"/>
      <c r="AI22" s="313">
        <v>241152</v>
      </c>
      <c r="AJ22" s="126" t="s">
        <v>247</v>
      </c>
      <c r="AK22" s="126"/>
      <c r="AL22" s="126"/>
      <c r="AM22" s="126"/>
      <c r="AN22" s="126"/>
      <c r="AO22" s="132" t="s">
        <v>17373</v>
      </c>
      <c r="AP22" s="132" t="s">
        <v>265</v>
      </c>
      <c r="AQ22" s="132"/>
      <c r="AR22" s="132"/>
      <c r="AS22" s="132"/>
      <c r="AT22" s="1428" t="s">
        <v>17978</v>
      </c>
      <c r="AU22" s="132">
        <v>917427956</v>
      </c>
      <c r="AV22" s="132"/>
      <c r="AW22" s="132"/>
      <c r="AX22" s="276">
        <f t="shared" si="3"/>
        <v>266175</v>
      </c>
      <c r="AY22" s="276">
        <v>2730</v>
      </c>
      <c r="AZ22" s="276"/>
    </row>
    <row r="23" spans="1:52" s="476" customFormat="1">
      <c r="A23" s="1121">
        <v>22</v>
      </c>
      <c r="B23" s="1121" t="s">
        <v>570</v>
      </c>
      <c r="C23" s="703" t="s">
        <v>45</v>
      </c>
      <c r="D23" s="697" t="s">
        <v>90</v>
      </c>
      <c r="E23" s="698">
        <v>5</v>
      </c>
      <c r="F23" s="699" t="s">
        <v>46</v>
      </c>
      <c r="G23" s="700">
        <v>62.4</v>
      </c>
      <c r="H23" s="701">
        <v>25.2</v>
      </c>
      <c r="I23" s="701"/>
      <c r="J23" s="702"/>
      <c r="K23" s="272">
        <f t="shared" si="4"/>
        <v>67.44</v>
      </c>
      <c r="L23" s="697">
        <v>1</v>
      </c>
      <c r="M23" s="272"/>
      <c r="N23" s="272"/>
      <c r="O23" s="272"/>
      <c r="P23" s="126" t="s">
        <v>455</v>
      </c>
      <c r="Q23" s="126" t="s">
        <v>258</v>
      </c>
      <c r="R23" s="126" t="s">
        <v>249</v>
      </c>
      <c r="S23" s="706">
        <v>215040</v>
      </c>
      <c r="T23" s="475">
        <v>224000</v>
      </c>
      <c r="U23" s="475">
        <v>224000</v>
      </c>
      <c r="V23" s="475">
        <f t="shared" si="6"/>
        <v>215040</v>
      </c>
      <c r="W23" s="475">
        <v>224000</v>
      </c>
      <c r="X23" s="274">
        <f t="shared" si="5"/>
        <v>4.0000000000000036E-2</v>
      </c>
      <c r="Y23" s="276">
        <f t="shared" si="0"/>
        <v>3188.6120996441282</v>
      </c>
      <c r="Z23" s="276">
        <f t="shared" si="1"/>
        <v>3188.6120996441282</v>
      </c>
      <c r="AA23" s="276">
        <f t="shared" si="2"/>
        <v>3321.4709371293002</v>
      </c>
      <c r="AB23" s="128"/>
      <c r="AC23" s="103">
        <v>45365</v>
      </c>
      <c r="AD23" s="313">
        <v>43008</v>
      </c>
      <c r="AE23" s="313"/>
      <c r="AF23" s="103"/>
      <c r="AG23" s="313"/>
      <c r="AH23" s="313"/>
      <c r="AI23" s="313">
        <v>172032</v>
      </c>
      <c r="AJ23" s="126" t="s">
        <v>248</v>
      </c>
      <c r="AK23" s="126"/>
      <c r="AL23" s="126"/>
      <c r="AM23" s="126"/>
      <c r="AN23" s="126"/>
      <c r="AO23" s="132" t="s">
        <v>17367</v>
      </c>
      <c r="AP23" s="132" t="s">
        <v>265</v>
      </c>
      <c r="AQ23" s="132"/>
      <c r="AR23" s="132"/>
      <c r="AS23" s="132"/>
      <c r="AT23" s="1428" t="s">
        <v>18136</v>
      </c>
      <c r="AU23" s="132">
        <v>968032204</v>
      </c>
      <c r="AV23" s="132"/>
      <c r="AW23" s="132"/>
      <c r="AX23" s="276">
        <f t="shared" si="3"/>
        <v>184111.19999999998</v>
      </c>
      <c r="AY23" s="276">
        <v>2730</v>
      </c>
      <c r="AZ23" s="276"/>
    </row>
    <row r="24" spans="1:52" s="476" customFormat="1">
      <c r="A24" s="1121">
        <v>23</v>
      </c>
      <c r="B24" s="1121" t="s">
        <v>570</v>
      </c>
      <c r="C24" s="703" t="s">
        <v>46</v>
      </c>
      <c r="D24" s="697" t="s">
        <v>91</v>
      </c>
      <c r="E24" s="698">
        <v>5</v>
      </c>
      <c r="F24" s="699" t="s">
        <v>146</v>
      </c>
      <c r="G24" s="700">
        <v>85.6</v>
      </c>
      <c r="H24" s="701">
        <v>52.8</v>
      </c>
      <c r="I24" s="701"/>
      <c r="J24" s="702"/>
      <c r="K24" s="272">
        <f t="shared" si="4"/>
        <v>96.16</v>
      </c>
      <c r="L24" s="697">
        <v>1</v>
      </c>
      <c r="M24" s="272"/>
      <c r="N24" s="272"/>
      <c r="O24" s="272"/>
      <c r="P24" s="126">
        <v>1</v>
      </c>
      <c r="Q24" s="126" t="s">
        <v>258</v>
      </c>
      <c r="R24" s="126" t="s">
        <v>249</v>
      </c>
      <c r="S24" s="475">
        <v>336000</v>
      </c>
      <c r="T24" s="475">
        <v>317000</v>
      </c>
      <c r="U24" s="475">
        <v>330000</v>
      </c>
      <c r="V24" s="475">
        <f t="shared" si="6"/>
        <v>336000</v>
      </c>
      <c r="W24" s="475">
        <v>350000</v>
      </c>
      <c r="X24" s="274">
        <f t="shared" si="5"/>
        <v>4.0000000000000036E-2</v>
      </c>
      <c r="Y24" s="276">
        <f t="shared" si="0"/>
        <v>3494.1763727121465</v>
      </c>
      <c r="Z24" s="276">
        <f t="shared" si="1"/>
        <v>3494.1763727121465</v>
      </c>
      <c r="AA24" s="276">
        <f t="shared" si="2"/>
        <v>3639.767054908486</v>
      </c>
      <c r="AB24" s="128"/>
      <c r="AC24" s="103">
        <v>45439</v>
      </c>
      <c r="AD24" s="313">
        <v>67200</v>
      </c>
      <c r="AE24" s="313"/>
      <c r="AF24" s="103"/>
      <c r="AG24" s="313"/>
      <c r="AH24" s="313"/>
      <c r="AI24" s="313">
        <v>268800</v>
      </c>
      <c r="AJ24" s="126" t="s">
        <v>248</v>
      </c>
      <c r="AK24" s="126"/>
      <c r="AL24" s="126"/>
      <c r="AM24" s="126"/>
      <c r="AN24" s="126"/>
      <c r="AO24" s="132" t="s">
        <v>17417</v>
      </c>
      <c r="AP24" s="132"/>
      <c r="AQ24" s="132"/>
      <c r="AR24" s="132"/>
      <c r="AS24" s="132"/>
      <c r="AT24" s="132"/>
      <c r="AU24" s="132"/>
      <c r="AV24" s="132"/>
      <c r="AW24" s="132"/>
      <c r="AX24" s="276">
        <f t="shared" si="3"/>
        <v>262516.8</v>
      </c>
      <c r="AY24" s="276">
        <v>2730</v>
      </c>
      <c r="AZ24" s="276"/>
    </row>
    <row r="25" spans="1:52" s="476" customFormat="1">
      <c r="A25" s="1121">
        <v>24</v>
      </c>
      <c r="B25" s="1121" t="s">
        <v>570</v>
      </c>
      <c r="C25" s="703" t="s">
        <v>47</v>
      </c>
      <c r="D25" s="697" t="s">
        <v>89</v>
      </c>
      <c r="E25" s="698">
        <v>6</v>
      </c>
      <c r="F25" s="699" t="s">
        <v>145</v>
      </c>
      <c r="G25" s="700">
        <v>116.3</v>
      </c>
      <c r="H25" s="701">
        <v>21.2</v>
      </c>
      <c r="I25" s="701"/>
      <c r="J25" s="702"/>
      <c r="K25" s="272">
        <f>G25+0.3*H25+0.2*I25+0.2*J25</f>
        <v>122.66</v>
      </c>
      <c r="L25" s="697">
        <v>2</v>
      </c>
      <c r="M25" s="272"/>
      <c r="N25" s="272"/>
      <c r="O25" s="272"/>
      <c r="P25" s="126">
        <v>1</v>
      </c>
      <c r="Q25" s="126" t="s">
        <v>258</v>
      </c>
      <c r="R25" s="277"/>
      <c r="S25" s="706">
        <v>401280</v>
      </c>
      <c r="T25" s="475">
        <v>394000</v>
      </c>
      <c r="U25" s="475">
        <v>394000</v>
      </c>
      <c r="V25" s="475">
        <f t="shared" si="6"/>
        <v>401280</v>
      </c>
      <c r="W25" s="475">
        <v>418000</v>
      </c>
      <c r="X25" s="274">
        <f t="shared" si="5"/>
        <v>4.0000000000000036E-2</v>
      </c>
      <c r="Y25" s="276">
        <f t="shared" si="0"/>
        <v>3271.4821457687917</v>
      </c>
      <c r="Z25" s="276">
        <f t="shared" si="1"/>
        <v>3271.4821457687917</v>
      </c>
      <c r="AA25" s="276">
        <f t="shared" si="2"/>
        <v>3407.7939018424913</v>
      </c>
      <c r="AB25" s="128">
        <v>45496</v>
      </c>
      <c r="AC25" s="103">
        <v>45498</v>
      </c>
      <c r="AD25" s="313">
        <v>40128</v>
      </c>
      <c r="AE25" s="313"/>
      <c r="AF25" s="103"/>
      <c r="AG25" s="313"/>
      <c r="AH25" s="313"/>
      <c r="AI25" s="313">
        <v>361152</v>
      </c>
      <c r="AJ25" s="126" t="s">
        <v>247</v>
      </c>
      <c r="AK25" s="126"/>
      <c r="AL25" s="126"/>
      <c r="AM25" s="126"/>
      <c r="AN25" s="126"/>
      <c r="AO25" s="132" t="s">
        <v>17376</v>
      </c>
      <c r="AP25" s="132" t="s">
        <v>265</v>
      </c>
      <c r="AQ25" s="132"/>
      <c r="AR25" s="132"/>
      <c r="AS25" s="132"/>
      <c r="AT25" s="1428" t="s">
        <v>18148</v>
      </c>
      <c r="AU25" s="132">
        <v>962058589</v>
      </c>
      <c r="AV25" s="132"/>
      <c r="AW25" s="132"/>
      <c r="AX25" s="276">
        <f t="shared" si="3"/>
        <v>334861.8</v>
      </c>
      <c r="AY25" s="276">
        <v>2730</v>
      </c>
      <c r="AZ25" s="276"/>
    </row>
    <row r="26" spans="1:52" s="476" customFormat="1">
      <c r="A26" s="1121">
        <v>25</v>
      </c>
      <c r="B26" s="1121" t="s">
        <v>570</v>
      </c>
      <c r="C26" s="703" t="s">
        <v>48</v>
      </c>
      <c r="D26" s="697" t="s">
        <v>89</v>
      </c>
      <c r="E26" s="698">
        <v>6</v>
      </c>
      <c r="F26" s="699" t="s">
        <v>17268</v>
      </c>
      <c r="G26" s="700">
        <v>116.2</v>
      </c>
      <c r="H26" s="701">
        <v>16.600000000000001</v>
      </c>
      <c r="I26" s="701"/>
      <c r="J26" s="702"/>
      <c r="K26" s="272">
        <f>G26+0.3*H26+0.2*I26+0.2*J26</f>
        <v>121.18</v>
      </c>
      <c r="L26" s="697">
        <v>2</v>
      </c>
      <c r="M26" s="272"/>
      <c r="N26" s="272"/>
      <c r="O26" s="272"/>
      <c r="P26" s="126">
        <v>1</v>
      </c>
      <c r="Q26" s="277" t="s">
        <v>258</v>
      </c>
      <c r="R26" s="277"/>
      <c r="S26" s="706">
        <v>404160</v>
      </c>
      <c r="T26" s="475">
        <v>397000</v>
      </c>
      <c r="U26" s="475">
        <v>397000</v>
      </c>
      <c r="V26" s="475">
        <f t="shared" si="6"/>
        <v>404160</v>
      </c>
      <c r="W26" s="475">
        <v>421000</v>
      </c>
      <c r="X26" s="274">
        <f t="shared" si="5"/>
        <v>4.0000000000000036E-2</v>
      </c>
      <c r="Y26" s="276">
        <f t="shared" si="0"/>
        <v>3335.2038290146888</v>
      </c>
      <c r="Z26" s="276">
        <f t="shared" si="1"/>
        <v>3335.2038290146888</v>
      </c>
      <c r="AA26" s="276">
        <f t="shared" si="2"/>
        <v>3474.1706552236342</v>
      </c>
      <c r="AB26" s="128"/>
      <c r="AC26" s="103">
        <v>45421</v>
      </c>
      <c r="AD26" s="313">
        <f>20%*S26</f>
        <v>80832</v>
      </c>
      <c r="AE26" s="313"/>
      <c r="AF26" s="103"/>
      <c r="AG26" s="313"/>
      <c r="AH26" s="313"/>
      <c r="AI26" s="313">
        <f>80%*S26</f>
        <v>323328</v>
      </c>
      <c r="AJ26" s="126" t="s">
        <v>247</v>
      </c>
      <c r="AK26" s="126"/>
      <c r="AL26" s="126"/>
      <c r="AM26" s="334"/>
      <c r="AN26" s="334"/>
      <c r="AO26" s="334" t="s">
        <v>17479</v>
      </c>
      <c r="AP26" s="132" t="s">
        <v>265</v>
      </c>
      <c r="AQ26" s="132"/>
      <c r="AR26" s="132"/>
      <c r="AS26" s="132"/>
      <c r="AT26" s="1428" t="s">
        <v>18149</v>
      </c>
      <c r="AU26" s="132">
        <v>918584205</v>
      </c>
      <c r="AV26" s="132"/>
      <c r="AW26" s="132"/>
      <c r="AX26" s="276">
        <f t="shared" si="3"/>
        <v>330821.40000000002</v>
      </c>
      <c r="AY26" s="276">
        <v>2730</v>
      </c>
      <c r="AZ26" s="276"/>
    </row>
    <row r="27" spans="1:52" s="476" customFormat="1">
      <c r="A27" s="1121">
        <v>26</v>
      </c>
      <c r="B27" s="1121" t="s">
        <v>570</v>
      </c>
      <c r="C27" s="703" t="s">
        <v>49</v>
      </c>
      <c r="D27" s="697" t="s">
        <v>91</v>
      </c>
      <c r="E27" s="698">
        <v>6</v>
      </c>
      <c r="F27" s="699" t="s">
        <v>17269</v>
      </c>
      <c r="G27" s="700">
        <v>86.5</v>
      </c>
      <c r="H27" s="701">
        <v>55</v>
      </c>
      <c r="I27" s="701"/>
      <c r="J27" s="702"/>
      <c r="K27" s="272">
        <f t="shared" si="4"/>
        <v>97.5</v>
      </c>
      <c r="L27" s="697">
        <v>1</v>
      </c>
      <c r="M27" s="272"/>
      <c r="N27" s="272"/>
      <c r="O27" s="272"/>
      <c r="P27" s="126" t="s">
        <v>455</v>
      </c>
      <c r="Q27" s="277" t="s">
        <v>258</v>
      </c>
      <c r="R27" s="277" t="s">
        <v>249</v>
      </c>
      <c r="S27" s="475">
        <v>306240</v>
      </c>
      <c r="T27" s="475">
        <v>319000</v>
      </c>
      <c r="U27" s="475">
        <v>319000</v>
      </c>
      <c r="V27" s="475">
        <f t="shared" si="6"/>
        <v>306240</v>
      </c>
      <c r="W27" s="475">
        <v>319000</v>
      </c>
      <c r="X27" s="274">
        <f t="shared" si="5"/>
        <v>4.0000000000000036E-2</v>
      </c>
      <c r="Y27" s="276">
        <f t="shared" si="0"/>
        <v>3140.9230769230771</v>
      </c>
      <c r="Z27" s="276">
        <f t="shared" si="1"/>
        <v>3140.9230769230771</v>
      </c>
      <c r="AA27" s="276">
        <f t="shared" si="2"/>
        <v>3271.7948717948716</v>
      </c>
      <c r="AB27" s="128"/>
      <c r="AC27" s="103">
        <v>45379</v>
      </c>
      <c r="AD27" s="313">
        <v>61248</v>
      </c>
      <c r="AE27" s="313"/>
      <c r="AF27" s="103"/>
      <c r="AG27" s="313"/>
      <c r="AH27" s="313"/>
      <c r="AI27" s="313">
        <v>244992</v>
      </c>
      <c r="AJ27" s="280" t="s">
        <v>247</v>
      </c>
      <c r="AK27" s="126"/>
      <c r="AL27" s="126"/>
      <c r="AM27" s="126"/>
      <c r="AN27" s="126"/>
      <c r="AO27" s="132" t="s">
        <v>17373</v>
      </c>
      <c r="AP27" s="132" t="s">
        <v>265</v>
      </c>
      <c r="AQ27" s="132"/>
      <c r="AR27" s="132"/>
      <c r="AS27" s="132"/>
      <c r="AT27" s="132" t="s">
        <v>455</v>
      </c>
      <c r="AU27" s="132">
        <v>917427956</v>
      </c>
      <c r="AV27" s="132"/>
      <c r="AW27" s="132"/>
      <c r="AX27" s="276">
        <f t="shared" si="3"/>
        <v>266175</v>
      </c>
      <c r="AY27" s="276">
        <v>2730</v>
      </c>
      <c r="AZ27" s="276"/>
    </row>
    <row r="28" spans="1:52" s="476" customFormat="1">
      <c r="A28" s="1121">
        <v>27</v>
      </c>
      <c r="B28" s="1121" t="s">
        <v>570</v>
      </c>
      <c r="C28" s="703" t="s">
        <v>50</v>
      </c>
      <c r="D28" s="697" t="s">
        <v>90</v>
      </c>
      <c r="E28" s="698">
        <v>6</v>
      </c>
      <c r="F28" s="699" t="s">
        <v>46</v>
      </c>
      <c r="G28" s="700">
        <v>62.4</v>
      </c>
      <c r="H28" s="701">
        <v>25.2</v>
      </c>
      <c r="I28" s="701"/>
      <c r="J28" s="702"/>
      <c r="K28" s="272">
        <f t="shared" si="4"/>
        <v>67.44</v>
      </c>
      <c r="L28" s="697">
        <v>1</v>
      </c>
      <c r="M28" s="272"/>
      <c r="N28" s="272"/>
      <c r="O28" s="272"/>
      <c r="P28" s="126" t="s">
        <v>455</v>
      </c>
      <c r="Q28" s="126" t="s">
        <v>258</v>
      </c>
      <c r="R28" s="277"/>
      <c r="S28" s="706">
        <v>242880</v>
      </c>
      <c r="T28" s="475">
        <v>229000</v>
      </c>
      <c r="U28" s="475">
        <v>243000</v>
      </c>
      <c r="V28" s="475">
        <f t="shared" si="6"/>
        <v>242880</v>
      </c>
      <c r="W28" s="475">
        <v>253000</v>
      </c>
      <c r="X28" s="274">
        <f t="shared" si="5"/>
        <v>4.0000000000000036E-2</v>
      </c>
      <c r="Y28" s="276">
        <f t="shared" si="0"/>
        <v>3601.423487544484</v>
      </c>
      <c r="Z28" s="276">
        <f t="shared" si="1"/>
        <v>3601.423487544484</v>
      </c>
      <c r="AA28" s="276">
        <f t="shared" si="2"/>
        <v>3751.4827995255041</v>
      </c>
      <c r="AB28" s="128">
        <v>45352</v>
      </c>
      <c r="AC28" s="103">
        <v>45369</v>
      </c>
      <c r="AD28" s="313">
        <f>5000+43576</f>
        <v>48576</v>
      </c>
      <c r="AE28" s="313"/>
      <c r="AF28" s="103"/>
      <c r="AG28" s="313"/>
      <c r="AH28" s="313"/>
      <c r="AI28" s="313">
        <v>194304</v>
      </c>
      <c r="AJ28" s="126" t="s">
        <v>247</v>
      </c>
      <c r="AK28" s="126"/>
      <c r="AL28" s="126"/>
      <c r="AM28" s="126"/>
      <c r="AN28" s="126"/>
      <c r="AO28" s="126" t="s">
        <v>17372</v>
      </c>
      <c r="AP28" s="132" t="s">
        <v>265</v>
      </c>
      <c r="AQ28" s="132"/>
      <c r="AR28" s="132"/>
      <c r="AS28" s="132"/>
      <c r="AT28" s="1428" t="s">
        <v>18145</v>
      </c>
      <c r="AU28" s="132">
        <v>914400000</v>
      </c>
      <c r="AV28" s="132"/>
      <c r="AW28" s="132"/>
      <c r="AX28" s="276">
        <f t="shared" si="3"/>
        <v>184111.19999999998</v>
      </c>
      <c r="AY28" s="276">
        <v>2730</v>
      </c>
      <c r="AZ28" s="276"/>
    </row>
    <row r="29" spans="1:52" s="476" customFormat="1">
      <c r="A29" s="1121">
        <v>28</v>
      </c>
      <c r="B29" s="1121" t="s">
        <v>570</v>
      </c>
      <c r="C29" s="703" t="s">
        <v>51</v>
      </c>
      <c r="D29" s="697" t="s">
        <v>91</v>
      </c>
      <c r="E29" s="698">
        <v>6</v>
      </c>
      <c r="F29" s="699" t="s">
        <v>146</v>
      </c>
      <c r="G29" s="700">
        <v>85.6</v>
      </c>
      <c r="H29" s="701">
        <v>52.8</v>
      </c>
      <c r="I29" s="701"/>
      <c r="J29" s="702"/>
      <c r="K29" s="272">
        <f t="shared" si="4"/>
        <v>96.16</v>
      </c>
      <c r="L29" s="697">
        <v>1</v>
      </c>
      <c r="M29" s="272"/>
      <c r="N29" s="272"/>
      <c r="O29" s="272"/>
      <c r="P29" s="126">
        <v>1</v>
      </c>
      <c r="Q29" s="126" t="s">
        <v>258</v>
      </c>
      <c r="R29" s="126"/>
      <c r="S29" s="706">
        <v>340800</v>
      </c>
      <c r="T29" s="475">
        <v>322000</v>
      </c>
      <c r="U29" s="475">
        <v>335000</v>
      </c>
      <c r="V29" s="475">
        <f t="shared" si="6"/>
        <v>340800</v>
      </c>
      <c r="W29" s="475">
        <v>355000</v>
      </c>
      <c r="X29" s="274">
        <f t="shared" si="5"/>
        <v>4.0000000000000036E-2</v>
      </c>
      <c r="Y29" s="276">
        <f t="shared" si="0"/>
        <v>3544.0931780366059</v>
      </c>
      <c r="Z29" s="276">
        <f t="shared" si="1"/>
        <v>3544.0931780366059</v>
      </c>
      <c r="AA29" s="276">
        <f t="shared" si="2"/>
        <v>3691.7637271214644</v>
      </c>
      <c r="AB29" s="128"/>
      <c r="AC29" s="103">
        <v>45449</v>
      </c>
      <c r="AD29" s="313">
        <v>68160</v>
      </c>
      <c r="AE29" s="313"/>
      <c r="AF29" s="103"/>
      <c r="AG29" s="313"/>
      <c r="AH29" s="313"/>
      <c r="AI29" s="313">
        <v>272640</v>
      </c>
      <c r="AJ29" s="126" t="s">
        <v>247</v>
      </c>
      <c r="AK29" s="126"/>
      <c r="AL29" s="126"/>
      <c r="AM29" s="126"/>
      <c r="AN29" s="126"/>
      <c r="AO29" s="132" t="s">
        <v>17483</v>
      </c>
      <c r="AP29" s="132" t="s">
        <v>265</v>
      </c>
      <c r="AQ29" s="132"/>
      <c r="AR29" s="132"/>
      <c r="AS29" s="132"/>
      <c r="AT29" s="1428" t="s">
        <v>18150</v>
      </c>
      <c r="AU29" s="132">
        <v>962639135</v>
      </c>
      <c r="AV29" s="132"/>
      <c r="AW29" s="132"/>
      <c r="AX29" s="276">
        <f t="shared" si="3"/>
        <v>262516.8</v>
      </c>
      <c r="AY29" s="276">
        <v>2730</v>
      </c>
      <c r="AZ29" s="276"/>
    </row>
    <row r="30" spans="1:52" s="476" customFormat="1">
      <c r="A30" s="1121">
        <v>29</v>
      </c>
      <c r="B30" s="1121" t="s">
        <v>570</v>
      </c>
      <c r="C30" s="703" t="s">
        <v>52</v>
      </c>
      <c r="D30" s="697" t="s">
        <v>93</v>
      </c>
      <c r="E30" s="698">
        <v>7</v>
      </c>
      <c r="F30" s="699" t="s">
        <v>17267</v>
      </c>
      <c r="G30" s="700">
        <v>173</v>
      </c>
      <c r="H30" s="701"/>
      <c r="I30" s="701"/>
      <c r="J30" s="701">
        <v>110.8</v>
      </c>
      <c r="K30" s="272">
        <f>G30+0.2*H30+0.2*I30+0.3*J30</f>
        <v>206.24</v>
      </c>
      <c r="L30" s="697" t="s">
        <v>17271</v>
      </c>
      <c r="M30" s="272"/>
      <c r="N30" s="272"/>
      <c r="O30" s="272"/>
      <c r="P30" s="126"/>
      <c r="Q30" s="126" t="s">
        <v>258</v>
      </c>
      <c r="R30" s="126"/>
      <c r="S30" s="475">
        <v>658560</v>
      </c>
      <c r="T30" s="475">
        <v>686000</v>
      </c>
      <c r="U30" s="475">
        <v>686000</v>
      </c>
      <c r="V30" s="475">
        <f t="shared" si="6"/>
        <v>658560</v>
      </c>
      <c r="W30" s="475">
        <v>686000</v>
      </c>
      <c r="X30" s="274">
        <f t="shared" si="5"/>
        <v>4.0000000000000036E-2</v>
      </c>
      <c r="Y30" s="276">
        <f t="shared" si="0"/>
        <v>3193.1730023273853</v>
      </c>
      <c r="Z30" s="276">
        <f t="shared" si="1"/>
        <v>3193.1730023273853</v>
      </c>
      <c r="AA30" s="276">
        <f t="shared" si="2"/>
        <v>3326.2218774243597</v>
      </c>
      <c r="AB30" s="128"/>
      <c r="AC30" s="103">
        <v>45496</v>
      </c>
      <c r="AD30" s="313">
        <v>136712</v>
      </c>
      <c r="AE30" s="313"/>
      <c r="AF30" s="103"/>
      <c r="AG30" s="313"/>
      <c r="AH30" s="313"/>
      <c r="AI30" s="313">
        <v>526848</v>
      </c>
      <c r="AJ30" s="126" t="s">
        <v>247</v>
      </c>
      <c r="AK30" s="126"/>
      <c r="AL30" s="126"/>
      <c r="AM30" s="126"/>
      <c r="AN30" s="126"/>
      <c r="AO30" s="132" t="s">
        <v>17517</v>
      </c>
      <c r="AP30" s="132" t="s">
        <v>265</v>
      </c>
      <c r="AQ30" s="132"/>
      <c r="AR30" s="132"/>
      <c r="AS30" s="132"/>
      <c r="AT30" s="1428" t="s">
        <v>18151</v>
      </c>
      <c r="AU30" s="132">
        <v>933338099</v>
      </c>
      <c r="AV30" s="132"/>
      <c r="AW30" s="132"/>
      <c r="AX30" s="276">
        <f t="shared" si="3"/>
        <v>563035.20000000007</v>
      </c>
      <c r="AY30" s="276">
        <v>2730</v>
      </c>
      <c r="AZ30" s="276"/>
    </row>
    <row r="31" spans="1:52" s="476" customFormat="1">
      <c r="A31" s="1121">
        <v>30</v>
      </c>
      <c r="B31" s="1121" t="s">
        <v>570</v>
      </c>
      <c r="C31" s="1862" t="s">
        <v>53</v>
      </c>
      <c r="D31" s="697" t="s">
        <v>93</v>
      </c>
      <c r="E31" s="698">
        <v>7</v>
      </c>
      <c r="F31" s="699" t="s">
        <v>17270</v>
      </c>
      <c r="G31" s="700">
        <v>173</v>
      </c>
      <c r="H31" s="701"/>
      <c r="I31" s="701"/>
      <c r="J31" s="701">
        <v>110.8</v>
      </c>
      <c r="K31" s="272">
        <f>G31+0.2*H31+0.2*I31+0.3*J31</f>
        <v>206.24</v>
      </c>
      <c r="L31" s="697" t="s">
        <v>17271</v>
      </c>
      <c r="M31" s="272"/>
      <c r="N31" s="272"/>
      <c r="O31" s="272"/>
      <c r="P31" s="126"/>
      <c r="Q31" s="277" t="s">
        <v>258</v>
      </c>
      <c r="R31" s="126" t="s">
        <v>249</v>
      </c>
      <c r="S31" s="706">
        <v>658560</v>
      </c>
      <c r="T31" s="475">
        <v>686000</v>
      </c>
      <c r="U31" s="475">
        <v>686000</v>
      </c>
      <c r="V31" s="475">
        <f t="shared" si="6"/>
        <v>658560</v>
      </c>
      <c r="W31" s="475">
        <v>686000</v>
      </c>
      <c r="X31" s="274">
        <f t="shared" si="5"/>
        <v>4.0000000000000036E-2</v>
      </c>
      <c r="Y31" s="276">
        <f t="shared" si="0"/>
        <v>3193.1730023273853</v>
      </c>
      <c r="Z31" s="276">
        <f t="shared" si="1"/>
        <v>3193.1730023273853</v>
      </c>
      <c r="AA31" s="276">
        <f t="shared" si="2"/>
        <v>3326.2218774243597</v>
      </c>
      <c r="AB31" s="128"/>
      <c r="AC31" s="103">
        <v>45370</v>
      </c>
      <c r="AD31" s="313">
        <f>126712+5000</f>
        <v>131712</v>
      </c>
      <c r="AE31" s="313"/>
      <c r="AF31" s="103"/>
      <c r="AG31" s="313"/>
      <c r="AH31" s="313"/>
      <c r="AI31" s="313">
        <v>526848</v>
      </c>
      <c r="AJ31" s="126" t="s">
        <v>247</v>
      </c>
      <c r="AK31" s="126"/>
      <c r="AL31" s="126"/>
      <c r="AM31" s="126"/>
      <c r="AN31" s="126"/>
      <c r="AO31" s="132" t="s">
        <v>17344</v>
      </c>
      <c r="AP31" s="132" t="s">
        <v>265</v>
      </c>
      <c r="AQ31" s="132"/>
      <c r="AR31" s="132"/>
      <c r="AS31" s="132"/>
      <c r="AT31" s="1428" t="s">
        <v>18152</v>
      </c>
      <c r="AU31" s="132">
        <v>917219495</v>
      </c>
      <c r="AV31" s="132"/>
      <c r="AW31" s="132"/>
      <c r="AX31" s="276">
        <f t="shared" si="3"/>
        <v>563035.20000000007</v>
      </c>
      <c r="AY31" s="276">
        <v>2730</v>
      </c>
      <c r="AZ31" s="276"/>
    </row>
    <row r="32" spans="1:52" s="476" customFormat="1">
      <c r="A32" s="1863">
        <v>31</v>
      </c>
      <c r="B32" s="1863" t="s">
        <v>571</v>
      </c>
      <c r="C32" s="703" t="s">
        <v>54</v>
      </c>
      <c r="D32" s="697" t="s">
        <v>91</v>
      </c>
      <c r="E32" s="698">
        <v>1</v>
      </c>
      <c r="F32" s="699" t="s">
        <v>17267</v>
      </c>
      <c r="G32" s="700">
        <v>100.4</v>
      </c>
      <c r="H32" s="701"/>
      <c r="I32" s="701">
        <f>9.7+34.1</f>
        <v>43.8</v>
      </c>
      <c r="J32" s="702"/>
      <c r="K32" s="272">
        <f>G32+0.2*H32+0.2*I32+0.2*J32</f>
        <v>109.16000000000001</v>
      </c>
      <c r="L32" s="697">
        <v>1</v>
      </c>
      <c r="M32" s="272"/>
      <c r="N32" s="272"/>
      <c r="O32" s="272"/>
      <c r="P32" s="126" t="s">
        <v>455</v>
      </c>
      <c r="Q32" s="277" t="s">
        <v>258</v>
      </c>
      <c r="R32" s="277"/>
      <c r="S32" s="475">
        <v>324480</v>
      </c>
      <c r="T32" s="475">
        <v>307000</v>
      </c>
      <c r="U32" s="475">
        <v>319000</v>
      </c>
      <c r="V32" s="475">
        <f t="shared" si="6"/>
        <v>324480</v>
      </c>
      <c r="W32" s="475">
        <v>338000</v>
      </c>
      <c r="X32" s="274">
        <f t="shared" si="5"/>
        <v>4.0000000000000036E-2</v>
      </c>
      <c r="Y32" s="276">
        <f t="shared" si="0"/>
        <v>2972.5174056430924</v>
      </c>
      <c r="Z32" s="276">
        <f t="shared" si="1"/>
        <v>2972.5174056430924</v>
      </c>
      <c r="AA32" s="276">
        <f t="shared" si="2"/>
        <v>3096.3722975448877</v>
      </c>
      <c r="AB32" s="128">
        <v>45409</v>
      </c>
      <c r="AC32" s="103">
        <v>45471</v>
      </c>
      <c r="AD32" s="313">
        <v>64896</v>
      </c>
      <c r="AE32" s="313"/>
      <c r="AF32" s="103"/>
      <c r="AG32" s="313"/>
      <c r="AH32" s="313"/>
      <c r="AI32" s="313">
        <v>259584</v>
      </c>
      <c r="AJ32" s="126" t="s">
        <v>247</v>
      </c>
      <c r="AK32" s="126"/>
      <c r="AL32" s="126"/>
      <c r="AM32" s="126"/>
      <c r="AN32" s="126"/>
      <c r="AO32" s="132" t="s">
        <v>17505</v>
      </c>
      <c r="AP32" s="132" t="s">
        <v>265</v>
      </c>
      <c r="AQ32" s="132"/>
      <c r="AR32" s="132"/>
      <c r="AS32" s="132"/>
      <c r="AT32" s="1428" t="s">
        <v>18153</v>
      </c>
      <c r="AU32" s="132">
        <v>913006949</v>
      </c>
      <c r="AV32" s="132"/>
      <c r="AW32" s="132"/>
      <c r="AX32" s="276">
        <f t="shared" si="3"/>
        <v>298006.80000000005</v>
      </c>
      <c r="AY32" s="276">
        <v>2730</v>
      </c>
      <c r="AZ32" s="276"/>
    </row>
    <row r="33" spans="1:52" s="476" customFormat="1">
      <c r="A33" s="1863">
        <v>32</v>
      </c>
      <c r="B33" s="1863" t="s">
        <v>571</v>
      </c>
      <c r="C33" s="703" t="s">
        <v>55</v>
      </c>
      <c r="D33" s="697" t="s">
        <v>91</v>
      </c>
      <c r="E33" s="698">
        <v>1</v>
      </c>
      <c r="F33" s="699" t="s">
        <v>28</v>
      </c>
      <c r="G33" s="700">
        <v>90.9</v>
      </c>
      <c r="H33" s="701"/>
      <c r="I33" s="701">
        <v>28.4</v>
      </c>
      <c r="J33" s="702"/>
      <c r="K33" s="272">
        <f>G33+0.2*H33+0.2*I33+0.2*J33</f>
        <v>96.580000000000013</v>
      </c>
      <c r="L33" s="697">
        <v>1</v>
      </c>
      <c r="M33" s="272"/>
      <c r="N33" s="272"/>
      <c r="O33" s="272"/>
      <c r="P33" s="126" t="s">
        <v>455</v>
      </c>
      <c r="Q33" s="277" t="s">
        <v>258</v>
      </c>
      <c r="R33" s="277"/>
      <c r="S33" s="706">
        <v>281280</v>
      </c>
      <c r="T33" s="475">
        <v>265000</v>
      </c>
      <c r="U33" s="475">
        <v>276000</v>
      </c>
      <c r="V33" s="475">
        <f t="shared" si="6"/>
        <v>281280</v>
      </c>
      <c r="W33" s="475">
        <v>293000</v>
      </c>
      <c r="X33" s="274">
        <f t="shared" si="5"/>
        <v>4.0000000000000036E-2</v>
      </c>
      <c r="Y33" s="276">
        <f t="shared" si="0"/>
        <v>2912.4042244771172</v>
      </c>
      <c r="Z33" s="276">
        <f t="shared" si="1"/>
        <v>2912.4042244771172</v>
      </c>
      <c r="AA33" s="276">
        <f t="shared" si="2"/>
        <v>3033.7544004969968</v>
      </c>
      <c r="AB33" s="128"/>
      <c r="AC33" s="103">
        <v>45471</v>
      </c>
      <c r="AD33" s="313">
        <v>56256</v>
      </c>
      <c r="AE33" s="313"/>
      <c r="AF33" s="103"/>
      <c r="AG33" s="313"/>
      <c r="AH33" s="313"/>
      <c r="AI33" s="313">
        <v>225024</v>
      </c>
      <c r="AJ33" s="126" t="s">
        <v>247</v>
      </c>
      <c r="AK33" s="126"/>
      <c r="AL33" s="126"/>
      <c r="AM33" s="126"/>
      <c r="AN33" s="126"/>
      <c r="AO33" s="132" t="s">
        <v>17506</v>
      </c>
      <c r="AP33" s="132" t="s">
        <v>265</v>
      </c>
      <c r="AQ33" s="132"/>
      <c r="AR33" s="132"/>
      <c r="AS33" s="132"/>
      <c r="AT33" s="132"/>
      <c r="AU33" s="132"/>
      <c r="AV33" s="132"/>
      <c r="AW33" s="132"/>
      <c r="AX33" s="276">
        <f t="shared" si="3"/>
        <v>263663.40000000002</v>
      </c>
      <c r="AY33" s="276">
        <v>2730</v>
      </c>
      <c r="AZ33" s="276"/>
    </row>
    <row r="34" spans="1:52" s="476" customFormat="1" ht="15.75" thickBot="1">
      <c r="A34" s="1863">
        <v>33</v>
      </c>
      <c r="B34" s="1863" t="s">
        <v>571</v>
      </c>
      <c r="C34" s="703" t="s">
        <v>56</v>
      </c>
      <c r="D34" s="697" t="s">
        <v>91</v>
      </c>
      <c r="E34" s="697">
        <v>1</v>
      </c>
      <c r="F34" s="699" t="s">
        <v>46</v>
      </c>
      <c r="G34" s="700">
        <v>84.4</v>
      </c>
      <c r="H34" s="701"/>
      <c r="I34" s="701">
        <v>60.2</v>
      </c>
      <c r="J34" s="704"/>
      <c r="K34" s="272">
        <f>G34+0.2*H34+0.2*I34+0.2*J34</f>
        <v>96.440000000000012</v>
      </c>
      <c r="L34" s="697">
        <v>1</v>
      </c>
      <c r="M34" s="272"/>
      <c r="N34" s="272"/>
      <c r="O34" s="272"/>
      <c r="P34" s="126" t="s">
        <v>455</v>
      </c>
      <c r="Q34" s="277" t="s">
        <v>258</v>
      </c>
      <c r="R34" s="277"/>
      <c r="S34" s="475">
        <v>275520</v>
      </c>
      <c r="T34" s="475">
        <v>276000</v>
      </c>
      <c r="U34" s="475">
        <v>287000</v>
      </c>
      <c r="V34" s="475">
        <f t="shared" si="6"/>
        <v>275520</v>
      </c>
      <c r="W34" s="475">
        <v>287000</v>
      </c>
      <c r="X34" s="274">
        <f t="shared" si="5"/>
        <v>4.0000000000000036E-2</v>
      </c>
      <c r="Y34" s="276">
        <f t="shared" ref="Y34:Y57" si="7">S34/K34</f>
        <v>2856.9058481957691</v>
      </c>
      <c r="Z34" s="276">
        <f t="shared" ref="Z34:Z57" si="8">V34/K34</f>
        <v>2856.9058481957691</v>
      </c>
      <c r="AA34" s="276">
        <f t="shared" ref="AA34:AA57" si="9">W34/K34</f>
        <v>2975.9435918705926</v>
      </c>
      <c r="AB34" s="128">
        <v>45350</v>
      </c>
      <c r="AC34" s="103">
        <v>45376</v>
      </c>
      <c r="AD34" s="313">
        <v>55104</v>
      </c>
      <c r="AE34" s="313"/>
      <c r="AF34" s="103"/>
      <c r="AG34" s="313"/>
      <c r="AH34" s="313"/>
      <c r="AI34" s="313">
        <v>220416</v>
      </c>
      <c r="AJ34" s="126" t="s">
        <v>247</v>
      </c>
      <c r="AK34" s="126"/>
      <c r="AL34" s="126"/>
      <c r="AM34" s="126"/>
      <c r="AN34" s="126"/>
      <c r="AO34" s="132" t="s">
        <v>17376</v>
      </c>
      <c r="AP34" s="132" t="s">
        <v>265</v>
      </c>
      <c r="AQ34" s="132"/>
      <c r="AR34" s="132"/>
      <c r="AS34" s="132"/>
      <c r="AT34" s="1428" t="s">
        <v>18154</v>
      </c>
      <c r="AU34" s="132">
        <v>963023090</v>
      </c>
      <c r="AV34" s="132"/>
      <c r="AW34" s="132"/>
      <c r="AX34" s="276">
        <f t="shared" ref="AX34:AX57" si="10">AY34*K34</f>
        <v>263281.2</v>
      </c>
      <c r="AY34" s="276">
        <v>2730</v>
      </c>
      <c r="AZ34" s="276"/>
    </row>
    <row r="35" spans="1:52" s="476" customFormat="1">
      <c r="A35" s="1863">
        <v>34</v>
      </c>
      <c r="B35" s="1863" t="s">
        <v>571</v>
      </c>
      <c r="C35" s="703" t="s">
        <v>57</v>
      </c>
      <c r="D35" s="697" t="s">
        <v>91</v>
      </c>
      <c r="E35" s="697">
        <v>1</v>
      </c>
      <c r="F35" s="699" t="s">
        <v>46</v>
      </c>
      <c r="G35" s="700">
        <v>85.9</v>
      </c>
      <c r="H35" s="701"/>
      <c r="I35" s="701">
        <v>62.5</v>
      </c>
      <c r="J35" s="711"/>
      <c r="K35" s="272">
        <f>G35+0.2*H35+0.2*I35+0.2*J35</f>
        <v>98.4</v>
      </c>
      <c r="L35" s="697">
        <v>1</v>
      </c>
      <c r="M35" s="272"/>
      <c r="N35" s="272"/>
      <c r="O35" s="272"/>
      <c r="P35" s="126" t="s">
        <v>455</v>
      </c>
      <c r="Q35" s="277" t="s">
        <v>258</v>
      </c>
      <c r="R35" s="708"/>
      <c r="S35" s="475">
        <v>289000</v>
      </c>
      <c r="T35" s="475">
        <v>278000</v>
      </c>
      <c r="U35" s="475">
        <v>289000</v>
      </c>
      <c r="V35" s="475">
        <f t="shared" si="6"/>
        <v>294720</v>
      </c>
      <c r="W35" s="475">
        <v>307000</v>
      </c>
      <c r="X35" s="274">
        <f t="shared" si="5"/>
        <v>5.8631921824104261E-2</v>
      </c>
      <c r="Y35" s="276">
        <f t="shared" si="7"/>
        <v>2936.9918699186992</v>
      </c>
      <c r="Z35" s="276">
        <f t="shared" si="8"/>
        <v>2995.1219512195121</v>
      </c>
      <c r="AA35" s="276">
        <f t="shared" si="9"/>
        <v>3119.9186991869915</v>
      </c>
      <c r="AB35" s="128">
        <v>45370</v>
      </c>
      <c r="AC35" s="103">
        <v>45378</v>
      </c>
      <c r="AD35" s="313">
        <f>20%*S35</f>
        <v>57800</v>
      </c>
      <c r="AE35" s="313"/>
      <c r="AF35" s="103"/>
      <c r="AG35" s="313"/>
      <c r="AH35" s="313"/>
      <c r="AI35" s="313">
        <f>80%*S35</f>
        <v>231200</v>
      </c>
      <c r="AJ35" s="126" t="s">
        <v>17320</v>
      </c>
      <c r="AK35" s="126"/>
      <c r="AL35" s="126"/>
      <c r="AM35" s="126"/>
      <c r="AN35" s="126"/>
      <c r="AO35" s="126" t="s">
        <v>17378</v>
      </c>
      <c r="AP35" s="132" t="s">
        <v>265</v>
      </c>
      <c r="AQ35" s="132"/>
      <c r="AR35" s="132"/>
      <c r="AS35" s="132"/>
      <c r="AT35" s="132"/>
      <c r="AU35" s="132">
        <v>919734623</v>
      </c>
      <c r="AV35" s="132"/>
      <c r="AW35" s="132"/>
      <c r="AX35" s="276">
        <f t="shared" si="10"/>
        <v>268632</v>
      </c>
      <c r="AY35" s="276">
        <v>2730</v>
      </c>
      <c r="AZ35" s="276"/>
    </row>
    <row r="36" spans="1:52" s="476" customFormat="1">
      <c r="A36" s="1863">
        <v>35</v>
      </c>
      <c r="B36" s="1863" t="s">
        <v>571</v>
      </c>
      <c r="C36" s="703" t="s">
        <v>58</v>
      </c>
      <c r="D36" s="697" t="s">
        <v>91</v>
      </c>
      <c r="E36" s="697">
        <v>2</v>
      </c>
      <c r="F36" s="699" t="s">
        <v>17267</v>
      </c>
      <c r="G36" s="700">
        <v>103.8</v>
      </c>
      <c r="H36" s="701">
        <v>74.3</v>
      </c>
      <c r="I36" s="701"/>
      <c r="J36" s="702"/>
      <c r="K36" s="272">
        <f t="shared" si="4"/>
        <v>118.66</v>
      </c>
      <c r="L36" s="697">
        <v>1</v>
      </c>
      <c r="M36" s="272"/>
      <c r="N36" s="272"/>
      <c r="O36" s="272"/>
      <c r="P36" s="126" t="s">
        <v>455</v>
      </c>
      <c r="Q36" s="1202" t="s">
        <v>258</v>
      </c>
      <c r="R36" s="277"/>
      <c r="S36" s="475">
        <v>368640</v>
      </c>
      <c r="T36" s="475">
        <v>348000</v>
      </c>
      <c r="U36" s="475">
        <v>362000</v>
      </c>
      <c r="V36" s="475">
        <f t="shared" si="6"/>
        <v>368640</v>
      </c>
      <c r="W36" s="475">
        <v>384000</v>
      </c>
      <c r="X36" s="274">
        <f t="shared" si="5"/>
        <v>4.0000000000000036E-2</v>
      </c>
      <c r="Y36" s="276">
        <f t="shared" si="7"/>
        <v>3106.6913871565821</v>
      </c>
      <c r="Z36" s="276">
        <f t="shared" si="8"/>
        <v>3106.6913871565821</v>
      </c>
      <c r="AA36" s="276">
        <f t="shared" si="9"/>
        <v>3236.1368616214395</v>
      </c>
      <c r="AB36" s="128">
        <v>45478</v>
      </c>
      <c r="AC36" s="103">
        <v>45504</v>
      </c>
      <c r="AD36" s="313">
        <v>73728</v>
      </c>
      <c r="AE36" s="313"/>
      <c r="AF36" s="103"/>
      <c r="AG36" s="313"/>
      <c r="AH36" s="313"/>
      <c r="AI36" s="313">
        <v>294912</v>
      </c>
      <c r="AJ36" s="126" t="s">
        <v>247</v>
      </c>
      <c r="AK36" s="126"/>
      <c r="AL36" s="126"/>
      <c r="AM36" s="126"/>
      <c r="AN36" s="126"/>
      <c r="AO36" s="132" t="s">
        <v>17555</v>
      </c>
      <c r="AP36" s="132" t="s">
        <v>265</v>
      </c>
      <c r="AQ36" s="132"/>
      <c r="AR36" s="132"/>
      <c r="AS36" s="132"/>
      <c r="AT36" s="1428" t="s">
        <v>18141</v>
      </c>
      <c r="AU36" s="132">
        <v>939947609</v>
      </c>
      <c r="AV36" s="132"/>
      <c r="AW36" s="132"/>
      <c r="AX36" s="276">
        <f t="shared" si="10"/>
        <v>323941.8</v>
      </c>
      <c r="AY36" s="276">
        <v>2730</v>
      </c>
      <c r="AZ36" s="276"/>
    </row>
    <row r="37" spans="1:52" s="476" customFormat="1">
      <c r="A37" s="1863">
        <v>36</v>
      </c>
      <c r="B37" s="1863" t="s">
        <v>571</v>
      </c>
      <c r="C37" s="703" t="s">
        <v>59</v>
      </c>
      <c r="D37" s="697" t="s">
        <v>89</v>
      </c>
      <c r="E37" s="697">
        <v>2</v>
      </c>
      <c r="F37" s="699" t="s">
        <v>17268</v>
      </c>
      <c r="G37" s="700">
        <v>116.1</v>
      </c>
      <c r="H37" s="701">
        <v>53.2</v>
      </c>
      <c r="I37" s="701"/>
      <c r="J37" s="702"/>
      <c r="K37" s="272">
        <f t="shared" si="4"/>
        <v>126.74</v>
      </c>
      <c r="L37" s="697">
        <v>2</v>
      </c>
      <c r="M37" s="272"/>
      <c r="N37" s="272"/>
      <c r="O37" s="272"/>
      <c r="P37" s="126">
        <v>1</v>
      </c>
      <c r="Q37" s="277" t="s">
        <v>258</v>
      </c>
      <c r="R37" s="277"/>
      <c r="S37" s="475">
        <v>400000</v>
      </c>
      <c r="T37" s="475">
        <v>392000</v>
      </c>
      <c r="U37" s="475">
        <v>392000</v>
      </c>
      <c r="V37" s="475">
        <f t="shared" si="6"/>
        <v>399360</v>
      </c>
      <c r="W37" s="475">
        <v>416000</v>
      </c>
      <c r="X37" s="274">
        <v>0</v>
      </c>
      <c r="Y37" s="276">
        <f t="shared" si="7"/>
        <v>3156.0675398453527</v>
      </c>
      <c r="Z37" s="276">
        <f t="shared" si="8"/>
        <v>3151.0178317816003</v>
      </c>
      <c r="AA37" s="276">
        <f t="shared" si="9"/>
        <v>3282.3102414391669</v>
      </c>
      <c r="AB37" s="128">
        <v>45701</v>
      </c>
      <c r="AC37" s="103">
        <v>45744</v>
      </c>
      <c r="AD37" s="313">
        <f>5000+75000</f>
        <v>80000</v>
      </c>
      <c r="AE37" s="313"/>
      <c r="AF37" s="103"/>
      <c r="AG37" s="313"/>
      <c r="AH37" s="313"/>
      <c r="AI37" s="313">
        <v>320000</v>
      </c>
      <c r="AJ37" s="126" t="s">
        <v>247</v>
      </c>
      <c r="AK37" s="126"/>
      <c r="AL37" s="126"/>
      <c r="AM37" s="126"/>
      <c r="AN37" s="126"/>
      <c r="AO37" s="132" t="s">
        <v>17840</v>
      </c>
      <c r="AP37" s="132" t="s">
        <v>265</v>
      </c>
      <c r="AQ37" s="132"/>
      <c r="AR37" s="132"/>
      <c r="AS37" s="132"/>
      <c r="AT37" s="1428" t="s">
        <v>18155</v>
      </c>
      <c r="AU37" s="132">
        <v>917368073</v>
      </c>
      <c r="AV37" s="132"/>
      <c r="AW37" s="132"/>
      <c r="AX37" s="276">
        <f t="shared" si="10"/>
        <v>346000.2</v>
      </c>
      <c r="AY37" s="276">
        <v>2730</v>
      </c>
      <c r="AZ37" s="276"/>
    </row>
    <row r="38" spans="1:52" s="476" customFormat="1">
      <c r="A38" s="1863">
        <v>37</v>
      </c>
      <c r="B38" s="1863" t="s">
        <v>571</v>
      </c>
      <c r="C38" s="703" t="s">
        <v>60</v>
      </c>
      <c r="D38" s="697" t="s">
        <v>91</v>
      </c>
      <c r="E38" s="697">
        <v>2</v>
      </c>
      <c r="F38" s="699" t="s">
        <v>46</v>
      </c>
      <c r="G38" s="700">
        <v>84.6</v>
      </c>
      <c r="H38" s="701">
        <v>32.299999999999997</v>
      </c>
      <c r="I38" s="701"/>
      <c r="J38" s="702"/>
      <c r="K38" s="272">
        <f t="shared" si="4"/>
        <v>91.059999999999988</v>
      </c>
      <c r="L38" s="697">
        <v>1</v>
      </c>
      <c r="M38" s="272"/>
      <c r="N38" s="272"/>
      <c r="O38" s="272"/>
      <c r="P38" s="126" t="s">
        <v>455</v>
      </c>
      <c r="Q38" s="277" t="s">
        <v>258</v>
      </c>
      <c r="R38" s="277"/>
      <c r="S38" s="706">
        <v>335040</v>
      </c>
      <c r="T38" s="475">
        <v>304000</v>
      </c>
      <c r="U38" s="475">
        <v>329000</v>
      </c>
      <c r="V38" s="475">
        <f t="shared" si="6"/>
        <v>335040</v>
      </c>
      <c r="W38" s="475">
        <v>349000</v>
      </c>
      <c r="X38" s="274">
        <f t="shared" si="5"/>
        <v>4.0000000000000036E-2</v>
      </c>
      <c r="Y38" s="276">
        <f t="shared" si="7"/>
        <v>3679.3323083681094</v>
      </c>
      <c r="Z38" s="276">
        <f t="shared" si="8"/>
        <v>3679.3323083681094</v>
      </c>
      <c r="AA38" s="276">
        <f t="shared" si="9"/>
        <v>3832.6378212167806</v>
      </c>
      <c r="AB38" s="128">
        <v>45546</v>
      </c>
      <c r="AC38" s="103">
        <v>45559</v>
      </c>
      <c r="AD38" s="313">
        <v>67008</v>
      </c>
      <c r="AE38" s="313"/>
      <c r="AF38" s="103"/>
      <c r="AG38" s="313"/>
      <c r="AH38" s="313"/>
      <c r="AI38" s="313">
        <v>268032</v>
      </c>
      <c r="AJ38" s="126" t="s">
        <v>247</v>
      </c>
      <c r="AK38" s="126"/>
      <c r="AL38" s="126"/>
      <c r="AM38" s="126"/>
      <c r="AN38" s="126"/>
      <c r="AO38" s="132" t="s">
        <v>17623</v>
      </c>
      <c r="AP38" s="132" t="s">
        <v>265</v>
      </c>
      <c r="AQ38" s="132"/>
      <c r="AR38" s="132"/>
      <c r="AS38" s="132"/>
      <c r="AT38" s="1428" t="s">
        <v>18156</v>
      </c>
      <c r="AU38" s="132">
        <v>919692924</v>
      </c>
      <c r="AV38" s="132"/>
      <c r="AW38" s="132"/>
      <c r="AX38" s="276">
        <f t="shared" si="10"/>
        <v>248593.79999999996</v>
      </c>
      <c r="AY38" s="276">
        <v>2730</v>
      </c>
      <c r="AZ38" s="276"/>
    </row>
    <row r="39" spans="1:52" s="476" customFormat="1">
      <c r="A39" s="1863">
        <v>38</v>
      </c>
      <c r="B39" s="1863" t="s">
        <v>571</v>
      </c>
      <c r="C39" s="703" t="s">
        <v>61</v>
      </c>
      <c r="D39" s="697" t="s">
        <v>91</v>
      </c>
      <c r="E39" s="697">
        <v>2</v>
      </c>
      <c r="F39" s="699" t="s">
        <v>146</v>
      </c>
      <c r="G39" s="700">
        <v>85.8</v>
      </c>
      <c r="H39" s="701">
        <v>54.7</v>
      </c>
      <c r="I39" s="701"/>
      <c r="J39" s="702"/>
      <c r="K39" s="272">
        <f t="shared" si="4"/>
        <v>96.74</v>
      </c>
      <c r="L39" s="697">
        <v>1</v>
      </c>
      <c r="M39" s="272"/>
      <c r="N39" s="272"/>
      <c r="O39" s="272"/>
      <c r="P39" s="126" t="s">
        <v>455</v>
      </c>
      <c r="Q39" s="277" t="s">
        <v>258</v>
      </c>
      <c r="R39" s="277"/>
      <c r="S39" s="706">
        <v>312000</v>
      </c>
      <c r="T39" s="475">
        <v>312000</v>
      </c>
      <c r="U39" s="475">
        <v>325000</v>
      </c>
      <c r="V39" s="475">
        <f t="shared" si="6"/>
        <v>312000</v>
      </c>
      <c r="W39" s="475">
        <v>325000</v>
      </c>
      <c r="X39" s="274">
        <f t="shared" si="5"/>
        <v>4.0000000000000036E-2</v>
      </c>
      <c r="Y39" s="276">
        <f t="shared" si="7"/>
        <v>3225.1395493074219</v>
      </c>
      <c r="Z39" s="276">
        <f t="shared" si="8"/>
        <v>3225.1395493074219</v>
      </c>
      <c r="AA39" s="276">
        <f t="shared" si="9"/>
        <v>3359.5203638618982</v>
      </c>
      <c r="AB39" s="128">
        <v>45340</v>
      </c>
      <c r="AC39" s="103">
        <v>45373</v>
      </c>
      <c r="AD39" s="313">
        <v>62400</v>
      </c>
      <c r="AE39" s="313"/>
      <c r="AF39" s="103"/>
      <c r="AG39" s="313"/>
      <c r="AH39" s="313"/>
      <c r="AI39" s="313">
        <v>249600</v>
      </c>
      <c r="AJ39" s="126" t="s">
        <v>247</v>
      </c>
      <c r="AK39" s="126"/>
      <c r="AL39" s="126"/>
      <c r="AM39" s="126"/>
      <c r="AN39" s="126"/>
      <c r="AO39" s="132" t="s">
        <v>17377</v>
      </c>
      <c r="AP39" s="132" t="s">
        <v>265</v>
      </c>
      <c r="AQ39" s="132"/>
      <c r="AR39" s="132"/>
      <c r="AS39" s="132"/>
      <c r="AT39" s="1428" t="s">
        <v>17532</v>
      </c>
      <c r="AU39" s="132">
        <v>919180952</v>
      </c>
      <c r="AV39" s="132"/>
      <c r="AW39" s="132"/>
      <c r="AX39" s="276">
        <f t="shared" si="10"/>
        <v>264100.2</v>
      </c>
      <c r="AY39" s="276">
        <v>2730</v>
      </c>
      <c r="AZ39" s="276">
        <v>355000</v>
      </c>
    </row>
    <row r="40" spans="1:52" s="476" customFormat="1">
      <c r="A40" s="1863">
        <v>39</v>
      </c>
      <c r="B40" s="1863" t="s">
        <v>571</v>
      </c>
      <c r="C40" s="703" t="s">
        <v>62</v>
      </c>
      <c r="D40" s="697" t="s">
        <v>93</v>
      </c>
      <c r="E40" s="697">
        <v>3</v>
      </c>
      <c r="F40" s="699" t="s">
        <v>17267</v>
      </c>
      <c r="G40" s="700">
        <v>155.9</v>
      </c>
      <c r="H40" s="701">
        <v>83.4</v>
      </c>
      <c r="I40" s="701"/>
      <c r="J40" s="702"/>
      <c r="K40" s="272">
        <f t="shared" si="4"/>
        <v>172.58</v>
      </c>
      <c r="L40" s="697" t="s">
        <v>17271</v>
      </c>
      <c r="M40" s="272"/>
      <c r="N40" s="272"/>
      <c r="O40" s="272"/>
      <c r="P40" s="126"/>
      <c r="Q40" s="126" t="s">
        <v>258</v>
      </c>
      <c r="R40" s="277"/>
      <c r="S40" s="706">
        <v>569280</v>
      </c>
      <c r="T40" s="475">
        <v>593000</v>
      </c>
      <c r="U40" s="475">
        <v>593000</v>
      </c>
      <c r="V40" s="475">
        <f t="shared" si="6"/>
        <v>569280</v>
      </c>
      <c r="W40" s="475">
        <v>593000</v>
      </c>
      <c r="X40" s="274">
        <f t="shared" si="5"/>
        <v>4.0000000000000036E-2</v>
      </c>
      <c r="Y40" s="276">
        <f t="shared" si="7"/>
        <v>3298.6441070807741</v>
      </c>
      <c r="Z40" s="276">
        <f t="shared" si="8"/>
        <v>3298.6441070807741</v>
      </c>
      <c r="AA40" s="276">
        <f t="shared" si="9"/>
        <v>3436.0876115424726</v>
      </c>
      <c r="AB40" s="128">
        <v>45540</v>
      </c>
      <c r="AC40" s="113">
        <v>45555</v>
      </c>
      <c r="AD40" s="325">
        <v>113856</v>
      </c>
      <c r="AE40" s="325"/>
      <c r="AF40" s="113"/>
      <c r="AG40" s="325"/>
      <c r="AH40" s="325"/>
      <c r="AI40" s="325">
        <v>455424</v>
      </c>
      <c r="AJ40" s="126" t="s">
        <v>247</v>
      </c>
      <c r="AK40" s="126"/>
      <c r="AL40" s="126"/>
      <c r="AM40" s="126"/>
      <c r="AN40" s="126"/>
      <c r="AO40" s="112" t="s">
        <v>17640</v>
      </c>
      <c r="AP40" s="132" t="s">
        <v>265</v>
      </c>
      <c r="AQ40" s="132"/>
      <c r="AR40" s="132"/>
      <c r="AS40" s="132"/>
      <c r="AT40" s="1428" t="s">
        <v>18157</v>
      </c>
      <c r="AU40" s="132">
        <v>919480502</v>
      </c>
      <c r="AV40" s="112"/>
      <c r="AW40" s="112"/>
      <c r="AX40" s="276">
        <f t="shared" si="10"/>
        <v>471143.4</v>
      </c>
      <c r="AY40" s="276">
        <v>2730</v>
      </c>
      <c r="AZ40" s="276"/>
    </row>
    <row r="41" spans="1:52" s="476" customFormat="1" ht="14.25" customHeight="1">
      <c r="A41" s="1863">
        <v>40</v>
      </c>
      <c r="B41" s="1863" t="s">
        <v>571</v>
      </c>
      <c r="C41" s="703" t="s">
        <v>63</v>
      </c>
      <c r="D41" s="697" t="s">
        <v>89</v>
      </c>
      <c r="E41" s="697">
        <v>3</v>
      </c>
      <c r="F41" s="699" t="s">
        <v>17268</v>
      </c>
      <c r="G41" s="700">
        <v>116</v>
      </c>
      <c r="H41" s="701">
        <v>16.600000000000001</v>
      </c>
      <c r="I41" s="701"/>
      <c r="J41" s="702"/>
      <c r="K41" s="272">
        <f>G41+0.3*H41+0.2*I41+0.2*J41</f>
        <v>120.98</v>
      </c>
      <c r="L41" s="697">
        <v>2</v>
      </c>
      <c r="M41" s="272"/>
      <c r="N41" s="272"/>
      <c r="O41" s="272"/>
      <c r="P41" s="126">
        <v>1</v>
      </c>
      <c r="Q41" s="126" t="s">
        <v>258</v>
      </c>
      <c r="R41" s="708"/>
      <c r="S41" s="706">
        <v>392350</v>
      </c>
      <c r="T41" s="475">
        <v>389000</v>
      </c>
      <c r="U41" s="475">
        <v>389000</v>
      </c>
      <c r="V41" s="475">
        <f t="shared" si="6"/>
        <v>396480</v>
      </c>
      <c r="W41" s="475">
        <v>413000</v>
      </c>
      <c r="X41" s="274">
        <f t="shared" si="5"/>
        <v>5.0000000000000044E-2</v>
      </c>
      <c r="Y41" s="276">
        <f t="shared" si="7"/>
        <v>3243.0980327326829</v>
      </c>
      <c r="Z41" s="276">
        <f t="shared" si="8"/>
        <v>3277.2359067614479</v>
      </c>
      <c r="AA41" s="276">
        <f t="shared" si="9"/>
        <v>3413.7874028765086</v>
      </c>
      <c r="AB41" s="128"/>
      <c r="AC41" s="103">
        <v>45625</v>
      </c>
      <c r="AD41" s="313">
        <v>78470</v>
      </c>
      <c r="AE41" s="313"/>
      <c r="AF41" s="103"/>
      <c r="AG41" s="313"/>
      <c r="AH41" s="313"/>
      <c r="AI41" s="313">
        <v>313880</v>
      </c>
      <c r="AJ41" s="126" t="s">
        <v>247</v>
      </c>
      <c r="AK41" s="126"/>
      <c r="AL41" s="126"/>
      <c r="AM41" s="126"/>
      <c r="AN41" s="126"/>
      <c r="AO41" s="132" t="s">
        <v>17713</v>
      </c>
      <c r="AP41" s="132" t="s">
        <v>265</v>
      </c>
      <c r="AQ41" s="132"/>
      <c r="AR41" s="132"/>
      <c r="AS41" s="132"/>
      <c r="AT41" s="132"/>
      <c r="AU41" s="132">
        <v>917225875</v>
      </c>
      <c r="AV41" s="132"/>
      <c r="AW41" s="132"/>
      <c r="AX41" s="276">
        <f t="shared" si="10"/>
        <v>330275.40000000002</v>
      </c>
      <c r="AY41" s="276">
        <v>2730</v>
      </c>
      <c r="AZ41" s="276"/>
    </row>
    <row r="42" spans="1:52" s="476" customFormat="1">
      <c r="A42" s="1863">
        <v>41</v>
      </c>
      <c r="B42" s="1863" t="s">
        <v>571</v>
      </c>
      <c r="C42" s="703" t="s">
        <v>64</v>
      </c>
      <c r="D42" s="697" t="s">
        <v>90</v>
      </c>
      <c r="E42" s="697">
        <v>3</v>
      </c>
      <c r="F42" s="699" t="s">
        <v>46</v>
      </c>
      <c r="G42" s="700">
        <v>63.4</v>
      </c>
      <c r="H42" s="701">
        <v>25.1</v>
      </c>
      <c r="I42" s="701"/>
      <c r="J42" s="702"/>
      <c r="K42" s="272">
        <f t="shared" si="4"/>
        <v>68.42</v>
      </c>
      <c r="L42" s="697">
        <v>1</v>
      </c>
      <c r="M42" s="272"/>
      <c r="N42" s="272"/>
      <c r="O42" s="272"/>
      <c r="P42" s="126" t="s">
        <v>455</v>
      </c>
      <c r="Q42" s="126" t="s">
        <v>258</v>
      </c>
      <c r="R42" s="277"/>
      <c r="S42" s="475">
        <v>238080</v>
      </c>
      <c r="T42" s="475">
        <v>234000</v>
      </c>
      <c r="U42" s="475">
        <v>248000</v>
      </c>
      <c r="V42" s="475">
        <f t="shared" si="6"/>
        <v>238080</v>
      </c>
      <c r="W42" s="475">
        <v>248000</v>
      </c>
      <c r="X42" s="274">
        <f t="shared" si="5"/>
        <v>4.0000000000000036E-2</v>
      </c>
      <c r="Y42" s="276">
        <f t="shared" si="7"/>
        <v>3479.6843028354283</v>
      </c>
      <c r="Z42" s="276">
        <f t="shared" si="8"/>
        <v>3479.6843028354283</v>
      </c>
      <c r="AA42" s="276">
        <f t="shared" si="9"/>
        <v>3624.6711487869043</v>
      </c>
      <c r="AB42" s="128">
        <v>45349</v>
      </c>
      <c r="AC42" s="103">
        <v>45385</v>
      </c>
      <c r="AD42" s="313">
        <f>20%*V42</f>
        <v>47616</v>
      </c>
      <c r="AE42" s="313"/>
      <c r="AF42" s="103"/>
      <c r="AG42" s="313"/>
      <c r="AH42" s="313"/>
      <c r="AI42" s="313">
        <f>80%*V42</f>
        <v>190464</v>
      </c>
      <c r="AJ42" s="126" t="s">
        <v>247</v>
      </c>
      <c r="AK42" s="126"/>
      <c r="AL42" s="126"/>
      <c r="AM42" s="126"/>
      <c r="AN42" s="126"/>
      <c r="AO42" s="132" t="s">
        <v>17383</v>
      </c>
      <c r="AP42" s="132" t="s">
        <v>265</v>
      </c>
      <c r="AQ42" s="132"/>
      <c r="AR42" s="132"/>
      <c r="AS42" s="132"/>
      <c r="AT42" s="1428" t="s">
        <v>18158</v>
      </c>
      <c r="AU42" s="132">
        <v>229438100</v>
      </c>
      <c r="AV42" s="132"/>
      <c r="AW42" s="132"/>
      <c r="AX42" s="276">
        <f t="shared" si="10"/>
        <v>186786.6</v>
      </c>
      <c r="AY42" s="276">
        <v>2730</v>
      </c>
      <c r="AZ42" s="276"/>
    </row>
    <row r="43" spans="1:52" s="476" customFormat="1">
      <c r="A43" s="1863">
        <v>42</v>
      </c>
      <c r="B43" s="1863" t="s">
        <v>571</v>
      </c>
      <c r="C43" s="1134" t="s">
        <v>65</v>
      </c>
      <c r="D43" s="697" t="s">
        <v>91</v>
      </c>
      <c r="E43" s="697">
        <v>3</v>
      </c>
      <c r="F43" s="1135" t="s">
        <v>146</v>
      </c>
      <c r="G43" s="700">
        <v>86.6</v>
      </c>
      <c r="H43" s="701">
        <v>52.7</v>
      </c>
      <c r="I43" s="701"/>
      <c r="J43" s="702"/>
      <c r="K43" s="272">
        <f t="shared" si="4"/>
        <v>97.14</v>
      </c>
      <c r="L43" s="697">
        <v>1</v>
      </c>
      <c r="M43" s="272"/>
      <c r="N43" s="272"/>
      <c r="O43" s="272"/>
      <c r="P43" s="98">
        <v>1</v>
      </c>
      <c r="Q43" s="1136" t="s">
        <v>258</v>
      </c>
      <c r="R43" s="1136"/>
      <c r="S43" s="684">
        <v>355200</v>
      </c>
      <c r="T43" s="684">
        <v>335000</v>
      </c>
      <c r="U43" s="684">
        <v>349000</v>
      </c>
      <c r="V43" s="475">
        <f t="shared" si="6"/>
        <v>355200</v>
      </c>
      <c r="W43" s="475">
        <v>370000</v>
      </c>
      <c r="X43" s="274">
        <f t="shared" si="5"/>
        <v>4.0000000000000036E-2</v>
      </c>
      <c r="Y43" s="735">
        <f t="shared" si="7"/>
        <v>3656.5781346510189</v>
      </c>
      <c r="Z43" s="276">
        <f t="shared" si="8"/>
        <v>3656.5781346510189</v>
      </c>
      <c r="AA43" s="276">
        <f t="shared" si="9"/>
        <v>3808.9355569281447</v>
      </c>
      <c r="AB43" s="730">
        <v>45441</v>
      </c>
      <c r="AC43" s="731">
        <v>45441</v>
      </c>
      <c r="AD43" s="733">
        <v>71040</v>
      </c>
      <c r="AE43" s="733"/>
      <c r="AF43" s="731"/>
      <c r="AG43" s="733"/>
      <c r="AH43" s="733"/>
      <c r="AI43" s="733">
        <v>284160</v>
      </c>
      <c r="AJ43" s="126" t="s">
        <v>17320</v>
      </c>
      <c r="AK43" s="98"/>
      <c r="AL43" s="98"/>
      <c r="AM43" s="98"/>
      <c r="AN43" s="98"/>
      <c r="AO43" s="734" t="s">
        <v>17502</v>
      </c>
      <c r="AP43" s="132" t="s">
        <v>265</v>
      </c>
      <c r="AQ43" s="132"/>
      <c r="AR43" s="132"/>
      <c r="AS43" s="132"/>
      <c r="AT43" s="132"/>
      <c r="AU43" s="132">
        <v>919106928</v>
      </c>
      <c r="AV43" s="734"/>
      <c r="AW43" s="734"/>
      <c r="AX43" s="735">
        <f t="shared" si="10"/>
        <v>265192.2</v>
      </c>
      <c r="AY43" s="735">
        <v>2730</v>
      </c>
      <c r="AZ43" s="735"/>
    </row>
    <row r="44" spans="1:52" s="476" customFormat="1">
      <c r="A44" s="1863">
        <v>43</v>
      </c>
      <c r="B44" s="1863" t="s">
        <v>571</v>
      </c>
      <c r="C44" s="703" t="s">
        <v>66</v>
      </c>
      <c r="D44" s="697" t="s">
        <v>93</v>
      </c>
      <c r="E44" s="697">
        <v>4</v>
      </c>
      <c r="F44" s="699" t="s">
        <v>17267</v>
      </c>
      <c r="G44" s="700">
        <v>155.9</v>
      </c>
      <c r="H44" s="701">
        <v>83.4</v>
      </c>
      <c r="I44" s="701"/>
      <c r="J44" s="702"/>
      <c r="K44" s="272">
        <f t="shared" si="4"/>
        <v>172.58</v>
      </c>
      <c r="L44" s="697" t="s">
        <v>17271</v>
      </c>
      <c r="M44" s="272"/>
      <c r="N44" s="272"/>
      <c r="O44" s="272"/>
      <c r="P44" s="98"/>
      <c r="Q44" s="126" t="s">
        <v>258</v>
      </c>
      <c r="R44" s="126"/>
      <c r="S44" s="706">
        <v>574080</v>
      </c>
      <c r="T44" s="475">
        <v>598000</v>
      </c>
      <c r="U44" s="475">
        <v>598000</v>
      </c>
      <c r="V44" s="475">
        <f t="shared" si="6"/>
        <v>574080</v>
      </c>
      <c r="W44" s="475">
        <v>598000</v>
      </c>
      <c r="X44" s="274">
        <f t="shared" si="5"/>
        <v>4.0000000000000036E-2</v>
      </c>
      <c r="Y44" s="276">
        <f t="shared" si="7"/>
        <v>3326.4572951674581</v>
      </c>
      <c r="Z44" s="276">
        <f t="shared" si="8"/>
        <v>3326.4572951674581</v>
      </c>
      <c r="AA44" s="276">
        <f t="shared" si="9"/>
        <v>3465.0596824661025</v>
      </c>
      <c r="AB44" s="128"/>
      <c r="AC44" s="103">
        <v>45516</v>
      </c>
      <c r="AD44" s="313">
        <f>5000+81112</f>
        <v>86112</v>
      </c>
      <c r="AE44" s="313"/>
      <c r="AF44" s="103"/>
      <c r="AG44" s="313"/>
      <c r="AH44" s="313"/>
      <c r="AI44" s="313">
        <v>487968</v>
      </c>
      <c r="AJ44" s="98" t="s">
        <v>17556</v>
      </c>
      <c r="AK44" s="126"/>
      <c r="AL44" s="126"/>
      <c r="AM44" s="126"/>
      <c r="AN44" s="126"/>
      <c r="AO44" s="132" t="s">
        <v>17592</v>
      </c>
      <c r="AP44" s="132" t="s">
        <v>265</v>
      </c>
      <c r="AQ44" s="132"/>
      <c r="AR44" s="132"/>
      <c r="AS44" s="132"/>
      <c r="AT44" s="1428" t="s">
        <v>18159</v>
      </c>
      <c r="AU44" s="132">
        <v>938015022</v>
      </c>
      <c r="AV44" s="132"/>
      <c r="AW44" s="132"/>
      <c r="AX44" s="276">
        <f t="shared" si="10"/>
        <v>471143.4</v>
      </c>
      <c r="AY44" s="276">
        <v>2730</v>
      </c>
      <c r="AZ44" s="276"/>
    </row>
    <row r="45" spans="1:52" s="476" customFormat="1">
      <c r="A45" s="1863">
        <v>44</v>
      </c>
      <c r="B45" s="1863" t="s">
        <v>571</v>
      </c>
      <c r="C45" s="703" t="s">
        <v>67</v>
      </c>
      <c r="D45" s="697" t="s">
        <v>89</v>
      </c>
      <c r="E45" s="697">
        <v>4</v>
      </c>
      <c r="F45" s="699" t="s">
        <v>17268</v>
      </c>
      <c r="G45" s="700">
        <v>116</v>
      </c>
      <c r="H45" s="701">
        <v>16.600000000000001</v>
      </c>
      <c r="I45" s="701"/>
      <c r="J45" s="702"/>
      <c r="K45" s="272">
        <f>G45+0.3*H45+0.2*I45+0.2*J45</f>
        <v>120.98</v>
      </c>
      <c r="L45" s="697">
        <v>2</v>
      </c>
      <c r="M45" s="272"/>
      <c r="N45" s="272"/>
      <c r="O45" s="272"/>
      <c r="P45" s="98">
        <v>1</v>
      </c>
      <c r="Q45" s="126" t="s">
        <v>258</v>
      </c>
      <c r="R45" s="277"/>
      <c r="S45" s="706">
        <v>401280</v>
      </c>
      <c r="T45" s="475">
        <v>394000</v>
      </c>
      <c r="U45" s="475">
        <v>394000</v>
      </c>
      <c r="V45" s="475">
        <f t="shared" si="6"/>
        <v>401280</v>
      </c>
      <c r="W45" s="475">
        <v>418000</v>
      </c>
      <c r="X45" s="274">
        <f t="shared" si="5"/>
        <v>4.0000000000000036E-2</v>
      </c>
      <c r="Y45" s="276">
        <f t="shared" si="7"/>
        <v>3316.9118862621922</v>
      </c>
      <c r="Z45" s="276">
        <f t="shared" si="8"/>
        <v>3316.9118862621922</v>
      </c>
      <c r="AA45" s="276">
        <f t="shared" si="9"/>
        <v>3455.1165481897833</v>
      </c>
      <c r="AB45" s="128"/>
      <c r="AC45" s="103">
        <v>45574</v>
      </c>
      <c r="AD45" s="313">
        <f>5000+75256</f>
        <v>80256</v>
      </c>
      <c r="AE45" s="313"/>
      <c r="AF45" s="103"/>
      <c r="AG45" s="313"/>
      <c r="AH45" s="313"/>
      <c r="AI45" s="313">
        <v>321024</v>
      </c>
      <c r="AJ45" s="126" t="s">
        <v>17556</v>
      </c>
      <c r="AK45" s="126" t="s">
        <v>17669</v>
      </c>
      <c r="AL45" s="126"/>
      <c r="AM45" s="126"/>
      <c r="AN45" s="126"/>
      <c r="AO45" s="132" t="s">
        <v>17635</v>
      </c>
      <c r="AP45" s="132" t="s">
        <v>265</v>
      </c>
      <c r="AQ45" s="132"/>
      <c r="AR45" s="132"/>
      <c r="AS45" s="132"/>
      <c r="AT45" s="1428" t="s">
        <v>18160</v>
      </c>
      <c r="AU45" s="132">
        <v>966902483</v>
      </c>
      <c r="AV45" s="132"/>
      <c r="AW45" s="132"/>
      <c r="AX45" s="276">
        <f t="shared" si="10"/>
        <v>330275.40000000002</v>
      </c>
      <c r="AY45" s="276">
        <v>2730</v>
      </c>
      <c r="AZ45" s="276"/>
    </row>
    <row r="46" spans="1:52" s="716" customFormat="1">
      <c r="A46" s="1863">
        <v>45</v>
      </c>
      <c r="B46" s="1863" t="s">
        <v>571</v>
      </c>
      <c r="C46" s="703" t="s">
        <v>68</v>
      </c>
      <c r="D46" s="697" t="s">
        <v>90</v>
      </c>
      <c r="E46" s="697">
        <v>4</v>
      </c>
      <c r="F46" s="699" t="s">
        <v>46</v>
      </c>
      <c r="G46" s="700">
        <v>63.4</v>
      </c>
      <c r="H46" s="701">
        <v>25.1</v>
      </c>
      <c r="I46" s="701"/>
      <c r="J46" s="702"/>
      <c r="K46" s="272">
        <f t="shared" si="4"/>
        <v>68.42</v>
      </c>
      <c r="L46" s="697">
        <v>1</v>
      </c>
      <c r="M46" s="272"/>
      <c r="N46" s="272"/>
      <c r="O46" s="272"/>
      <c r="P46" s="98" t="s">
        <v>455</v>
      </c>
      <c r="Q46" s="126" t="s">
        <v>258</v>
      </c>
      <c r="R46" s="126"/>
      <c r="S46" s="706">
        <v>248000</v>
      </c>
      <c r="T46" s="475">
        <v>239000</v>
      </c>
      <c r="U46" s="475">
        <v>254000</v>
      </c>
      <c r="V46" s="475">
        <f t="shared" si="6"/>
        <v>243840</v>
      </c>
      <c r="W46" s="475">
        <v>254000</v>
      </c>
      <c r="X46" s="274">
        <f t="shared" si="5"/>
        <v>2.3622047244094446E-2</v>
      </c>
      <c r="Y46" s="276">
        <f t="shared" si="7"/>
        <v>3624.6711487869043</v>
      </c>
      <c r="Z46" s="276">
        <f t="shared" si="8"/>
        <v>3563.8702133878983</v>
      </c>
      <c r="AA46" s="276">
        <f t="shared" si="9"/>
        <v>3712.3648056123939</v>
      </c>
      <c r="AB46" s="128">
        <v>45349</v>
      </c>
      <c r="AC46" s="103">
        <v>45512</v>
      </c>
      <c r="AD46" s="313">
        <v>49600</v>
      </c>
      <c r="AE46" s="313"/>
      <c r="AF46" s="103"/>
      <c r="AG46" s="313"/>
      <c r="AH46" s="313"/>
      <c r="AI46" s="313">
        <v>198400</v>
      </c>
      <c r="AJ46" s="126" t="s">
        <v>274</v>
      </c>
      <c r="AK46" s="126" t="s">
        <v>17356</v>
      </c>
      <c r="AL46" s="126"/>
      <c r="AM46" s="126"/>
      <c r="AN46" s="126"/>
      <c r="AO46" s="132" t="s">
        <v>17582</v>
      </c>
      <c r="AP46" s="132" t="s">
        <v>517</v>
      </c>
      <c r="AQ46" s="132"/>
      <c r="AR46" s="132"/>
      <c r="AS46" s="132"/>
      <c r="AT46" s="1428" t="s">
        <v>18161</v>
      </c>
      <c r="AU46" s="132">
        <v>972508801816</v>
      </c>
      <c r="AV46" s="132"/>
      <c r="AW46" s="132"/>
      <c r="AX46" s="276">
        <f t="shared" si="10"/>
        <v>186786.6</v>
      </c>
      <c r="AY46" s="276">
        <v>2730</v>
      </c>
      <c r="AZ46" s="276"/>
    </row>
    <row r="47" spans="1:52" s="476" customFormat="1">
      <c r="A47" s="1863">
        <v>46</v>
      </c>
      <c r="B47" s="1863" t="s">
        <v>571</v>
      </c>
      <c r="C47" s="703" t="s">
        <v>69</v>
      </c>
      <c r="D47" s="697" t="s">
        <v>91</v>
      </c>
      <c r="E47" s="697">
        <v>4</v>
      </c>
      <c r="F47" s="699" t="s">
        <v>146</v>
      </c>
      <c r="G47" s="700">
        <v>86.6</v>
      </c>
      <c r="H47" s="701">
        <v>52.7</v>
      </c>
      <c r="I47" s="701"/>
      <c r="J47" s="702"/>
      <c r="K47" s="272">
        <f t="shared" si="4"/>
        <v>97.14</v>
      </c>
      <c r="L47" s="697">
        <v>1</v>
      </c>
      <c r="M47" s="272"/>
      <c r="N47" s="272"/>
      <c r="O47" s="272"/>
      <c r="P47" s="98">
        <v>1</v>
      </c>
      <c r="Q47" s="126" t="s">
        <v>258</v>
      </c>
      <c r="R47" s="126"/>
      <c r="S47" s="475">
        <v>332000</v>
      </c>
      <c r="T47" s="475">
        <v>345000</v>
      </c>
      <c r="U47" s="475">
        <v>345000</v>
      </c>
      <c r="V47" s="475">
        <f t="shared" si="6"/>
        <v>331200</v>
      </c>
      <c r="W47" s="475">
        <v>345000</v>
      </c>
      <c r="X47" s="274">
        <f t="shared" si="5"/>
        <v>3.7681159420289823E-2</v>
      </c>
      <c r="Y47" s="276">
        <f t="shared" si="7"/>
        <v>3417.7475808112004</v>
      </c>
      <c r="Z47" s="276">
        <f t="shared" si="8"/>
        <v>3409.5120444718964</v>
      </c>
      <c r="AA47" s="276">
        <f t="shared" si="9"/>
        <v>3551.5750463248919</v>
      </c>
      <c r="AB47" s="128"/>
      <c r="AC47" s="103">
        <v>45456</v>
      </c>
      <c r="AD47" s="313">
        <v>66400</v>
      </c>
      <c r="AE47" s="313"/>
      <c r="AF47" s="103"/>
      <c r="AG47" s="313"/>
      <c r="AH47" s="313"/>
      <c r="AI47" s="313">
        <v>265600</v>
      </c>
      <c r="AJ47" s="126" t="s">
        <v>274</v>
      </c>
      <c r="AK47" s="126" t="s">
        <v>17332</v>
      </c>
      <c r="AL47" s="126"/>
      <c r="AM47" s="126"/>
      <c r="AN47" s="126"/>
      <c r="AO47" s="132" t="s">
        <v>17355</v>
      </c>
      <c r="AP47" s="132" t="s">
        <v>517</v>
      </c>
      <c r="AQ47" s="132"/>
      <c r="AR47" s="132"/>
      <c r="AS47" s="132"/>
      <c r="AT47" s="1428" t="s">
        <v>18162</v>
      </c>
      <c r="AU47" s="1171">
        <v>972509009099</v>
      </c>
      <c r="AV47" s="132"/>
      <c r="AW47" s="132"/>
      <c r="AX47" s="276">
        <f t="shared" si="10"/>
        <v>265192.2</v>
      </c>
      <c r="AY47" s="276">
        <v>2730</v>
      </c>
      <c r="AZ47" s="276"/>
    </row>
    <row r="48" spans="1:52" s="476" customFormat="1">
      <c r="A48" s="1863">
        <v>47</v>
      </c>
      <c r="B48" s="1863" t="s">
        <v>571</v>
      </c>
      <c r="C48" s="703" t="s">
        <v>70</v>
      </c>
      <c r="D48" s="697" t="s">
        <v>93</v>
      </c>
      <c r="E48" s="697">
        <v>5</v>
      </c>
      <c r="F48" s="699" t="s">
        <v>17267</v>
      </c>
      <c r="G48" s="700">
        <v>155.9</v>
      </c>
      <c r="H48" s="701">
        <v>83.4</v>
      </c>
      <c r="I48" s="701"/>
      <c r="J48" s="702"/>
      <c r="K48" s="272">
        <f t="shared" si="4"/>
        <v>172.58</v>
      </c>
      <c r="L48" s="697" t="s">
        <v>17271</v>
      </c>
      <c r="M48" s="272"/>
      <c r="N48" s="272"/>
      <c r="O48" s="272"/>
      <c r="P48" s="98"/>
      <c r="Q48" s="126" t="s">
        <v>258</v>
      </c>
      <c r="R48" s="126"/>
      <c r="S48" s="706">
        <v>578880</v>
      </c>
      <c r="T48" s="475">
        <v>603000</v>
      </c>
      <c r="U48" s="475">
        <v>603000</v>
      </c>
      <c r="V48" s="475">
        <f t="shared" si="6"/>
        <v>578880</v>
      </c>
      <c r="W48" s="475">
        <v>603000</v>
      </c>
      <c r="X48" s="274">
        <f t="shared" si="5"/>
        <v>4.0000000000000036E-2</v>
      </c>
      <c r="Y48" s="276">
        <f t="shared" si="7"/>
        <v>3354.2704832541426</v>
      </c>
      <c r="Z48" s="276">
        <f t="shared" si="8"/>
        <v>3354.2704832541426</v>
      </c>
      <c r="AA48" s="276">
        <f t="shared" si="9"/>
        <v>3494.0317533897319</v>
      </c>
      <c r="AB48" s="128">
        <v>45470</v>
      </c>
      <c r="AC48" s="103">
        <v>45526</v>
      </c>
      <c r="AD48" s="313">
        <f>20%*S48</f>
        <v>115776</v>
      </c>
      <c r="AE48" s="313"/>
      <c r="AF48" s="103"/>
      <c r="AG48" s="313"/>
      <c r="AH48" s="313"/>
      <c r="AI48" s="313">
        <f>80%*S48</f>
        <v>463104</v>
      </c>
      <c r="AJ48" s="126" t="s">
        <v>17320</v>
      </c>
      <c r="AK48" s="126"/>
      <c r="AL48" s="126"/>
      <c r="AM48" s="126"/>
      <c r="AN48" s="126"/>
      <c r="AO48" s="132" t="s">
        <v>17511</v>
      </c>
      <c r="AP48" s="132" t="s">
        <v>565</v>
      </c>
      <c r="AQ48" s="132"/>
      <c r="AR48" s="132"/>
      <c r="AS48" s="132"/>
      <c r="AT48" s="1428" t="s">
        <v>18163</v>
      </c>
      <c r="AU48" s="132">
        <v>867967280</v>
      </c>
      <c r="AV48" s="132"/>
      <c r="AW48" s="132"/>
      <c r="AX48" s="276">
        <f t="shared" si="10"/>
        <v>471143.4</v>
      </c>
      <c r="AY48" s="276">
        <v>2730</v>
      </c>
      <c r="AZ48" s="276"/>
    </row>
    <row r="49" spans="1:52" s="476" customFormat="1">
      <c r="A49" s="1863">
        <v>48</v>
      </c>
      <c r="B49" s="1863" t="s">
        <v>571</v>
      </c>
      <c r="C49" s="703" t="s">
        <v>71</v>
      </c>
      <c r="D49" s="697" t="s">
        <v>89</v>
      </c>
      <c r="E49" s="697">
        <v>5</v>
      </c>
      <c r="F49" s="699" t="s">
        <v>17268</v>
      </c>
      <c r="G49" s="700">
        <v>116</v>
      </c>
      <c r="H49" s="701">
        <v>16.600000000000001</v>
      </c>
      <c r="I49" s="701"/>
      <c r="J49" s="702"/>
      <c r="K49" s="272">
        <f>G49+0.3*H49+0.2*I49+0.2*J49</f>
        <v>120.98</v>
      </c>
      <c r="L49" s="697">
        <v>2</v>
      </c>
      <c r="M49" s="272"/>
      <c r="N49" s="272"/>
      <c r="O49" s="272"/>
      <c r="P49" s="98">
        <v>1</v>
      </c>
      <c r="Q49" s="126" t="s">
        <v>258</v>
      </c>
      <c r="R49" s="126"/>
      <c r="S49" s="706">
        <v>406000</v>
      </c>
      <c r="T49" s="475">
        <v>399000</v>
      </c>
      <c r="U49" s="475">
        <v>399000</v>
      </c>
      <c r="V49" s="475">
        <f t="shared" si="6"/>
        <v>406080</v>
      </c>
      <c r="W49" s="475">
        <v>423000</v>
      </c>
      <c r="X49" s="274">
        <f t="shared" si="5"/>
        <v>4.0189125295508221E-2</v>
      </c>
      <c r="Y49" s="276">
        <f t="shared" si="7"/>
        <v>3355.9265994379234</v>
      </c>
      <c r="Z49" s="276">
        <f t="shared" si="8"/>
        <v>3356.587865762936</v>
      </c>
      <c r="AA49" s="276">
        <f t="shared" si="9"/>
        <v>3496.4456935030585</v>
      </c>
      <c r="AB49" s="128"/>
      <c r="AC49" s="103">
        <v>45439</v>
      </c>
      <c r="AD49" s="313">
        <v>81200</v>
      </c>
      <c r="AE49" s="313"/>
      <c r="AF49" s="103"/>
      <c r="AG49" s="313"/>
      <c r="AH49" s="313"/>
      <c r="AI49" s="313">
        <v>324800</v>
      </c>
      <c r="AJ49" s="126" t="s">
        <v>247</v>
      </c>
      <c r="AK49" s="126"/>
      <c r="AL49" s="126"/>
      <c r="AM49" s="126"/>
      <c r="AN49" s="126"/>
      <c r="AO49" s="132" t="s">
        <v>17482</v>
      </c>
      <c r="AP49" s="132" t="s">
        <v>265</v>
      </c>
      <c r="AQ49" s="132"/>
      <c r="AR49" s="132"/>
      <c r="AS49" s="132"/>
      <c r="AT49" s="132"/>
      <c r="AU49" s="132"/>
      <c r="AV49" s="132"/>
      <c r="AW49" s="132"/>
      <c r="AX49" s="276">
        <f t="shared" si="10"/>
        <v>330275.40000000002</v>
      </c>
      <c r="AY49" s="276">
        <v>2730</v>
      </c>
      <c r="AZ49" s="276"/>
    </row>
    <row r="50" spans="1:52" s="476" customFormat="1">
      <c r="A50" s="1863">
        <v>49</v>
      </c>
      <c r="B50" s="1863" t="s">
        <v>571</v>
      </c>
      <c r="C50" s="703" t="s">
        <v>72</v>
      </c>
      <c r="D50" s="697" t="s">
        <v>90</v>
      </c>
      <c r="E50" s="697">
        <v>5</v>
      </c>
      <c r="F50" s="699" t="s">
        <v>46</v>
      </c>
      <c r="G50" s="700">
        <v>63.4</v>
      </c>
      <c r="H50" s="701">
        <v>25.1</v>
      </c>
      <c r="I50" s="701"/>
      <c r="J50" s="702"/>
      <c r="K50" s="272">
        <f t="shared" si="4"/>
        <v>68.42</v>
      </c>
      <c r="L50" s="697">
        <v>1</v>
      </c>
      <c r="M50" s="272"/>
      <c r="N50" s="272"/>
      <c r="O50" s="272"/>
      <c r="P50" s="98" t="s">
        <v>455</v>
      </c>
      <c r="Q50" s="126" t="s">
        <v>258</v>
      </c>
      <c r="R50" s="126"/>
      <c r="S50" s="475">
        <v>248640</v>
      </c>
      <c r="T50" s="475">
        <v>244000</v>
      </c>
      <c r="U50" s="475">
        <v>259000</v>
      </c>
      <c r="V50" s="475">
        <f t="shared" si="6"/>
        <v>248640</v>
      </c>
      <c r="W50" s="475">
        <v>259000</v>
      </c>
      <c r="X50" s="274">
        <f t="shared" si="5"/>
        <v>4.0000000000000036E-2</v>
      </c>
      <c r="Y50" s="276">
        <f t="shared" si="7"/>
        <v>3634.0251388482898</v>
      </c>
      <c r="Z50" s="276">
        <f t="shared" si="8"/>
        <v>3634.0251388482898</v>
      </c>
      <c r="AA50" s="276">
        <f t="shared" si="9"/>
        <v>3785.4428529669685</v>
      </c>
      <c r="AB50" s="128">
        <v>45349</v>
      </c>
      <c r="AC50" s="103">
        <v>45385</v>
      </c>
      <c r="AD50" s="313">
        <f>20%*V50</f>
        <v>49728</v>
      </c>
      <c r="AE50" s="313"/>
      <c r="AF50" s="103"/>
      <c r="AG50" s="313"/>
      <c r="AH50" s="313"/>
      <c r="AI50" s="313">
        <f>80%*V50</f>
        <v>198912</v>
      </c>
      <c r="AJ50" s="126" t="s">
        <v>247</v>
      </c>
      <c r="AK50" s="126"/>
      <c r="AL50" s="126"/>
      <c r="AM50" s="126"/>
      <c r="AN50" s="126"/>
      <c r="AO50" s="132" t="s">
        <v>17383</v>
      </c>
      <c r="AP50" s="132" t="s">
        <v>265</v>
      </c>
      <c r="AQ50" s="132"/>
      <c r="AR50" s="132"/>
      <c r="AS50" s="132"/>
      <c r="AT50" s="132"/>
      <c r="AU50" s="132"/>
      <c r="AV50" s="132"/>
      <c r="AW50" s="132"/>
      <c r="AX50" s="276">
        <f t="shared" si="10"/>
        <v>186786.6</v>
      </c>
      <c r="AY50" s="276">
        <v>2730</v>
      </c>
      <c r="AZ50" s="276"/>
    </row>
    <row r="51" spans="1:52" s="476" customFormat="1">
      <c r="A51" s="1863">
        <v>50</v>
      </c>
      <c r="B51" s="1863" t="s">
        <v>571</v>
      </c>
      <c r="C51" s="703" t="s">
        <v>73</v>
      </c>
      <c r="D51" s="697" t="s">
        <v>91</v>
      </c>
      <c r="E51" s="697">
        <v>5</v>
      </c>
      <c r="F51" s="699" t="s">
        <v>146</v>
      </c>
      <c r="G51" s="700">
        <v>86.6</v>
      </c>
      <c r="H51" s="701">
        <v>52.7</v>
      </c>
      <c r="I51" s="701"/>
      <c r="J51" s="702"/>
      <c r="K51" s="272">
        <f t="shared" si="4"/>
        <v>97.14</v>
      </c>
      <c r="L51" s="697">
        <v>1</v>
      </c>
      <c r="M51" s="272"/>
      <c r="N51" s="272"/>
      <c r="O51" s="272"/>
      <c r="P51" s="98">
        <v>1</v>
      </c>
      <c r="Q51" s="126" t="s">
        <v>258</v>
      </c>
      <c r="R51" s="277"/>
      <c r="S51" s="706">
        <v>376320</v>
      </c>
      <c r="T51" s="475">
        <v>355000</v>
      </c>
      <c r="U51" s="475">
        <v>369000</v>
      </c>
      <c r="V51" s="475">
        <f t="shared" si="6"/>
        <v>376320</v>
      </c>
      <c r="W51" s="475">
        <v>392000</v>
      </c>
      <c r="X51" s="274">
        <f t="shared" si="5"/>
        <v>4.0000000000000036E-2</v>
      </c>
      <c r="Y51" s="276">
        <f t="shared" si="7"/>
        <v>3873.9962940086475</v>
      </c>
      <c r="Z51" s="276">
        <f t="shared" si="8"/>
        <v>3873.9962940086475</v>
      </c>
      <c r="AA51" s="276">
        <f t="shared" si="9"/>
        <v>4035.4128062590075</v>
      </c>
      <c r="AB51" s="128">
        <v>45509</v>
      </c>
      <c r="AC51" s="103">
        <v>45531</v>
      </c>
      <c r="AD51" s="313">
        <v>75264</v>
      </c>
      <c r="AE51" s="313"/>
      <c r="AF51" s="103"/>
      <c r="AG51" s="313"/>
      <c r="AH51" s="313"/>
      <c r="AI51" s="313">
        <v>301056</v>
      </c>
      <c r="AJ51" s="126" t="s">
        <v>247</v>
      </c>
      <c r="AK51" s="126"/>
      <c r="AL51" s="126"/>
      <c r="AM51" s="126"/>
      <c r="AN51" s="126"/>
      <c r="AO51" s="132" t="s">
        <v>17574</v>
      </c>
      <c r="AP51" s="132" t="s">
        <v>265</v>
      </c>
      <c r="AQ51" s="132"/>
      <c r="AR51" s="132"/>
      <c r="AS51" s="132"/>
      <c r="AT51" s="1428" t="s">
        <v>18164</v>
      </c>
      <c r="AU51" s="132">
        <v>963458001</v>
      </c>
      <c r="AV51" s="132"/>
      <c r="AW51" s="132"/>
      <c r="AX51" s="276">
        <f t="shared" si="10"/>
        <v>265192.2</v>
      </c>
      <c r="AY51" s="276">
        <v>2730</v>
      </c>
      <c r="AZ51" s="276"/>
    </row>
    <row r="52" spans="1:52" s="476" customFormat="1">
      <c r="A52" s="1863">
        <v>51</v>
      </c>
      <c r="B52" s="1863" t="s">
        <v>571</v>
      </c>
      <c r="C52" s="703" t="s">
        <v>74</v>
      </c>
      <c r="D52" s="697" t="s">
        <v>93</v>
      </c>
      <c r="E52" s="697">
        <v>6</v>
      </c>
      <c r="F52" s="699" t="s">
        <v>17267</v>
      </c>
      <c r="G52" s="700">
        <v>155.9</v>
      </c>
      <c r="H52" s="701">
        <v>83.4</v>
      </c>
      <c r="I52" s="701"/>
      <c r="J52" s="702"/>
      <c r="K52" s="272">
        <f t="shared" si="4"/>
        <v>172.58</v>
      </c>
      <c r="L52" s="697" t="s">
        <v>17271</v>
      </c>
      <c r="M52" s="272"/>
      <c r="N52" s="272"/>
      <c r="O52" s="272"/>
      <c r="P52" s="126"/>
      <c r="Q52" s="126" t="s">
        <v>258</v>
      </c>
      <c r="R52" s="708"/>
      <c r="S52" s="475">
        <v>583680</v>
      </c>
      <c r="T52" s="475">
        <v>608000</v>
      </c>
      <c r="U52" s="475">
        <v>608000</v>
      </c>
      <c r="V52" s="475">
        <f t="shared" si="6"/>
        <v>583680</v>
      </c>
      <c r="W52" s="475">
        <v>608000</v>
      </c>
      <c r="X52" s="274">
        <f t="shared" si="5"/>
        <v>4.0000000000000036E-2</v>
      </c>
      <c r="Y52" s="276">
        <f t="shared" si="7"/>
        <v>3382.0836713408271</v>
      </c>
      <c r="Z52" s="276">
        <f t="shared" si="8"/>
        <v>3382.0836713408271</v>
      </c>
      <c r="AA52" s="276">
        <f t="shared" si="9"/>
        <v>3523.0038243133617</v>
      </c>
      <c r="AB52" s="128"/>
      <c r="AC52" s="103">
        <v>45425</v>
      </c>
      <c r="AD52" s="313">
        <f>20%*S52</f>
        <v>116736</v>
      </c>
      <c r="AE52" s="313"/>
      <c r="AF52" s="103"/>
      <c r="AG52" s="313"/>
      <c r="AH52" s="313"/>
      <c r="AI52" s="313">
        <f>80%*S52</f>
        <v>466944</v>
      </c>
      <c r="AJ52" s="126" t="s">
        <v>247</v>
      </c>
      <c r="AK52" s="126"/>
      <c r="AL52" s="126"/>
      <c r="AM52" s="126"/>
      <c r="AN52" s="126"/>
      <c r="AO52" s="126" t="s">
        <v>17369</v>
      </c>
      <c r="AP52" s="132" t="s">
        <v>265</v>
      </c>
      <c r="AQ52" s="132"/>
      <c r="AR52" s="132"/>
      <c r="AS52" s="132"/>
      <c r="AT52" s="132"/>
      <c r="AU52" s="132"/>
      <c r="AV52" s="132"/>
      <c r="AW52" s="132"/>
      <c r="AX52" s="276">
        <f t="shared" si="10"/>
        <v>471143.4</v>
      </c>
      <c r="AY52" s="276">
        <v>2730</v>
      </c>
      <c r="AZ52" s="276"/>
    </row>
    <row r="53" spans="1:52" s="476" customFormat="1" ht="15.75" thickBot="1">
      <c r="A53" s="1863">
        <v>52</v>
      </c>
      <c r="B53" s="1863" t="s">
        <v>571</v>
      </c>
      <c r="C53" s="703" t="s">
        <v>75</v>
      </c>
      <c r="D53" s="697" t="s">
        <v>89</v>
      </c>
      <c r="E53" s="697">
        <v>6</v>
      </c>
      <c r="F53" s="699" t="s">
        <v>17268</v>
      </c>
      <c r="G53" s="700">
        <v>116</v>
      </c>
      <c r="H53" s="701">
        <v>16.600000000000001</v>
      </c>
      <c r="I53" s="1427"/>
      <c r="J53" s="704"/>
      <c r="K53" s="272">
        <f>G53+0.3*H53+0.2*I53+0.2*J53</f>
        <v>120.98</v>
      </c>
      <c r="L53" s="697">
        <v>2</v>
      </c>
      <c r="M53" s="272"/>
      <c r="N53" s="272"/>
      <c r="O53" s="272"/>
      <c r="P53" s="98">
        <v>1</v>
      </c>
      <c r="Q53" s="126" t="s">
        <v>258</v>
      </c>
      <c r="R53" s="126"/>
      <c r="S53" s="475">
        <v>406600</v>
      </c>
      <c r="T53" s="475">
        <v>404000</v>
      </c>
      <c r="U53" s="475">
        <v>404000</v>
      </c>
      <c r="V53" s="475">
        <f t="shared" si="6"/>
        <v>410880</v>
      </c>
      <c r="W53" s="475">
        <v>428000</v>
      </c>
      <c r="X53" s="274">
        <f t="shared" si="5"/>
        <v>5.0000000000000044E-2</v>
      </c>
      <c r="Y53" s="276">
        <f t="shared" si="7"/>
        <v>3360.8860968755166</v>
      </c>
      <c r="Z53" s="276">
        <f t="shared" si="8"/>
        <v>3396.2638452636797</v>
      </c>
      <c r="AA53" s="276">
        <f t="shared" si="9"/>
        <v>3537.7748388163332</v>
      </c>
      <c r="AB53" s="128">
        <v>45497</v>
      </c>
      <c r="AC53" s="128">
        <v>45625</v>
      </c>
      <c r="AD53" s="275">
        <f>20%*S53</f>
        <v>81320</v>
      </c>
      <c r="AE53" s="275"/>
      <c r="AF53" s="128"/>
      <c r="AG53" s="275"/>
      <c r="AH53" s="275"/>
      <c r="AI53" s="275">
        <f>80%*S53</f>
        <v>325280</v>
      </c>
      <c r="AJ53" s="126" t="s">
        <v>247</v>
      </c>
      <c r="AK53" s="126"/>
      <c r="AL53" s="126"/>
      <c r="AM53" s="126"/>
      <c r="AN53" s="126"/>
      <c r="AO53" s="132" t="s">
        <v>17713</v>
      </c>
      <c r="AP53" s="132" t="s">
        <v>265</v>
      </c>
      <c r="AQ53" s="132"/>
      <c r="AR53" s="132"/>
      <c r="AS53" s="132"/>
      <c r="AT53" s="1428"/>
      <c r="AU53" s="132">
        <v>917225875</v>
      </c>
      <c r="AV53" s="126"/>
      <c r="AW53" s="126"/>
      <c r="AX53" s="276">
        <f t="shared" si="10"/>
        <v>330275.40000000002</v>
      </c>
      <c r="AY53" s="276">
        <v>2730</v>
      </c>
      <c r="AZ53" s="276"/>
    </row>
    <row r="54" spans="1:52" s="476" customFormat="1">
      <c r="A54" s="1863">
        <v>53</v>
      </c>
      <c r="B54" s="1863" t="s">
        <v>571</v>
      </c>
      <c r="C54" s="703" t="s">
        <v>76</v>
      </c>
      <c r="D54" s="697" t="s">
        <v>90</v>
      </c>
      <c r="E54" s="697">
        <v>6</v>
      </c>
      <c r="F54" s="699" t="s">
        <v>46</v>
      </c>
      <c r="G54" s="700">
        <v>63.4</v>
      </c>
      <c r="H54" s="701">
        <v>25.1</v>
      </c>
      <c r="I54" s="710"/>
      <c r="J54" s="711"/>
      <c r="K54" s="272">
        <f t="shared" si="4"/>
        <v>68.42</v>
      </c>
      <c r="L54" s="697">
        <v>1</v>
      </c>
      <c r="M54" s="272"/>
      <c r="N54" s="272"/>
      <c r="O54" s="272"/>
      <c r="P54" s="98" t="s">
        <v>455</v>
      </c>
      <c r="Q54" s="126" t="s">
        <v>258</v>
      </c>
      <c r="R54" s="274" t="s">
        <v>249</v>
      </c>
      <c r="S54" s="475">
        <v>240000</v>
      </c>
      <c r="T54" s="475">
        <v>250000</v>
      </c>
      <c r="U54" s="475">
        <v>250000</v>
      </c>
      <c r="V54" s="475">
        <f t="shared" si="6"/>
        <v>240000</v>
      </c>
      <c r="W54" s="475">
        <v>250000</v>
      </c>
      <c r="X54" s="274">
        <f t="shared" si="5"/>
        <v>4.0000000000000036E-2</v>
      </c>
      <c r="Y54" s="276">
        <f t="shared" si="7"/>
        <v>3507.7462730195848</v>
      </c>
      <c r="Z54" s="276">
        <f t="shared" si="8"/>
        <v>3507.7462730195848</v>
      </c>
      <c r="AA54" s="276">
        <f t="shared" si="9"/>
        <v>3653.9023677287341</v>
      </c>
      <c r="AB54" s="128"/>
      <c r="AC54" s="103">
        <v>45385</v>
      </c>
      <c r="AD54" s="313">
        <f>20%*S54</f>
        <v>48000</v>
      </c>
      <c r="AE54" s="313"/>
      <c r="AF54" s="103"/>
      <c r="AG54" s="313"/>
      <c r="AH54" s="313"/>
      <c r="AI54" s="313">
        <f>80%*S54</f>
        <v>192000</v>
      </c>
      <c r="AJ54" s="126" t="s">
        <v>17320</v>
      </c>
      <c r="AK54" s="126"/>
      <c r="AL54" s="126"/>
      <c r="AM54" s="126"/>
      <c r="AN54" s="126"/>
      <c r="AO54" s="132" t="s">
        <v>17422</v>
      </c>
      <c r="AP54" s="132" t="s">
        <v>730</v>
      </c>
      <c r="AQ54" s="132"/>
      <c r="AR54" s="132"/>
      <c r="AS54" s="132"/>
      <c r="AT54" s="132"/>
      <c r="AU54" s="132">
        <v>962011245</v>
      </c>
      <c r="AV54" s="132"/>
      <c r="AW54" s="132"/>
      <c r="AX54" s="276">
        <f t="shared" si="10"/>
        <v>186786.6</v>
      </c>
      <c r="AY54" s="276">
        <v>2730</v>
      </c>
      <c r="AZ54" s="276"/>
    </row>
    <row r="55" spans="1:52" s="476" customFormat="1">
      <c r="A55" s="1863">
        <v>54</v>
      </c>
      <c r="B55" s="1863" t="s">
        <v>571</v>
      </c>
      <c r="C55" s="703" t="s">
        <v>77</v>
      </c>
      <c r="D55" s="697" t="s">
        <v>91</v>
      </c>
      <c r="E55" s="697">
        <v>6</v>
      </c>
      <c r="F55" s="699" t="s">
        <v>146</v>
      </c>
      <c r="G55" s="700">
        <v>86.6</v>
      </c>
      <c r="H55" s="701">
        <v>52.7</v>
      </c>
      <c r="I55" s="701"/>
      <c r="J55" s="702"/>
      <c r="K55" s="272">
        <f t="shared" si="4"/>
        <v>97.14</v>
      </c>
      <c r="L55" s="697">
        <v>1</v>
      </c>
      <c r="M55" s="272"/>
      <c r="N55" s="272"/>
      <c r="O55" s="272"/>
      <c r="P55" s="98">
        <v>1</v>
      </c>
      <c r="Q55" s="126" t="s">
        <v>258</v>
      </c>
      <c r="R55" s="277"/>
      <c r="S55" s="475">
        <v>280486</v>
      </c>
      <c r="T55" s="475">
        <v>365000</v>
      </c>
      <c r="U55" s="475">
        <v>380000</v>
      </c>
      <c r="V55" s="475">
        <f t="shared" si="6"/>
        <v>364800</v>
      </c>
      <c r="W55" s="475">
        <v>380000</v>
      </c>
      <c r="X55" s="274">
        <f>1-(S55/W55)</f>
        <v>0.2618789473684211</v>
      </c>
      <c r="Y55" s="276">
        <f t="shared" si="7"/>
        <v>2887.4408070825612</v>
      </c>
      <c r="Z55" s="276">
        <f t="shared" si="8"/>
        <v>3755.4045707226683</v>
      </c>
      <c r="AA55" s="276">
        <f t="shared" si="9"/>
        <v>3911.8797611694463</v>
      </c>
      <c r="AB55" s="128">
        <v>45349</v>
      </c>
      <c r="AC55" s="103">
        <v>45481</v>
      </c>
      <c r="AD55" s="313">
        <f>10%*S55</f>
        <v>28048.600000000002</v>
      </c>
      <c r="AE55" s="313"/>
      <c r="AF55" s="103"/>
      <c r="AG55" s="313"/>
      <c r="AH55" s="313"/>
      <c r="AI55" s="313">
        <f>90%*S55</f>
        <v>252437.4</v>
      </c>
      <c r="AJ55" s="126" t="s">
        <v>274</v>
      </c>
      <c r="AK55" s="126" t="s">
        <v>17332</v>
      </c>
      <c r="AL55" s="126"/>
      <c r="AM55" s="126"/>
      <c r="AN55" s="126"/>
      <c r="AO55" s="132" t="s">
        <v>18360</v>
      </c>
      <c r="AP55" s="132" t="s">
        <v>265</v>
      </c>
      <c r="AQ55" s="132"/>
      <c r="AR55" s="132"/>
      <c r="AS55" s="132"/>
      <c r="AT55" s="132" t="s">
        <v>18361</v>
      </c>
      <c r="AU55" s="132">
        <v>915273173</v>
      </c>
      <c r="AV55" s="132"/>
      <c r="AW55" s="132"/>
      <c r="AX55" s="276">
        <f t="shared" si="10"/>
        <v>265192.2</v>
      </c>
      <c r="AY55" s="276">
        <v>2730</v>
      </c>
      <c r="AZ55" s="276">
        <v>369500</v>
      </c>
    </row>
    <row r="56" spans="1:52" s="476" customFormat="1">
      <c r="A56" s="1863">
        <v>55</v>
      </c>
      <c r="B56" s="1863" t="s">
        <v>571</v>
      </c>
      <c r="C56" s="703" t="s">
        <v>78</v>
      </c>
      <c r="D56" s="697" t="s">
        <v>89</v>
      </c>
      <c r="E56" s="697">
        <v>7</v>
      </c>
      <c r="F56" s="699" t="s">
        <v>17267</v>
      </c>
      <c r="G56" s="700">
        <v>133.69999999999999</v>
      </c>
      <c r="H56" s="701"/>
      <c r="I56" s="701"/>
      <c r="J56" s="709">
        <v>98.2</v>
      </c>
      <c r="K56" s="272">
        <f>G56+0.3*H56+0.2*I56+0.3*J56</f>
        <v>163.16</v>
      </c>
      <c r="L56" s="697" t="s">
        <v>17271</v>
      </c>
      <c r="M56" s="272"/>
      <c r="N56" s="272"/>
      <c r="O56" s="272"/>
      <c r="P56" s="126"/>
      <c r="Q56" s="126" t="s">
        <v>258</v>
      </c>
      <c r="R56" s="126" t="s">
        <v>249</v>
      </c>
      <c r="S56" s="706">
        <f>0.91*V56</f>
        <v>489216</v>
      </c>
      <c r="T56" s="475">
        <v>560000</v>
      </c>
      <c r="U56" s="475">
        <v>560000</v>
      </c>
      <c r="V56" s="475">
        <f t="shared" si="6"/>
        <v>537600</v>
      </c>
      <c r="W56" s="475">
        <v>560000</v>
      </c>
      <c r="X56" s="274">
        <f t="shared" si="5"/>
        <v>0.12639999999999996</v>
      </c>
      <c r="Y56" s="276">
        <f t="shared" si="7"/>
        <v>2998.3819563618536</v>
      </c>
      <c r="Z56" s="276">
        <f t="shared" si="8"/>
        <v>3294.9252267712677</v>
      </c>
      <c r="AA56" s="276">
        <f t="shared" si="9"/>
        <v>3432.2137778867368</v>
      </c>
      <c r="AB56" s="128"/>
      <c r="AC56" s="103">
        <v>45387</v>
      </c>
      <c r="AD56" s="313">
        <v>48921.599999999999</v>
      </c>
      <c r="AE56" s="313"/>
      <c r="AF56" s="103"/>
      <c r="AG56" s="313"/>
      <c r="AH56" s="313"/>
      <c r="AI56" s="313">
        <v>440294.40000000002</v>
      </c>
      <c r="AJ56" s="126" t="s">
        <v>274</v>
      </c>
      <c r="AK56" s="126"/>
      <c r="AL56" s="126"/>
      <c r="AM56" s="126"/>
      <c r="AN56" s="126"/>
      <c r="AO56" s="132" t="s">
        <v>17384</v>
      </c>
      <c r="AP56" s="132" t="s">
        <v>265</v>
      </c>
      <c r="AQ56" s="132"/>
      <c r="AR56" s="132"/>
      <c r="AS56" s="132"/>
      <c r="AT56" s="1428" t="s">
        <v>18165</v>
      </c>
      <c r="AU56" s="132">
        <v>914561545</v>
      </c>
      <c r="AV56" s="132"/>
      <c r="AW56" s="132"/>
      <c r="AX56" s="276">
        <f t="shared" si="10"/>
        <v>445426.8</v>
      </c>
      <c r="AY56" s="276">
        <v>2730</v>
      </c>
      <c r="AZ56" s="276"/>
    </row>
    <row r="57" spans="1:52" s="476" customFormat="1">
      <c r="A57" s="1863">
        <v>56</v>
      </c>
      <c r="B57" s="1863" t="s">
        <v>571</v>
      </c>
      <c r="C57" s="703" t="s">
        <v>79</v>
      </c>
      <c r="D57" s="697" t="s">
        <v>93</v>
      </c>
      <c r="E57" s="697">
        <v>7</v>
      </c>
      <c r="F57" s="699" t="s">
        <v>17270</v>
      </c>
      <c r="G57" s="700">
        <v>173</v>
      </c>
      <c r="H57" s="701"/>
      <c r="I57" s="701"/>
      <c r="J57" s="709">
        <v>110.7</v>
      </c>
      <c r="K57" s="272">
        <f>G57+0.2*H57+0.2*I57+0.3*J57</f>
        <v>206.21</v>
      </c>
      <c r="L57" s="697" t="s">
        <v>17271</v>
      </c>
      <c r="M57" s="272"/>
      <c r="N57" s="272"/>
      <c r="O57" s="272"/>
      <c r="P57" s="126"/>
      <c r="Q57" s="126" t="s">
        <v>258</v>
      </c>
      <c r="R57" s="277"/>
      <c r="S57" s="475">
        <v>765120</v>
      </c>
      <c r="T57" s="475">
        <v>738000</v>
      </c>
      <c r="U57" s="475">
        <v>738000</v>
      </c>
      <c r="V57" s="475">
        <f t="shared" si="6"/>
        <v>765120</v>
      </c>
      <c r="W57" s="475">
        <v>797000</v>
      </c>
      <c r="X57" s="274">
        <f t="shared" si="5"/>
        <v>4.0000000000000036E-2</v>
      </c>
      <c r="Y57" s="276">
        <f t="shared" si="7"/>
        <v>3710.3923185102562</v>
      </c>
      <c r="Z57" s="276">
        <f t="shared" si="8"/>
        <v>3710.3923185102562</v>
      </c>
      <c r="AA57" s="276">
        <f t="shared" si="9"/>
        <v>3864.9919984481839</v>
      </c>
      <c r="AB57" s="103">
        <v>45432</v>
      </c>
      <c r="AC57" s="103">
        <v>45505</v>
      </c>
      <c r="AD57" s="313">
        <f>10%*S57</f>
        <v>76512</v>
      </c>
      <c r="AE57" s="313">
        <f>10%*S57</f>
        <v>76512</v>
      </c>
      <c r="AF57" s="103">
        <v>45550</v>
      </c>
      <c r="AG57" s="313"/>
      <c r="AH57" s="313"/>
      <c r="AI57" s="313">
        <f>80%*S57</f>
        <v>612096</v>
      </c>
      <c r="AJ57" s="126" t="s">
        <v>17320</v>
      </c>
      <c r="AK57" s="126"/>
      <c r="AL57" s="126"/>
      <c r="AM57" s="126"/>
      <c r="AN57" s="126"/>
      <c r="AO57" s="132" t="s">
        <v>17564</v>
      </c>
      <c r="AP57" s="132" t="s">
        <v>265</v>
      </c>
      <c r="AQ57" s="132"/>
      <c r="AR57" s="132"/>
      <c r="AS57" s="132"/>
      <c r="AT57" s="1428"/>
      <c r="AU57" s="132">
        <v>918705711</v>
      </c>
      <c r="AV57" s="132"/>
      <c r="AW57" s="132"/>
      <c r="AX57" s="276">
        <f t="shared" si="10"/>
        <v>562953.30000000005</v>
      </c>
      <c r="AY57" s="276">
        <v>2730</v>
      </c>
      <c r="AZ57" s="276"/>
    </row>
    <row r="58" spans="1:52">
      <c r="A58" s="188"/>
      <c r="B58" s="188"/>
      <c r="C58" s="188"/>
      <c r="D58" s="188"/>
      <c r="E58" s="188"/>
      <c r="G58" s="332">
        <f>SUM(G2:G57)</f>
        <v>5784.0999999999995</v>
      </c>
      <c r="H58" s="188"/>
      <c r="I58" s="188"/>
      <c r="J58" s="188"/>
      <c r="K58" s="193">
        <f>SUM(K2:K57)</f>
        <v>6386.1099999999988</v>
      </c>
      <c r="L58" s="188"/>
      <c r="M58" s="188"/>
      <c r="N58" s="188"/>
      <c r="O58" s="188"/>
      <c r="P58" s="194"/>
      <c r="Q58" s="188"/>
      <c r="R58" s="188"/>
      <c r="S58" s="195"/>
      <c r="T58" s="195"/>
      <c r="U58" s="195"/>
      <c r="V58" s="195">
        <f>SUM(V2:V57)</f>
        <v>20936480</v>
      </c>
      <c r="W58" s="195">
        <f>SUM(W2:W57)</f>
        <v>21809000</v>
      </c>
      <c r="X58" s="283"/>
      <c r="Y58" s="188"/>
      <c r="Z58" s="188"/>
      <c r="AA58" s="188"/>
      <c r="AB58" s="188"/>
      <c r="AC58" s="283"/>
      <c r="AD58" s="315"/>
      <c r="AE58" s="315"/>
      <c r="AF58" s="283"/>
      <c r="AG58" s="315"/>
      <c r="AH58" s="315"/>
      <c r="AI58" s="315"/>
      <c r="AJ58" s="188"/>
      <c r="AK58" s="188"/>
      <c r="AL58" s="188"/>
      <c r="AM58" s="188"/>
      <c r="AN58" s="188"/>
      <c r="AO58" s="188"/>
      <c r="AP58" s="188"/>
      <c r="AQ58" s="188"/>
      <c r="AR58" s="188"/>
      <c r="AS58" s="188"/>
      <c r="AT58" s="188"/>
      <c r="AU58" s="188"/>
    </row>
    <row r="59" spans="1:52" ht="15.75" thickBot="1"/>
    <row r="60" spans="1:52">
      <c r="A60" s="1921"/>
      <c r="B60" s="1922"/>
      <c r="C60" s="62" t="s">
        <v>139</v>
      </c>
      <c r="D60" s="62" t="s">
        <v>140</v>
      </c>
      <c r="E60" s="49" t="s">
        <v>17</v>
      </c>
      <c r="F60" s="162"/>
      <c r="G60" s="1915" t="s">
        <v>555</v>
      </c>
      <c r="H60" s="1916"/>
    </row>
    <row r="61" spans="1:52">
      <c r="A61" s="1903" t="s">
        <v>258</v>
      </c>
      <c r="B61" s="1904"/>
      <c r="C61" s="63">
        <f>COUNTIF(Q2:Q57,A61)</f>
        <v>56</v>
      </c>
      <c r="D61" s="75">
        <f>SUMIF(Q2:Q57,A61,S2:S57)</f>
        <v>20851972</v>
      </c>
      <c r="E61" s="169">
        <f>AVERAGEIF(Q2:Q57,A61,Y2:Y57)</f>
        <v>3268.6119136167822</v>
      </c>
      <c r="F61" s="162"/>
      <c r="G61" s="225">
        <v>2024</v>
      </c>
      <c r="H61" s="227">
        <f>COUNTIFS(AC2:AC57,"&gt;="&amp;DATE(2024,1,1),AC2:AC57,"&lt;="&amp;DATE(2024,12,31))</f>
        <v>50</v>
      </c>
    </row>
    <row r="62" spans="1:52">
      <c r="A62" s="1905" t="s">
        <v>102</v>
      </c>
      <c r="B62" s="1906"/>
      <c r="C62" s="65">
        <f>COUNTIF(Q2:Q57,A62)</f>
        <v>0</v>
      </c>
      <c r="D62" s="77">
        <f>SUMIF(Q2:Q57,A62,V2:V57)</f>
        <v>0</v>
      </c>
      <c r="E62" s="177" t="e">
        <f>AVERAGEIF(Q2:Q57,A62,Z2:Z57)</f>
        <v>#DIV/0!</v>
      </c>
      <c r="F62" s="162"/>
      <c r="G62" s="225">
        <v>2025</v>
      </c>
      <c r="H62" s="227">
        <f>COUNTIFS(AC2:AC57,"&gt;="&amp;DATE(2025,1,1),AC2:AC57,"&lt;="&amp;DATE(2025,12,31))</f>
        <v>6</v>
      </c>
      <c r="J62" s="1923" t="s">
        <v>17315</v>
      </c>
      <c r="K62" s="1924"/>
      <c r="L62" s="1924"/>
      <c r="M62" s="1924"/>
      <c r="N62" s="1924"/>
      <c r="O62" s="1924"/>
      <c r="P62" s="1924"/>
      <c r="Q62" s="1924"/>
      <c r="R62" s="1924"/>
      <c r="S62" s="1924"/>
      <c r="T62" s="1924"/>
      <c r="U62" s="1925"/>
    </row>
    <row r="63" spans="1:52" ht="15.75" thickBot="1">
      <c r="A63" s="1917" t="s">
        <v>138</v>
      </c>
      <c r="B63" s="1918"/>
      <c r="C63" s="67">
        <f>COUNTIF(Q2:Q57,"")</f>
        <v>0</v>
      </c>
      <c r="D63" s="170">
        <f>SUMIF(Q2:Q57,"",V2:V57)</f>
        <v>0</v>
      </c>
      <c r="E63" s="241" t="e">
        <f>AVERAGEIF(Q2:Q57,"",Z2:Z57)</f>
        <v>#DIV/0!</v>
      </c>
      <c r="F63" s="162"/>
      <c r="G63" s="226">
        <v>2026</v>
      </c>
      <c r="H63" s="216">
        <f>COUNTIFS(AC2:AC57,"&gt;="&amp;DATE(2026,1,1),AC2:AC57,"&lt;="&amp;DATE(2026,12,31))</f>
        <v>0</v>
      </c>
      <c r="J63" s="691" t="s">
        <v>17303</v>
      </c>
      <c r="K63" s="691" t="s">
        <v>17304</v>
      </c>
      <c r="L63" s="692" t="s">
        <v>17305</v>
      </c>
      <c r="M63" s="693" t="s">
        <v>17306</v>
      </c>
      <c r="N63" s="693" t="s">
        <v>17307</v>
      </c>
      <c r="O63" s="693" t="s">
        <v>17308</v>
      </c>
      <c r="P63" s="694" t="s">
        <v>17309</v>
      </c>
      <c r="Q63" s="694" t="s">
        <v>17310</v>
      </c>
      <c r="R63" s="694" t="s">
        <v>17311</v>
      </c>
      <c r="S63" s="694" t="s">
        <v>17312</v>
      </c>
      <c r="T63" s="694" t="s">
        <v>17313</v>
      </c>
      <c r="U63" s="694" t="s">
        <v>17314</v>
      </c>
    </row>
    <row r="64" spans="1:52" ht="15.75" thickBot="1">
      <c r="A64" s="1919" t="s">
        <v>210</v>
      </c>
      <c r="B64" s="1920"/>
      <c r="C64" s="69">
        <f>COUNTIF(Q2:Q57,A64)</f>
        <v>0</v>
      </c>
      <c r="D64" s="171">
        <f>SUMIF(Q2:Q57,A64,S2:S57)</f>
        <v>0</v>
      </c>
      <c r="E64" s="233" t="e">
        <f>AVERAGEIF(Q2:Q57,A64,Y2:Y57)</f>
        <v>#DIV/0!</v>
      </c>
      <c r="F64" s="162"/>
      <c r="G64" s="162"/>
      <c r="H64" s="125"/>
      <c r="J64" s="1012">
        <f>COUNTIFS(AC2:AC57,"&gt;="&amp;DATE(2024,1,1),AC2:AC57,"&lt;="&amp;DATE(2024,1,31))</f>
        <v>0</v>
      </c>
      <c r="K64" s="719">
        <f>COUNTIFS(AC2:AC57,"&gt;="&amp;DATE(2024,2,1),AC2:AC57,"&lt;="&amp;DATE(2024,2,31))</f>
        <v>0</v>
      </c>
      <c r="L64" s="719">
        <f>COUNTIFS(AC2:AC57,"&gt;="&amp;DATE(2024,3,1),AC2:AC57,"&lt;="&amp;DATE(2024,3,31))</f>
        <v>13</v>
      </c>
      <c r="M64" s="719">
        <f>COUNTIFS(AC2:AC57,"&gt;="&amp;DATE(2024,4,1),AC2:AC57,"&lt;="&amp;DATE(2024,4,31))</f>
        <v>5</v>
      </c>
      <c r="N64" s="719">
        <f>COUNTIFS(AC2:AC57,"&gt;="&amp;DATE(2024,5,1),AC2:AC57,"&lt;="&amp;DATE(2024,5,31))</f>
        <v>5</v>
      </c>
      <c r="O64" s="719">
        <f>COUNTIFS(AC2:AC57,"&gt;="&amp;DATE(2024,6,1),AC2:AC57,"&lt;="&amp;DATE(2024,6,31))</f>
        <v>5</v>
      </c>
      <c r="P64" s="719">
        <f>COUNTIFS(AC2:AC57,"&gt;="&amp;DATE(2024,7,1),AC2:AC57,"&lt;="&amp;DATE(2024,7,31))</f>
        <v>5</v>
      </c>
      <c r="Q64" s="719">
        <f>COUNTIFS(AC2:AC57,"&gt;="&amp;DATE(2024,8,1),AC2:AC57,"&lt;="&amp;DATE(2024,8,31))</f>
        <v>5</v>
      </c>
      <c r="R64" s="719">
        <f>COUNTIFS(AC2:AC57,"&gt;="&amp;DATE(2024,9,1),AC2:AC57,"&lt;="&amp;DATE(2024,9,31))</f>
        <v>4</v>
      </c>
      <c r="S64" s="719">
        <f>COUNTIFS(AC2:AC57,"&gt;="&amp;DATE(2024,10,1),AC2:AC57,"&lt;="&amp;DATE(2024,10,31))</f>
        <v>4</v>
      </c>
      <c r="T64" s="719">
        <f>COUNTIFS(AC2:AC57,"&gt;="&amp;DATE(2024,11,1),AC2:AC57,"&lt;="&amp;DATE(2024,11,31))</f>
        <v>2</v>
      </c>
      <c r="U64" s="719">
        <f>COUNTIFS(AC2:AC57,"&gt;="&amp;DATE(2024,12,1),AC2:AC57,"&lt;="&amp;DATE(2024,12,31))</f>
        <v>2</v>
      </c>
    </row>
    <row r="65" spans="1:35" ht="15.75" thickBot="1">
      <c r="A65" s="1895" t="s">
        <v>269</v>
      </c>
      <c r="B65" s="1896"/>
      <c r="C65" s="205">
        <f>SUBTOTAL(9,C61:C64)</f>
        <v>56</v>
      </c>
      <c r="D65" s="206">
        <f>SUBTOTAL(9,D61:D64)</f>
        <v>20851972</v>
      </c>
      <c r="E65" s="207">
        <f>D65/K58</f>
        <v>3265.2071448816264</v>
      </c>
      <c r="F65" s="198"/>
      <c r="G65" s="308" t="s">
        <v>544</v>
      </c>
      <c r="H65" s="309">
        <f>C61/C65</f>
        <v>1</v>
      </c>
    </row>
    <row r="66" spans="1:35" ht="15.75" thickBot="1">
      <c r="A66" s="162"/>
      <c r="B66" s="162"/>
      <c r="C66" s="162"/>
      <c r="D66" s="162"/>
      <c r="E66" s="162"/>
      <c r="F66" s="162"/>
      <c r="G66" s="162"/>
      <c r="H66" s="162"/>
      <c r="J66" s="1923" t="s">
        <v>17817</v>
      </c>
      <c r="K66" s="1924"/>
      <c r="L66" s="1924"/>
      <c r="M66" s="1924"/>
      <c r="N66" s="1924"/>
      <c r="O66" s="1924"/>
      <c r="P66" s="1924"/>
      <c r="Q66" s="1924"/>
      <c r="R66" s="1924"/>
      <c r="S66" s="1924"/>
      <c r="T66" s="1924"/>
      <c r="U66" s="1925"/>
      <c r="W66" s="137"/>
    </row>
    <row r="67" spans="1:35" ht="15.75" customHeight="1" thickBot="1">
      <c r="A67" s="1893" t="s">
        <v>139</v>
      </c>
      <c r="B67" s="1894"/>
      <c r="C67" s="62" t="s">
        <v>90</v>
      </c>
      <c r="D67" s="62" t="s">
        <v>91</v>
      </c>
      <c r="E67" s="62" t="s">
        <v>89</v>
      </c>
      <c r="F67" s="172" t="s">
        <v>93</v>
      </c>
      <c r="G67" s="49" t="s">
        <v>141</v>
      </c>
      <c r="J67" s="691" t="s">
        <v>17303</v>
      </c>
      <c r="K67" s="691" t="s">
        <v>17304</v>
      </c>
      <c r="L67" s="692" t="s">
        <v>17305</v>
      </c>
      <c r="M67" s="693" t="s">
        <v>17306</v>
      </c>
      <c r="N67" s="693" t="s">
        <v>17307</v>
      </c>
      <c r="O67" s="693" t="s">
        <v>17308</v>
      </c>
      <c r="P67" s="694" t="s">
        <v>17309</v>
      </c>
      <c r="Q67" s="694" t="s">
        <v>17310</v>
      </c>
      <c r="R67" s="694" t="s">
        <v>17311</v>
      </c>
      <c r="S67" s="694" t="s">
        <v>17312</v>
      </c>
      <c r="T67" s="694" t="s">
        <v>17313</v>
      </c>
      <c r="U67" s="694" t="s">
        <v>17314</v>
      </c>
      <c r="V67" s="331"/>
      <c r="W67" s="331"/>
    </row>
    <row r="68" spans="1:35">
      <c r="A68" s="1903" t="s">
        <v>258</v>
      </c>
      <c r="B68" s="1904"/>
      <c r="C68" s="63">
        <f>COUNTIFS($D$2:$D$57,C67,$Q$2:$Q$57,$A$68)</f>
        <v>10</v>
      </c>
      <c r="D68" s="63">
        <f>COUNTIFS($D$2:$D$57,D67,$Q$2:$Q$57,$A$68)</f>
        <v>22</v>
      </c>
      <c r="E68" s="63">
        <f>COUNTIFS($D$2:$D$57,E67,$Q$2:$Q$57,$A$68)</f>
        <v>15</v>
      </c>
      <c r="F68" s="63">
        <f>COUNTIFS($D$2:$D$57,F67,$Q$2:$Q$57,$A$68)</f>
        <v>9</v>
      </c>
      <c r="G68" s="64">
        <f>SUM(C68:F68)</f>
        <v>56</v>
      </c>
      <c r="J68" s="1012">
        <f>COUNTIFS(AC2:AC57,"&gt;="&amp;DATE(2025,1,1),AC2:AC57,"&lt;="&amp;DATE(2025,1,31))</f>
        <v>2</v>
      </c>
      <c r="K68" s="719">
        <f>COUNTIFS(AC2:AC57,"&gt;="&amp;DATE(2025,2,1),AC2:AC57,"&lt;="&amp;DATE(2025,2,28))</f>
        <v>1</v>
      </c>
      <c r="L68" s="719">
        <f>COUNTIFS(AC2:AC57,"&gt;="&amp;DATE(2025,3,1),AC2:AC57,"&lt;="&amp;DATE(2025,3,31))</f>
        <v>2</v>
      </c>
      <c r="M68" s="719">
        <f>COUNTIFS(AC2:AC57,"&gt;="&amp;DATE(2025,4,1),AC2:AC57,"&lt;="&amp;DATE(2025,4,30))</f>
        <v>1</v>
      </c>
      <c r="N68" s="719">
        <f>COUNTIFS(AC2:AC57,"&gt;="&amp;DATE(2025,5,1),AC2:AC57,"&lt;="&amp;DATE(2025,5,31))</f>
        <v>0</v>
      </c>
      <c r="O68" s="719">
        <f>COUNTIFS(AC2:AC57,"&gt;="&amp;DATE(2025,6,1),AC2:AC57,"&lt;="&amp;DATE(2025,6,30))</f>
        <v>0</v>
      </c>
      <c r="P68" s="719">
        <f>COUNTIFS(AC2:AC57,"&gt;="&amp;DATE(2025,7,1),AC2:AC57,"&lt;="&amp;DATE(2025,7,31))</f>
        <v>0</v>
      </c>
      <c r="Q68" s="719">
        <f>COUNTIFS(AC2:AC57,"&gt;="&amp;DATE(2025,8,1),AC2:AC57,"&lt;="&amp;DATE(2025,8,31))</f>
        <v>0</v>
      </c>
      <c r="R68" s="719">
        <f>COUNTIFS(AC2:AC57,"&gt;="&amp;DATE(2025,9,1),AC2:AC57,"&lt;="&amp;DATE(2025,9,30))</f>
        <v>0</v>
      </c>
      <c r="S68" s="719">
        <f>COUNTIFS(AC2:AC57,"&gt;="&amp;DATE(2025,10,1),AC2:AC57,"&lt;="&amp;DATE(2025,10,31))</f>
        <v>0</v>
      </c>
      <c r="T68" s="719">
        <f>COUNTIFS(AC2:AC57,"&gt;="&amp;DATE(2025,11,1),AC2:AC57,"&lt;="&amp;DATE(2025,11,30))</f>
        <v>0</v>
      </c>
      <c r="U68" s="719">
        <f>COUNTIFS(AC2:AC57,"&gt;="&amp;DATE(2025,12,1),AC2:AC57,"&lt;="&amp;DATE(2025,12,31))</f>
        <v>0</v>
      </c>
      <c r="V68" s="331"/>
      <c r="W68" s="331"/>
      <c r="AA68" s="720"/>
      <c r="AB68" s="333"/>
      <c r="AC68" s="696"/>
      <c r="AH68" s="331"/>
      <c r="AI68" s="331"/>
    </row>
    <row r="69" spans="1:35">
      <c r="A69" s="1905" t="s">
        <v>102</v>
      </c>
      <c r="B69" s="1911"/>
      <c r="C69" s="65">
        <f>COUNTIFS($D$2:$D$57,C67,$Q$2:$Q$57,$A$69)</f>
        <v>0</v>
      </c>
      <c r="D69" s="65">
        <f>COUNTIFS($D$2:$D$57,D67,$Q$2:$Q$57,$A$69)</f>
        <v>0</v>
      </c>
      <c r="E69" s="65">
        <f>COUNTIFS($D$2:$D$57,E67,$Q$2:$Q$57,$A$69)</f>
        <v>0</v>
      </c>
      <c r="F69" s="65">
        <f>COUNTIFS($D$2:$D$57,F67,$Q$2:$Q$57,$A$69)</f>
        <v>0</v>
      </c>
      <c r="G69" s="66">
        <f>SUM(C69:F69)</f>
        <v>0</v>
      </c>
      <c r="V69" s="331"/>
      <c r="W69" s="331"/>
      <c r="AA69" s="720"/>
      <c r="AB69" s="333"/>
      <c r="AC69" s="696"/>
      <c r="AH69" s="331"/>
      <c r="AI69" s="331"/>
    </row>
    <row r="70" spans="1:35" ht="15.75" thickBot="1">
      <c r="A70" s="1907" t="s">
        <v>138</v>
      </c>
      <c r="B70" s="1912"/>
      <c r="C70" s="67">
        <f>COUNTIFS($D$2:$D$57,C67,$Q$2:$Q$57,"")</f>
        <v>0</v>
      </c>
      <c r="D70" s="67">
        <f>COUNTIFS($D$2:$D$57,D67,$Q$2:$Q$57,"")</f>
        <v>0</v>
      </c>
      <c r="E70" s="67">
        <f>COUNTIFS($D$2:$D$57,E67,$Q$2:$Q$57,"")</f>
        <v>0</v>
      </c>
      <c r="F70" s="67">
        <f>COUNTIFS($D$2:$D$57,F67,$Q$2:$Q$57,"")</f>
        <v>0</v>
      </c>
      <c r="G70" s="68">
        <f>SUM(C70:F70)</f>
        <v>0</v>
      </c>
      <c r="W70" s="331"/>
      <c r="AB70" s="333"/>
      <c r="AC70" s="696"/>
    </row>
    <row r="71" spans="1:35" ht="15.75" thickBot="1">
      <c r="A71" s="1913" t="s">
        <v>210</v>
      </c>
      <c r="B71" s="1914"/>
      <c r="C71" s="69">
        <f>COUNTIFS($D$2:$D$57,C67,$Q$2:$Q$57,A71)</f>
        <v>0</v>
      </c>
      <c r="D71" s="69">
        <f>COUNTIFS($D$2:$D$57,D67,$Q$2:$Q$57,A71)</f>
        <v>0</v>
      </c>
      <c r="E71" s="69">
        <f>COUNTIFS($D$2:$D$57,E67,$Q$2:$Q$57,A71)</f>
        <v>0</v>
      </c>
      <c r="F71" s="69">
        <f>COUNTIFS($D$2:$D$57,F67,$Q$2:$Q$57,A71)</f>
        <v>0</v>
      </c>
      <c r="G71" s="70">
        <f>SUM(C71:F71)</f>
        <v>0</v>
      </c>
      <c r="J71" s="1890" t="s">
        <v>17437</v>
      </c>
      <c r="K71" s="1891"/>
      <c r="L71" s="1891"/>
      <c r="M71" s="1892"/>
      <c r="N71" s="1"/>
      <c r="O71" s="1890" t="s">
        <v>17441</v>
      </c>
      <c r="P71" s="1891"/>
      <c r="Q71" s="1891"/>
      <c r="R71" s="1892"/>
      <c r="W71" s="331"/>
    </row>
    <row r="72" spans="1:35" ht="15.75" thickBot="1">
      <c r="A72" s="1899" t="s">
        <v>141</v>
      </c>
      <c r="B72" s="1900"/>
      <c r="C72" s="71">
        <f>SUM(C68:C71)</f>
        <v>10</v>
      </c>
      <c r="D72" s="71">
        <f>SUM(D68:D71)</f>
        <v>22</v>
      </c>
      <c r="E72" s="71">
        <f>SUM(E68:E71)</f>
        <v>15</v>
      </c>
      <c r="F72" s="71">
        <f>SUM(F68:F71)</f>
        <v>9</v>
      </c>
      <c r="G72" s="73">
        <f>SUM(G68:G71)</f>
        <v>56</v>
      </c>
      <c r="J72" s="1010"/>
      <c r="K72" s="1011" t="s">
        <v>17438</v>
      </c>
      <c r="L72" s="1011">
        <v>2024</v>
      </c>
      <c r="M72" s="1011" t="s">
        <v>17444</v>
      </c>
      <c r="N72" s="1"/>
      <c r="O72" s="1010"/>
      <c r="P72" s="1011" t="s">
        <v>17438</v>
      </c>
      <c r="Q72" s="1011">
        <v>2024</v>
      </c>
      <c r="R72" s="1013" t="s">
        <v>17444</v>
      </c>
      <c r="W72" s="331"/>
    </row>
    <row r="73" spans="1:35">
      <c r="A73" s="162"/>
      <c r="B73" s="162"/>
      <c r="C73" s="162"/>
      <c r="D73" s="162"/>
      <c r="E73" s="162"/>
      <c r="F73" s="162"/>
      <c r="G73" s="162"/>
      <c r="J73" s="31" t="s">
        <v>17439</v>
      </c>
      <c r="K73" s="129">
        <f>COUNTIFS(Q2:Q57,Q39,AJ2:AJ57,J73)</f>
        <v>38</v>
      </c>
      <c r="L73" s="129">
        <f>COUNTIFS(AC2:AC57,"&gt;="&amp;DATE(2024,1,1),AC2:AC57,"&lt;="&amp;DATE(2024,12,31),AJ2:AJ57,J73)</f>
        <v>33</v>
      </c>
      <c r="M73" s="343">
        <f>K73/(+K73+K74+K75)</f>
        <v>0.6785714285714286</v>
      </c>
      <c r="N73" s="1"/>
      <c r="O73" s="34" t="s">
        <v>265</v>
      </c>
      <c r="P73" s="129">
        <f>COUNTIFS($Q$2:$Q$57,$Q$56,$AP$2:$AP$57,O73)</f>
        <v>49</v>
      </c>
      <c r="Q73" s="129">
        <f>COUNTIFS(AC2:AC57,"&gt;="&amp;DATE(2024,1,1),AC2:AC57,"&lt;="&amp;DATE(2024,12,31),$AP$2:$AP$57,O73)</f>
        <v>45</v>
      </c>
      <c r="R73" s="1014">
        <f>P73/(+P73+P74+P75+P76)</f>
        <v>0.92452830188679247</v>
      </c>
      <c r="W73" s="331"/>
    </row>
    <row r="74" spans="1:35" ht="15.75" thickBot="1">
      <c r="A74" s="162"/>
      <c r="B74" s="162"/>
      <c r="C74" s="162"/>
      <c r="D74" s="162"/>
      <c r="E74" s="162"/>
      <c r="F74" s="162"/>
      <c r="G74" s="125"/>
      <c r="J74" s="31" t="s">
        <v>150</v>
      </c>
      <c r="K74" s="129">
        <f>COUNTIFS(Q2:Q57,Q39,AJ2:AJ57,J74)</f>
        <v>13</v>
      </c>
      <c r="L74" s="129">
        <f>COUNTIFS(AC2:AC57,"&gt;="&amp;DATE(2024,1,1),AC2:AC57,"&lt;="&amp;DATE(2024,12,31),AJ2:AJ57,J74)</f>
        <v>12</v>
      </c>
      <c r="M74" s="343">
        <f>K74/(+K73+K74+K75)</f>
        <v>0.23214285714285715</v>
      </c>
      <c r="N74" s="1"/>
      <c r="O74" s="34" t="s">
        <v>517</v>
      </c>
      <c r="P74" s="129">
        <f>COUNTIFS($Q$2:$Q$57,$Q$56,$AP$2:$AP$57,O74)</f>
        <v>2</v>
      </c>
      <c r="Q74" s="129">
        <f>COUNTIFS(AC3:AC58,"&gt;="&amp;DATE(2024,1,1),AC3:AC58,"&lt;="&amp;DATE(2024,12,31),$AP$2:$AP$57,O74)</f>
        <v>2</v>
      </c>
      <c r="R74" s="1014">
        <f>P74/(+P73+P74+P75+P76)</f>
        <v>3.7735849056603772E-2</v>
      </c>
      <c r="W74" s="331"/>
    </row>
    <row r="75" spans="1:35">
      <c r="A75" s="1901" t="s">
        <v>142</v>
      </c>
      <c r="B75" s="1902"/>
      <c r="C75" s="62" t="s">
        <v>90</v>
      </c>
      <c r="D75" s="62" t="s">
        <v>91</v>
      </c>
      <c r="E75" s="62" t="s">
        <v>89</v>
      </c>
      <c r="F75" s="172" t="s">
        <v>93</v>
      </c>
      <c r="G75" s="49" t="s">
        <v>141</v>
      </c>
      <c r="J75" s="665" t="s">
        <v>17440</v>
      </c>
      <c r="K75" s="129">
        <f>COUNTIFS(Q2:Q57,Q39,AJ2:AJ57,J75)</f>
        <v>5</v>
      </c>
      <c r="L75" s="129">
        <f>COUNTIFS(AC2:AC57,"&gt;="&amp;DATE(2024,1,1),AC2:AC57,"&lt;="&amp;DATE(2024,12,31),AJ2:AJ57,J75)</f>
        <v>5</v>
      </c>
      <c r="M75" s="343">
        <f>K75/(+K73+K74+K75)</f>
        <v>8.9285714285714288E-2</v>
      </c>
      <c r="N75" s="1"/>
      <c r="O75" s="34" t="s">
        <v>730</v>
      </c>
      <c r="P75" s="129">
        <f>COUNTIFS($Q$2:$Q$57,$Q$56,$AP$2:$AP$57,O75)</f>
        <v>1</v>
      </c>
      <c r="Q75" s="129">
        <f>COUNTIFS(AC4:AC59,"&gt;="&amp;DATE(2024,1,1),AC4:AC59,"&lt;="&amp;DATE(2024,12,31),$AP$2:$AP$57,O75)</f>
        <v>1</v>
      </c>
      <c r="R75" s="1014">
        <f>P75/(+P73+P74+P75+P76)</f>
        <v>1.8867924528301886E-2</v>
      </c>
      <c r="U75" s="137"/>
      <c r="W75" s="331"/>
    </row>
    <row r="76" spans="1:35">
      <c r="A76" s="1903" t="s">
        <v>258</v>
      </c>
      <c r="B76" s="1904"/>
      <c r="C76" s="75">
        <f>AVERAGEIFS($Y$2:$Y$57,$Q$2:$Q$57,$A$76,$D$2:$D$57,C75)</f>
        <v>3336.8951620913454</v>
      </c>
      <c r="D76" s="75">
        <f>AVERAGEIFS($Y$2:$Y$57,$Q$2:$Q$57,$A$76,$D$2:$D$57,D75)</f>
        <v>3238.2170251668717</v>
      </c>
      <c r="E76" s="75">
        <f>AVERAGEIFS($Y$2:$Y$57,$Q$2:$Q$57,$A$76,$D$2:$D$57,E75)</f>
        <v>3248.2768153188977</v>
      </c>
      <c r="F76" s="75">
        <f>AVERAGEIFS($Y$2:$Y$57,$Q$2:$Q$57,$A$76,$D$2:$D$57,F75)</f>
        <v>3300.9320842413026</v>
      </c>
      <c r="G76" s="169" t="e">
        <f>AVERAGEIF($P$2:$P$57,A76,$Y$2:$Y$57)</f>
        <v>#DIV/0!</v>
      </c>
      <c r="O76" s="331" t="s">
        <v>565</v>
      </c>
      <c r="P76" s="129">
        <f>COUNTIFS($Q$2:$Q$57,Q46,$AP$2:$AP$57,O76)</f>
        <v>1</v>
      </c>
      <c r="Q76" s="129">
        <f>COUNTIFS(AC5:AC60,"&gt;="&amp;DATE(2024,1,1),AC5:AC60,"&lt;="&amp;DATE(2024,12,31),$AP$2:$AP$57,O76)</f>
        <v>1</v>
      </c>
      <c r="R76" s="1014">
        <f>P76/(SUM(P73:P76))</f>
        <v>1.8867924528301886E-2</v>
      </c>
      <c r="U76" s="331"/>
      <c r="V76" s="125"/>
      <c r="W76" s="331"/>
    </row>
    <row r="77" spans="1:35">
      <c r="A77" s="1905" t="s">
        <v>102</v>
      </c>
      <c r="B77" s="1906"/>
      <c r="C77" s="77" t="e">
        <f>AVERAGEIFS($Z$2:$Z$57,$Q$2:$Q$57,$A$77,$D$2:$D$57,C75)</f>
        <v>#DIV/0!</v>
      </c>
      <c r="D77" s="77" t="e">
        <f>AVERAGEIFS($Z$2:$Z$57,$Q$2:$Q$57,$A$77,$D$2:$D$57,D75)</f>
        <v>#DIV/0!</v>
      </c>
      <c r="E77" s="77" t="e">
        <f>AVERAGEIFS($Z$2:$Z$57,$Q$2:$Q$57,$A$77,$D$2:$D$57,E75)</f>
        <v>#DIV/0!</v>
      </c>
      <c r="F77" s="77" t="e">
        <f>AVERAGEIFS($Z$2:$Z$57,$Q$2:$Q$57,$A$77,$D$2:$D$57,F75)</f>
        <v>#DIV/0!</v>
      </c>
      <c r="G77" s="177" t="e">
        <f>AVERAGEIF($Q$2:$Q$57,A77,$Z$2:$Z$57)</f>
        <v>#DIV/0!</v>
      </c>
      <c r="R77" s="333"/>
      <c r="U77" s="331"/>
      <c r="V77" s="331"/>
      <c r="W77" s="331"/>
      <c r="AA77" s="720"/>
      <c r="AB77" s="696"/>
      <c r="AC77" s="696"/>
      <c r="AH77" s="331"/>
      <c r="AI77" s="331"/>
    </row>
    <row r="78" spans="1:35">
      <c r="A78" s="1909" t="s">
        <v>138</v>
      </c>
      <c r="B78" s="1910"/>
      <c r="C78" s="178" t="e">
        <f>AVERAGEIFS($Z$2:$Z$57,$Q$2:$Q$57,"",$D$2:$D$57,C75)</f>
        <v>#DIV/0!</v>
      </c>
      <c r="D78" s="178" t="e">
        <f>AVERAGEIFS($Z$2:$Z$57,$Q$2:$Q$57,"",$D$2:$D$57,D75)</f>
        <v>#DIV/0!</v>
      </c>
      <c r="E78" s="178" t="e">
        <f>AVERAGEIFS($Z$2:$Z$57,$Q$2:$Q$57,"",$D$2:$D$57,E75)</f>
        <v>#DIV/0!</v>
      </c>
      <c r="F78" s="178" t="e">
        <f>AVERAGEIFS($Z$2:$Z$57,$Q$2:$Q$57,"",$D$2:$D$57,F75)</f>
        <v>#DIV/0!</v>
      </c>
      <c r="G78" s="241" t="e">
        <f>AVERAGEIF($Q$2:$Q$57,"",$Z$2:$Z$57)</f>
        <v>#DIV/0!</v>
      </c>
      <c r="R78" s="333"/>
      <c r="U78" s="331"/>
      <c r="V78" s="331"/>
      <c r="W78" s="331"/>
      <c r="AA78" s="720"/>
      <c r="AB78" s="696"/>
      <c r="AC78" s="696"/>
      <c r="AH78" s="331"/>
      <c r="AI78" s="331"/>
    </row>
    <row r="79" spans="1:35" ht="15.75" thickBot="1">
      <c r="A79" s="1897" t="s">
        <v>210</v>
      </c>
      <c r="B79" s="1898"/>
      <c r="C79" s="82" t="e">
        <f>AVERAGEIFS($Z$2:$Z$57,$Q$2:$Q$57,$A$79,$D$2:$D$57,C75)</f>
        <v>#DIV/0!</v>
      </c>
      <c r="D79" s="82" t="e">
        <f>AVERAGEIFS($Z$2:$Z$57,$Q$2:$Q$57,$A$79,$D$2:$D$57,D75)</f>
        <v>#DIV/0!</v>
      </c>
      <c r="E79" s="82" t="e">
        <f>AVERAGEIFS($Z$2:$Z$57,$Q$2:$Q$57,$A$79,$D$2:$D$57,E75)</f>
        <v>#DIV/0!</v>
      </c>
      <c r="F79" s="82" t="e">
        <f>AVERAGEIFS($Z$2:$Z$57,$Q$2:$Q$57,$A$79,$D$2:$D$57,F75)</f>
        <v>#DIV/0!</v>
      </c>
      <c r="G79" s="374" t="e">
        <f>AVERAGEIF($Q$2:$Q$57,A79,$Z$2:$Z$57)</f>
        <v>#DIV/0!</v>
      </c>
      <c r="R79" s="333"/>
      <c r="U79" s="331"/>
      <c r="V79" s="331"/>
      <c r="W79" s="331"/>
      <c r="AA79" s="720"/>
      <c r="AB79" s="696"/>
      <c r="AC79" s="696"/>
      <c r="AH79" s="331"/>
      <c r="AI79" s="331"/>
    </row>
    <row r="80" spans="1:35" ht="15.75" thickBot="1">
      <c r="A80" s="125"/>
      <c r="B80" s="125"/>
      <c r="C80" s="125"/>
      <c r="D80" s="125"/>
      <c r="E80" s="125"/>
      <c r="F80" s="125"/>
      <c r="G80" s="125"/>
      <c r="I80" s="1145"/>
      <c r="R80" s="333"/>
      <c r="V80" s="331"/>
      <c r="W80" s="331"/>
      <c r="AA80" s="720"/>
      <c r="AB80" s="696"/>
      <c r="AC80" s="696"/>
      <c r="AH80" s="331"/>
      <c r="AI80" s="331"/>
    </row>
    <row r="81" spans="1:35">
      <c r="A81" s="1901" t="s">
        <v>192</v>
      </c>
      <c r="B81" s="1902"/>
      <c r="C81" s="62" t="s">
        <v>90</v>
      </c>
      <c r="D81" s="62" t="s">
        <v>91</v>
      </c>
      <c r="E81" s="62" t="s">
        <v>89</v>
      </c>
      <c r="F81" s="172" t="s">
        <v>93</v>
      </c>
      <c r="G81" s="49" t="s">
        <v>141</v>
      </c>
      <c r="R81" s="333"/>
      <c r="V81" s="331"/>
      <c r="W81" s="331"/>
      <c r="Y81" s="333"/>
      <c r="Z81" s="333"/>
      <c r="AA81" s="720"/>
      <c r="AB81" s="696"/>
      <c r="AC81" s="696"/>
      <c r="AH81" s="331"/>
      <c r="AI81" s="331"/>
    </row>
    <row r="82" spans="1:35">
      <c r="A82" s="1903" t="s">
        <v>258</v>
      </c>
      <c r="B82" s="1904"/>
      <c r="C82" s="75">
        <f>AVERAGEIFS($S$2:$S$57,$Q$2:$Q$57,$A$82,$D$2:$D$57,C81)</f>
        <v>227744</v>
      </c>
      <c r="D82" s="75">
        <f>AVERAGEIFS($S$2:$S$57,$Q$2:$Q$57,$A$82,$D$2:$D$57,D81)</f>
        <v>316903.90909090912</v>
      </c>
      <c r="E82" s="75">
        <f>AVERAGEIFS($S$2:$S$57,$Q$2:$Q$57,$A$82,$D$2:$D$57,E81)</f>
        <v>405464.4</v>
      </c>
      <c r="F82" s="75">
        <f>AVERAGEIFS($S$2:$S$57,$Q$2:$Q$57,$A$82,$D$2:$D$57,F81)</f>
        <v>613408.88888888888</v>
      </c>
      <c r="G82" s="169">
        <f>AVERAGEIF(Q2:Q57,A82,S2:S57)</f>
        <v>372356.64285714284</v>
      </c>
      <c r="R82" s="333"/>
      <c r="AA82" s="720"/>
      <c r="AB82" s="696"/>
      <c r="AC82" s="696"/>
      <c r="AH82" s="331"/>
      <c r="AI82" s="331"/>
    </row>
    <row r="83" spans="1:35">
      <c r="A83" s="1905" t="s">
        <v>102</v>
      </c>
      <c r="B83" s="1906"/>
      <c r="C83" s="77" t="e">
        <f>AVERAGEIFS($V$2:$V$57,$Q$2:$Q$57,$A$83,$D$2:$D$57,C81)</f>
        <v>#DIV/0!</v>
      </c>
      <c r="D83" s="77" t="e">
        <f>AVERAGEIFS($V$2:$V$57,$Q$2:$Q$57,$A$83,$D$2:$D$57,D81)</f>
        <v>#DIV/0!</v>
      </c>
      <c r="E83" s="77" t="e">
        <f>AVERAGEIFS($V$2:$V$57,$Q$2:$Q$57,$A$83,$D$2:$D$57,E81)</f>
        <v>#DIV/0!</v>
      </c>
      <c r="F83" s="77" t="e">
        <f>AVERAGEIFS($V$2:$V$57,$Q$2:$Q$57,$A$83,$D$2:$D$57,F81)</f>
        <v>#DIV/0!</v>
      </c>
      <c r="G83" s="177" t="e">
        <f>AVERAGEIF(Q2:Q57,A83,V2:V57)</f>
        <v>#DIV/0!</v>
      </c>
      <c r="R83" s="333"/>
      <c r="AA83" s="720"/>
      <c r="AB83" s="696"/>
      <c r="AC83" s="696"/>
      <c r="AH83" s="331"/>
      <c r="AI83" s="331"/>
    </row>
    <row r="84" spans="1:35" ht="15.75" thickBot="1">
      <c r="A84" s="1907" t="s">
        <v>138</v>
      </c>
      <c r="B84" s="1908"/>
      <c r="C84" s="183" t="e">
        <f>AVERAGEIFS($V$2:$V$57,$Q$2:$Q$57,"",$D$2:$D$57,C81)</f>
        <v>#DIV/0!</v>
      </c>
      <c r="D84" s="183" t="e">
        <f>AVERAGEIFS($V$2:$V$57,$Q$2:$Q$57,"",$D$2:$D$57,D81)</f>
        <v>#DIV/0!</v>
      </c>
      <c r="E84" s="183" t="e">
        <f>AVERAGEIFS($V$2:$V$57,$Q$2:$Q$57,"",$D$2:$D$57,E81)</f>
        <v>#DIV/0!</v>
      </c>
      <c r="F84" s="183" t="e">
        <f>AVERAGEIFS($V$2:$V$57,$Q$2:$Q$57,"",$D$2:$D$57,F81)</f>
        <v>#DIV/0!</v>
      </c>
      <c r="G84" s="184" t="e">
        <f>AVERAGEIF(Q2:Q57,"",V2:V57)</f>
        <v>#DIV/0!</v>
      </c>
      <c r="Q84" s="696"/>
      <c r="R84" s="333"/>
      <c r="AA84" s="720"/>
      <c r="AB84" s="696"/>
      <c r="AC84" s="696"/>
      <c r="AH84" s="331"/>
      <c r="AI84" s="331"/>
    </row>
    <row r="85" spans="1:35" ht="15.75" thickBot="1">
      <c r="A85" s="1897" t="s">
        <v>210</v>
      </c>
      <c r="B85" s="1898"/>
      <c r="C85" s="82" t="e">
        <f>AVERAGEIFS($V$2:$V$57,$Q$2:$Q$57,$A$85,$D$2:$D$57,C81)</f>
        <v>#DIV/0!</v>
      </c>
      <c r="D85" s="82" t="e">
        <f>AVERAGEIFS($V$2:$V$57,$Q$2:$Q$57,$A$85,$D$2:$D$57,D81)</f>
        <v>#DIV/0!</v>
      </c>
      <c r="E85" s="82" t="e">
        <f>AVERAGEIFS($V$2:$V$57,$Q$2:$Q$57,$A$85,$D$2:$D$57,E81)</f>
        <v>#DIV/0!</v>
      </c>
      <c r="F85" s="82" t="e">
        <f>AVERAGEIFS($V$2:$V$57,$Q$2:$Q$57,$A$85,$D$2:$D$57,F81)</f>
        <v>#DIV/0!</v>
      </c>
      <c r="G85" s="182" t="e">
        <f>AVERAGEIF(Q2:Q57,A85,V2:V57)</f>
        <v>#DIV/0!</v>
      </c>
      <c r="R85" s="333"/>
      <c r="AA85" s="720"/>
      <c r="AB85" s="696"/>
      <c r="AC85" s="696"/>
      <c r="AH85" s="331"/>
      <c r="AI85" s="331"/>
    </row>
    <row r="86" spans="1:35" ht="15.75" thickBot="1">
      <c r="A86" s="125"/>
      <c r="B86" s="125"/>
      <c r="C86" s="125"/>
      <c r="D86" s="125"/>
      <c r="E86" s="125"/>
      <c r="F86" s="125"/>
      <c r="G86" s="125"/>
      <c r="R86" s="333"/>
      <c r="X86" s="333"/>
    </row>
    <row r="87" spans="1:35">
      <c r="A87" s="1901" t="s">
        <v>234</v>
      </c>
      <c r="B87" s="1902"/>
      <c r="C87" s="62" t="s">
        <v>90</v>
      </c>
      <c r="D87" s="62" t="s">
        <v>91</v>
      </c>
      <c r="E87" s="62" t="s">
        <v>89</v>
      </c>
      <c r="F87" s="172" t="s">
        <v>93</v>
      </c>
      <c r="G87" s="49" t="s">
        <v>141</v>
      </c>
      <c r="R87" s="333"/>
      <c r="W87" s="331"/>
    </row>
    <row r="88" spans="1:35">
      <c r="A88" s="1903" t="s">
        <v>258</v>
      </c>
      <c r="B88" s="1904"/>
      <c r="C88" s="236">
        <f>AVERAGEIFS($K$2:$K$57,$Q$2:$Q$57,$A$88,$D$2:$D$57,C87)</f>
        <v>68.289999999999992</v>
      </c>
      <c r="D88" s="236">
        <f>AVERAGEIFS($K$2:$K$57,$Q$2:$Q$57,$A$88,$D$2:$D$57,D87)</f>
        <v>97.99545454545455</v>
      </c>
      <c r="E88" s="236">
        <f>AVERAGEIFS($K$2:$K$57,$Q$2:$Q$57,$A$88,$D$2:$D$57,E87)</f>
        <v>125.07333333333332</v>
      </c>
      <c r="F88" s="236">
        <f>AVERAGEIFS($K$2:$K$57,$Q$2:$Q$57,$A$88,$D$2:$D$57,F87)</f>
        <v>185.69</v>
      </c>
      <c r="G88" s="242">
        <f>AVERAGEIF(Q2:Q57,A88,K2:K57)</f>
        <v>114.03767857142854</v>
      </c>
      <c r="R88" s="333"/>
      <c r="W88" s="331"/>
    </row>
    <row r="89" spans="1:35">
      <c r="A89" s="1905" t="s">
        <v>102</v>
      </c>
      <c r="B89" s="1906"/>
      <c r="C89" s="237" t="e">
        <f>AVERAGEIFS($K$2:$K$57,$Q$2:$Q$57,$A$89,$D$2:$D$57,C87)</f>
        <v>#DIV/0!</v>
      </c>
      <c r="D89" s="237" t="e">
        <f>AVERAGEIFS($K$2:$K$57,$Q$2:$Q$57,$A$89,$D$2:$D$57,D87)</f>
        <v>#DIV/0!</v>
      </c>
      <c r="E89" s="237" t="e">
        <f>AVERAGEIFS($K$2:$K$57,$Q$2:$Q$57,$A$89,$D$2:$D$57,E87)</f>
        <v>#DIV/0!</v>
      </c>
      <c r="F89" s="237" t="e">
        <f>AVERAGEIFS($K$2:$K$57,$Q$2:$Q$57,$A$89,$D$2:$D$57,F87)</f>
        <v>#DIV/0!</v>
      </c>
      <c r="G89" s="243" t="e">
        <f>AVERAGEIF(Q2:Q57,A89,K2:K57)</f>
        <v>#DIV/0!</v>
      </c>
      <c r="R89" s="333"/>
      <c r="W89" s="331"/>
    </row>
    <row r="90" spans="1:35" ht="15.75" thickBot="1">
      <c r="A90" s="1907" t="s">
        <v>138</v>
      </c>
      <c r="B90" s="1908"/>
      <c r="C90" s="185" t="e">
        <f>AVERAGEIFS($K$2:$K$57,$Q$2:$Q$57,"",$D$2:$D$57,C87)</f>
        <v>#DIV/0!</v>
      </c>
      <c r="D90" s="185" t="e">
        <f>AVERAGEIFS($K$2:$K$57,$Q$2:$Q$57,"",$D$2:$D$57,D87)</f>
        <v>#DIV/0!</v>
      </c>
      <c r="E90" s="185" t="e">
        <f>AVERAGEIFS($K$2:$K$57,$Q$2:$Q$57,"",$D$2:$D$57,E87)</f>
        <v>#DIV/0!</v>
      </c>
      <c r="F90" s="185" t="e">
        <f>AVERAGEIFS($K$2:$K$57,$Q$2:$Q$57,"",$D$2:$D$57,F87)</f>
        <v>#DIV/0!</v>
      </c>
      <c r="G90" s="246" t="e">
        <f>AVERAGEIF(Q2:Q57,"",K2:K57)</f>
        <v>#DIV/0!</v>
      </c>
      <c r="R90" s="333"/>
      <c r="W90" s="331"/>
    </row>
    <row r="91" spans="1:35" ht="15.75" thickBot="1">
      <c r="A91" s="1897" t="s">
        <v>210</v>
      </c>
      <c r="B91" s="1898"/>
      <c r="C91" s="253" t="e">
        <f>AVERAGEIFS($K$2:$K$57,$Q$2:$Q$57,$A$91,$D$2:$D$57,C87)</f>
        <v>#DIV/0!</v>
      </c>
      <c r="D91" s="253" t="e">
        <f>AVERAGEIFS($K$2:$K$57,$Q$2:$Q$57,$A$91,$D$2:$D$57,D87)</f>
        <v>#DIV/0!</v>
      </c>
      <c r="E91" s="253" t="e">
        <f>AVERAGEIFS($K$2:$K$57,$Q$2:$Q$57,$A$91,$D$2:$D$57,E87)</f>
        <v>#DIV/0!</v>
      </c>
      <c r="F91" s="253" t="e">
        <f>AVERAGEIFS($K$2:$K$57,$Q$2:$Q$57,$A$91,$D$2:$D$57,F87)</f>
        <v>#DIV/0!</v>
      </c>
      <c r="G91" s="255" t="e">
        <f>AVERAGEIF(Q2:Q57,A91,K2:K57)</f>
        <v>#DIV/0!</v>
      </c>
      <c r="R91" s="333"/>
      <c r="W91" s="331"/>
    </row>
    <row r="92" spans="1:35">
      <c r="R92" s="333"/>
    </row>
    <row r="93" spans="1:35">
      <c r="R93" s="333"/>
    </row>
    <row r="94" spans="1:35">
      <c r="R94" s="333"/>
    </row>
    <row r="95" spans="1:35">
      <c r="R95" s="333"/>
    </row>
    <row r="96" spans="1:35">
      <c r="R96" s="333"/>
    </row>
    <row r="97" spans="18:18">
      <c r="R97" s="333"/>
    </row>
    <row r="98" spans="18:18">
      <c r="R98" s="333"/>
    </row>
    <row r="99" spans="18:18">
      <c r="R99" s="333"/>
    </row>
    <row r="100" spans="18:18">
      <c r="R100" s="333"/>
    </row>
    <row r="101" spans="18:18">
      <c r="R101" s="333"/>
    </row>
    <row r="102" spans="18:18">
      <c r="R102" s="333"/>
    </row>
    <row r="103" spans="18:18">
      <c r="R103" s="333"/>
    </row>
    <row r="104" spans="18:18">
      <c r="R104" s="333"/>
    </row>
    <row r="105" spans="18:18">
      <c r="R105" s="333"/>
    </row>
    <row r="121" spans="9:15">
      <c r="M121" s="718"/>
    </row>
    <row r="123" spans="9:15">
      <c r="N123" s="718"/>
      <c r="O123" s="718"/>
    </row>
    <row r="124" spans="9:15">
      <c r="I124" s="718"/>
    </row>
  </sheetData>
  <sheetProtection selectLockedCells="1" selectUnlockedCells="1"/>
  <autoFilter ref="A1:AY58" xr:uid="{7297B5A6-3AE7-42C4-8A2E-5B528E215524}"/>
  <mergeCells count="32">
    <mergeCell ref="A81:B81"/>
    <mergeCell ref="A90:B90"/>
    <mergeCell ref="A82:B82"/>
    <mergeCell ref="A71:B71"/>
    <mergeCell ref="A70:B70"/>
    <mergeCell ref="A72:B72"/>
    <mergeCell ref="A75:B75"/>
    <mergeCell ref="A76:B76"/>
    <mergeCell ref="A91:B91"/>
    <mergeCell ref="A83:B83"/>
    <mergeCell ref="A84:B84"/>
    <mergeCell ref="A85:B85"/>
    <mergeCell ref="A87:B87"/>
    <mergeCell ref="A88:B88"/>
    <mergeCell ref="A89:B89"/>
    <mergeCell ref="A60:B60"/>
    <mergeCell ref="G60:H60"/>
    <mergeCell ref="A61:B61"/>
    <mergeCell ref="A62:B62"/>
    <mergeCell ref="A63:B63"/>
    <mergeCell ref="J62:U62"/>
    <mergeCell ref="A77:B77"/>
    <mergeCell ref="A78:B78"/>
    <mergeCell ref="A79:B79"/>
    <mergeCell ref="A64:B64"/>
    <mergeCell ref="A65:B65"/>
    <mergeCell ref="A67:B67"/>
    <mergeCell ref="A68:B68"/>
    <mergeCell ref="A69:B69"/>
    <mergeCell ref="J71:M71"/>
    <mergeCell ref="O71:R71"/>
    <mergeCell ref="J66:U66"/>
  </mergeCells>
  <phoneticPr fontId="11" type="noConversion"/>
  <hyperlinks>
    <hyperlink ref="AT3" r:id="rId1" xr:uid="{364A933F-4B71-430E-840C-FA183ADBD367}"/>
    <hyperlink ref="AT4" r:id="rId2" xr:uid="{00207019-E2A4-4D00-812C-0CF0765E1EAE}"/>
    <hyperlink ref="AT5" r:id="rId3" xr:uid="{6A317E81-61C4-4E3A-935C-2D585C3E18C2}"/>
    <hyperlink ref="AT6" r:id="rId4" xr:uid="{28E7AA8E-E8AF-4534-B9B4-AF88CC2414C5}"/>
    <hyperlink ref="AT8" r:id="rId5" xr:uid="{B2C8EC52-69AC-4D51-8361-42A2FB7ADD2F}"/>
    <hyperlink ref="AT9" r:id="rId6" xr:uid="{9DA58258-D8EA-47FD-A1B7-C30B8FE98E15}"/>
    <hyperlink ref="AT10" r:id="rId7" xr:uid="{9466EAF2-F3E7-4DB2-A123-C9D64B9F439E}"/>
    <hyperlink ref="AT12" r:id="rId8" xr:uid="{E572BE9F-B327-4558-987B-3E7D7DBFFFF2}"/>
    <hyperlink ref="AT15" r:id="rId9" xr:uid="{E81DA324-33B0-41A0-9601-A9E22B469420}"/>
    <hyperlink ref="AT17" r:id="rId10" xr:uid="{0C586165-04AF-4BD8-82D3-F3A76240233F}"/>
    <hyperlink ref="AT19" r:id="rId11" xr:uid="{43698AE0-0A27-4402-9C69-9B8B18A751B5}"/>
    <hyperlink ref="AT21" r:id="rId12" xr:uid="{A6EDC0D3-C612-4022-AF16-40F0F304CDC1}"/>
    <hyperlink ref="AT22" r:id="rId13" xr:uid="{203CFADB-B5BE-499F-B901-6A02117C27A0}"/>
    <hyperlink ref="AT23" r:id="rId14" xr:uid="{7BA17B0A-0203-4A10-AA91-B0CCD40F4774}"/>
    <hyperlink ref="AT25" r:id="rId15" xr:uid="{1D5C8915-7BC9-4231-98F0-4F8725E42D56}"/>
    <hyperlink ref="AT26" r:id="rId16" xr:uid="{26A8238F-00FD-4A2F-8F06-B4073BD1BE95}"/>
    <hyperlink ref="AT28" r:id="rId17" xr:uid="{10016047-F8BD-492D-9A23-1E13180E29C2}"/>
    <hyperlink ref="AT18" r:id="rId18" xr:uid="{BBC816BB-77AD-4818-A8EB-EB55E6EA75CD}"/>
    <hyperlink ref="AT29" r:id="rId19" xr:uid="{29B8B9B1-CE31-49BD-8C5E-7581BD8000AB}"/>
    <hyperlink ref="AT30" r:id="rId20" xr:uid="{38316BC7-0E19-473B-8EF1-E3261350B460}"/>
    <hyperlink ref="AT31" r:id="rId21" xr:uid="{4038F792-3AEE-473B-9DB2-90DF0307F94C}"/>
    <hyperlink ref="AT32" r:id="rId22" xr:uid="{30BD2143-532C-4469-91CF-2A27388E72A8}"/>
    <hyperlink ref="AT34" r:id="rId23" xr:uid="{3108ECE2-7EC9-43E2-A660-565EC583346C}"/>
    <hyperlink ref="AT36" r:id="rId24" xr:uid="{7E5C041B-1BA0-43F6-92D1-CE601845320C}"/>
    <hyperlink ref="AT37" r:id="rId25" xr:uid="{1BD7D473-0050-440B-ACB5-C979E0D0228A}"/>
    <hyperlink ref="AT38" r:id="rId26" xr:uid="{11E12A6B-9498-4640-AA30-00C2DA16B60B}"/>
    <hyperlink ref="AT39" r:id="rId27" xr:uid="{ABB06C1D-B1D9-4DD7-85C6-FABD8D9D813D}"/>
    <hyperlink ref="AT40" r:id="rId28" xr:uid="{A6401CDB-F1EE-44FE-9607-A64CB6D0C032}"/>
    <hyperlink ref="AT42" r:id="rId29" xr:uid="{E7F8877C-995E-4AC3-9056-B1500687C73E}"/>
    <hyperlink ref="AT44" r:id="rId30" xr:uid="{5AD56072-789C-46DA-B115-001D97015E4B}"/>
    <hyperlink ref="AT45" r:id="rId31" xr:uid="{A232BF1D-3FBF-4E69-B52A-B56595798641}"/>
    <hyperlink ref="AT46" r:id="rId32" xr:uid="{0823F517-57BF-4CC0-9BE9-A34A8A40D7D5}"/>
    <hyperlink ref="AT47" r:id="rId33" xr:uid="{52689A69-D577-4E4B-815B-ECCFB97407DB}"/>
    <hyperlink ref="AT48" r:id="rId34" xr:uid="{AA4B6AD4-F457-4D2F-B6C2-48614B0EC55E}"/>
    <hyperlink ref="AT51" r:id="rId35" xr:uid="{898ADF61-D642-41B6-A3E5-D8926717A890}"/>
    <hyperlink ref="AT56" r:id="rId36" xr:uid="{120EBDC8-2C3F-493A-8335-37E6A45BFAEA}"/>
  </hyperlinks>
  <pageMargins left="0.7" right="0.7" top="0.75" bottom="0.75" header="0.3" footer="0.3"/>
  <pageSetup paperSize="9" orientation="portrait" r:id="rId37"/>
  <legacyDrawing r:id="rId38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49C72-6AE1-482F-AABA-17E5EF5553E6}">
  <sheetPr>
    <tabColor theme="9" tint="-0.249977111117893"/>
  </sheetPr>
  <dimension ref="A1:BA91"/>
  <sheetViews>
    <sheetView topLeftCell="A39" zoomScaleNormal="100" workbookViewId="0">
      <pane xSplit="2" topLeftCell="C1" activePane="topRight" state="frozen"/>
      <selection activeCell="A7" sqref="A7"/>
      <selection pane="topRight" activeCell="BA11" sqref="BA11"/>
    </sheetView>
  </sheetViews>
  <sheetFormatPr defaultColWidth="9.140625" defaultRowHeight="16.5" customHeight="1"/>
  <cols>
    <col min="1" max="1" width="8.5703125" style="829" bestFit="1" customWidth="1"/>
    <col min="2" max="2" width="11" style="829" bestFit="1" customWidth="1"/>
    <col min="3" max="3" width="11.7109375" style="829" customWidth="1"/>
    <col min="4" max="4" width="12.140625" style="829" customWidth="1"/>
    <col min="5" max="5" width="15.85546875" style="829" customWidth="1"/>
    <col min="6" max="6" width="12.42578125" style="829" customWidth="1"/>
    <col min="7" max="7" width="11.28515625" style="829" customWidth="1"/>
    <col min="8" max="8" width="11.42578125" style="829" customWidth="1"/>
    <col min="9" max="9" width="14.7109375" style="829" customWidth="1"/>
    <col min="10" max="10" width="11.28515625" style="829" customWidth="1"/>
    <col min="11" max="11" width="16" style="981" customWidth="1"/>
    <col min="12" max="12" width="16.5703125" style="981" customWidth="1"/>
    <col min="13" max="13" width="9.42578125" style="981" customWidth="1"/>
    <col min="14" max="14" width="13.42578125" style="981" customWidth="1"/>
    <col min="15" max="15" width="11.5703125" style="981" customWidth="1"/>
    <col min="16" max="16" width="10.28515625" style="829" customWidth="1"/>
    <col min="17" max="17" width="11.42578125" style="829" customWidth="1"/>
    <col min="18" max="18" width="19" style="829" customWidth="1"/>
    <col min="19" max="19" width="12.5703125" style="829" customWidth="1"/>
    <col min="20" max="20" width="13.7109375" style="829" customWidth="1"/>
    <col min="21" max="21" width="13.7109375" style="829" hidden="1" customWidth="1"/>
    <col min="22" max="22" width="13.7109375" style="829" customWidth="1"/>
    <col min="23" max="23" width="12.85546875" style="829" customWidth="1"/>
    <col min="24" max="24" width="12.140625" style="829" customWidth="1"/>
    <col min="25" max="26" width="13.42578125" style="829" customWidth="1"/>
    <col min="27" max="28" width="13.42578125" style="834" customWidth="1"/>
    <col min="29" max="29" width="14.140625" style="834" customWidth="1"/>
    <col min="30" max="31" width="14.140625" style="835" customWidth="1"/>
    <col min="32" max="32" width="12.5703125" style="834" customWidth="1"/>
    <col min="33" max="33" width="14.140625" style="835" customWidth="1"/>
    <col min="34" max="34" width="11.7109375" style="834" bestFit="1" customWidth="1"/>
    <col min="35" max="35" width="14.140625" style="835" customWidth="1"/>
    <col min="36" max="36" width="16.85546875" style="829" customWidth="1"/>
    <col min="37" max="37" width="14.140625" style="829" customWidth="1"/>
    <col min="38" max="40" width="15" style="829" customWidth="1"/>
    <col min="41" max="41" width="76.7109375" style="829" bestFit="1" customWidth="1"/>
    <col min="42" max="42" width="14.28515625" style="829" bestFit="1" customWidth="1"/>
    <col min="43" max="47" width="14.28515625" style="829" customWidth="1"/>
    <col min="48" max="50" width="12.85546875" style="829" bestFit="1" customWidth="1"/>
    <col min="51" max="51" width="18.28515625" style="829" bestFit="1" customWidth="1"/>
    <col min="52" max="52" width="18.28515625" style="1875" bestFit="1" customWidth="1"/>
    <col min="53" max="16384" width="9.140625" style="829"/>
  </cols>
  <sheetData>
    <row r="1" spans="1:52" s="818" customFormat="1" ht="21.75" customHeight="1" thickBot="1">
      <c r="A1" s="982" t="s">
        <v>23</v>
      </c>
      <c r="B1" s="982" t="s">
        <v>5</v>
      </c>
      <c r="C1" s="982" t="s">
        <v>1</v>
      </c>
      <c r="D1" s="983" t="s">
        <v>0</v>
      </c>
      <c r="E1" s="997" t="s">
        <v>3</v>
      </c>
      <c r="F1" s="982" t="s">
        <v>6</v>
      </c>
      <c r="G1" s="982" t="s">
        <v>2</v>
      </c>
      <c r="H1" s="982" t="s">
        <v>212</v>
      </c>
      <c r="I1" s="982" t="s">
        <v>11</v>
      </c>
      <c r="J1" s="982" t="s">
        <v>12</v>
      </c>
      <c r="K1" s="982" t="s">
        <v>216</v>
      </c>
      <c r="L1" s="982" t="s">
        <v>17323</v>
      </c>
      <c r="M1" s="982" t="s">
        <v>218</v>
      </c>
      <c r="N1" s="982" t="s">
        <v>219</v>
      </c>
      <c r="O1" s="982" t="s">
        <v>22</v>
      </c>
      <c r="P1" s="982" t="s">
        <v>246</v>
      </c>
      <c r="Q1" s="982" t="s">
        <v>251</v>
      </c>
      <c r="R1" s="984" t="s">
        <v>221</v>
      </c>
      <c r="S1" s="982" t="s">
        <v>14</v>
      </c>
      <c r="T1" s="984" t="s">
        <v>17435</v>
      </c>
      <c r="U1" s="984" t="s">
        <v>17594</v>
      </c>
      <c r="V1" s="982" t="s">
        <v>16</v>
      </c>
      <c r="W1" s="982" t="s">
        <v>227</v>
      </c>
      <c r="X1" s="982" t="s">
        <v>522</v>
      </c>
      <c r="Y1" s="982" t="s">
        <v>228</v>
      </c>
      <c r="Z1" s="985" t="s">
        <v>17210</v>
      </c>
      <c r="AA1" s="985" t="s">
        <v>300</v>
      </c>
      <c r="AB1" s="985" t="s">
        <v>4</v>
      </c>
      <c r="AC1" s="986" t="s">
        <v>545</v>
      </c>
      <c r="AD1" s="986" t="s">
        <v>546</v>
      </c>
      <c r="AE1" s="985" t="s">
        <v>553</v>
      </c>
      <c r="AF1" s="986" t="s">
        <v>547</v>
      </c>
      <c r="AG1" s="985" t="s">
        <v>554</v>
      </c>
      <c r="AH1" s="986" t="s">
        <v>548</v>
      </c>
      <c r="AI1" s="982" t="s">
        <v>8</v>
      </c>
      <c r="AJ1" s="982" t="s">
        <v>255</v>
      </c>
      <c r="AK1" s="982" t="s">
        <v>18</v>
      </c>
      <c r="AL1" s="982" t="s">
        <v>17302</v>
      </c>
      <c r="AM1" s="982" t="s">
        <v>17341</v>
      </c>
      <c r="AN1" s="982" t="s">
        <v>543</v>
      </c>
      <c r="AO1" s="982" t="s">
        <v>19</v>
      </c>
      <c r="AP1" s="982" t="s">
        <v>261</v>
      </c>
      <c r="AQ1" s="982" t="s">
        <v>17891</v>
      </c>
      <c r="AR1" s="982" t="s">
        <v>17892</v>
      </c>
      <c r="AS1" s="982" t="s">
        <v>17893</v>
      </c>
      <c r="AT1" s="982" t="s">
        <v>17599</v>
      </c>
      <c r="AU1" s="982" t="s">
        <v>17601</v>
      </c>
      <c r="AV1" s="982" t="s">
        <v>262</v>
      </c>
      <c r="AW1" s="982" t="s">
        <v>263</v>
      </c>
      <c r="AX1" s="982" t="s">
        <v>20</v>
      </c>
      <c r="AY1" s="982" t="s">
        <v>21</v>
      </c>
      <c r="AZ1" s="1872" t="s">
        <v>18351</v>
      </c>
    </row>
    <row r="2" spans="1:52" s="1191" customFormat="1" ht="16.5" customHeight="1">
      <c r="A2" s="1176">
        <v>1</v>
      </c>
      <c r="B2" s="336" t="s">
        <v>24</v>
      </c>
      <c r="C2" s="1177" t="s">
        <v>90</v>
      </c>
      <c r="D2" s="1178">
        <v>1</v>
      </c>
      <c r="E2" s="1179" t="s">
        <v>28</v>
      </c>
      <c r="F2" s="651">
        <v>64.599999999999994</v>
      </c>
      <c r="G2" s="652"/>
      <c r="H2" s="677">
        <v>19.399999999999999</v>
      </c>
      <c r="I2" s="1180">
        <f>F2+0.3*G2+0.3*H2</f>
        <v>70.419999999999987</v>
      </c>
      <c r="J2" s="1176" t="s">
        <v>258</v>
      </c>
      <c r="K2" s="1181" t="s">
        <v>17430</v>
      </c>
      <c r="L2" s="1176" t="s">
        <v>17428</v>
      </c>
      <c r="M2" s="1176"/>
      <c r="N2" s="1176"/>
      <c r="O2" s="1192"/>
      <c r="P2" s="1193"/>
      <c r="Q2" s="1193"/>
      <c r="R2" s="1194">
        <v>227520</v>
      </c>
      <c r="S2" s="1184">
        <f>0.96*T2</f>
        <v>227520</v>
      </c>
      <c r="T2" s="1184">
        <v>237000</v>
      </c>
      <c r="U2" s="1184"/>
      <c r="V2" s="1185">
        <f t="shared" ref="V2:V33" si="0">S2/T2-1</f>
        <v>-4.0000000000000036E-2</v>
      </c>
      <c r="W2" s="1183">
        <f t="shared" ref="W2:W33" si="1">R2/I2</f>
        <v>3230.9003124112473</v>
      </c>
      <c r="X2" s="1183">
        <f>S2/I2</f>
        <v>3230.9003124112473</v>
      </c>
      <c r="Y2" s="1183">
        <f>T2/I2</f>
        <v>3365.5211587617159</v>
      </c>
      <c r="Z2" s="1186"/>
      <c r="AA2" s="1186">
        <v>45486</v>
      </c>
      <c r="AB2" s="1187">
        <v>45510</v>
      </c>
      <c r="AC2" s="1188">
        <f>20%*R2+5000</f>
        <v>50504</v>
      </c>
      <c r="AD2" s="1188"/>
      <c r="AE2" s="1187"/>
      <c r="AF2" s="1188"/>
      <c r="AG2" s="1187"/>
      <c r="AH2" s="1188">
        <f>80%*R2-5000</f>
        <v>177016</v>
      </c>
      <c r="AI2" s="1191" t="s">
        <v>17320</v>
      </c>
      <c r="AJ2" s="1176"/>
      <c r="AK2" s="1176"/>
      <c r="AL2" s="1176"/>
      <c r="AM2" s="1176"/>
      <c r="AN2" s="1176"/>
      <c r="AO2" s="1189" t="s">
        <v>17577</v>
      </c>
      <c r="AP2" s="1189" t="s">
        <v>265</v>
      </c>
      <c r="AQ2" s="1189"/>
      <c r="AR2" s="1189"/>
      <c r="AS2" s="1189"/>
      <c r="AT2" s="1612" t="s">
        <v>18166</v>
      </c>
      <c r="AU2" s="1189">
        <v>919459875</v>
      </c>
      <c r="AV2" s="1189"/>
      <c r="AW2" s="1189"/>
      <c r="AX2" s="1190">
        <f t="shared" ref="AX2:AX33" si="2">AY2*I2</f>
        <v>192246.59999999998</v>
      </c>
      <c r="AY2" s="1190">
        <v>2730</v>
      </c>
      <c r="AZ2" s="1873"/>
    </row>
    <row r="3" spans="1:52" s="1191" customFormat="1" ht="16.5" customHeight="1">
      <c r="A3" s="1176">
        <v>2</v>
      </c>
      <c r="B3" s="336" t="s">
        <v>25</v>
      </c>
      <c r="C3" s="1177" t="s">
        <v>90</v>
      </c>
      <c r="D3" s="1178">
        <v>1</v>
      </c>
      <c r="E3" s="1179" t="s">
        <v>28</v>
      </c>
      <c r="F3" s="651">
        <v>60.9</v>
      </c>
      <c r="G3" s="652"/>
      <c r="H3" s="653">
        <v>19.2</v>
      </c>
      <c r="I3" s="1180">
        <f>F3+0.3*G3+0.3*H3</f>
        <v>66.66</v>
      </c>
      <c r="J3" s="1176" t="s">
        <v>258</v>
      </c>
      <c r="K3" s="1181" t="s">
        <v>17430</v>
      </c>
      <c r="L3" s="1176" t="s">
        <v>17429</v>
      </c>
      <c r="M3" s="1176"/>
      <c r="N3" s="1176"/>
      <c r="O3" s="1205"/>
      <c r="P3" s="1176"/>
      <c r="Q3" s="1176"/>
      <c r="R3" s="1183">
        <v>218400</v>
      </c>
      <c r="S3" s="1184">
        <f t="shared" ref="S3:S55" si="3">0.96*T3</f>
        <v>218400</v>
      </c>
      <c r="T3" s="1184">
        <v>227500</v>
      </c>
      <c r="U3" s="1184"/>
      <c r="V3" s="1185">
        <f t="shared" si="0"/>
        <v>-4.0000000000000036E-2</v>
      </c>
      <c r="W3" s="1183">
        <f t="shared" si="1"/>
        <v>3276.3276327632766</v>
      </c>
      <c r="X3" s="1183">
        <f t="shared" ref="X3:X55" si="4">S3/I3</f>
        <v>3276.3276327632766</v>
      </c>
      <c r="Y3" s="1183">
        <f t="shared" ref="Y3:Y55" si="5">T3/I3</f>
        <v>3412.841284128413</v>
      </c>
      <c r="Z3" s="1183"/>
      <c r="AA3" s="1186">
        <v>45486</v>
      </c>
      <c r="AB3" s="1187">
        <v>45540</v>
      </c>
      <c r="AC3" s="1188">
        <f>20%*R3</f>
        <v>43680</v>
      </c>
      <c r="AD3" s="1188"/>
      <c r="AE3" s="1187"/>
      <c r="AF3" s="1188"/>
      <c r="AG3" s="1187"/>
      <c r="AH3" s="1188">
        <f t="shared" ref="AH3:AH54" si="6">80%*R3</f>
        <v>174720</v>
      </c>
      <c r="AI3" s="1176" t="s">
        <v>247</v>
      </c>
      <c r="AJ3" s="1176"/>
      <c r="AK3" s="1176"/>
      <c r="AL3" s="1176"/>
      <c r="AM3" s="1176"/>
      <c r="AN3" s="1176"/>
      <c r="AO3" s="1189" t="s">
        <v>17543</v>
      </c>
      <c r="AP3" s="1189" t="s">
        <v>265</v>
      </c>
      <c r="AQ3" s="1189"/>
      <c r="AR3" s="1189"/>
      <c r="AS3" s="1189"/>
      <c r="AT3" s="1612" t="s">
        <v>18167</v>
      </c>
      <c r="AU3" s="1189">
        <v>937288304</v>
      </c>
      <c r="AV3" s="1189"/>
      <c r="AW3" s="1189"/>
      <c r="AX3" s="1190">
        <f t="shared" si="2"/>
        <v>181981.8</v>
      </c>
      <c r="AY3" s="1190">
        <v>2730</v>
      </c>
      <c r="AZ3" s="1873"/>
    </row>
    <row r="4" spans="1:52" s="1191" customFormat="1" ht="18" customHeight="1">
      <c r="A4" s="1176">
        <v>3</v>
      </c>
      <c r="B4" s="648" t="s">
        <v>26</v>
      </c>
      <c r="C4" s="1177" t="s">
        <v>90</v>
      </c>
      <c r="D4" s="1178">
        <v>1</v>
      </c>
      <c r="E4" s="1179" t="s">
        <v>28</v>
      </c>
      <c r="F4" s="651">
        <v>60.9</v>
      </c>
      <c r="G4" s="652"/>
      <c r="H4" s="653">
        <v>19.2</v>
      </c>
      <c r="I4" s="1180">
        <f>F4+0.3*G4+0.3*H4</f>
        <v>66.66</v>
      </c>
      <c r="J4" s="1176" t="s">
        <v>258</v>
      </c>
      <c r="K4" s="1181" t="s">
        <v>17430</v>
      </c>
      <c r="L4" s="1176" t="s">
        <v>17429</v>
      </c>
      <c r="M4" s="1176"/>
      <c r="N4" s="1176"/>
      <c r="O4" s="1192"/>
      <c r="P4" s="1176"/>
      <c r="Q4" s="1176"/>
      <c r="R4" s="1183">
        <v>222950</v>
      </c>
      <c r="S4" s="1184">
        <f t="shared" si="3"/>
        <v>218400</v>
      </c>
      <c r="T4" s="1184">
        <v>227500</v>
      </c>
      <c r="U4" s="1184"/>
      <c r="V4" s="1185">
        <f t="shared" si="0"/>
        <v>-4.0000000000000036E-2</v>
      </c>
      <c r="W4" s="1183">
        <f t="shared" si="1"/>
        <v>3344.5844584458446</v>
      </c>
      <c r="X4" s="1183">
        <f t="shared" si="4"/>
        <v>3276.3276327632766</v>
      </c>
      <c r="Y4" s="1183">
        <f t="shared" si="5"/>
        <v>3412.841284128413</v>
      </c>
      <c r="Z4" s="1183"/>
      <c r="AA4" s="1186">
        <v>45486</v>
      </c>
      <c r="AB4" s="1187">
        <v>45502</v>
      </c>
      <c r="AC4" s="1188">
        <f>20%*R4</f>
        <v>44590</v>
      </c>
      <c r="AD4" s="1188"/>
      <c r="AE4" s="1187"/>
      <c r="AF4" s="1188"/>
      <c r="AG4" s="1187"/>
      <c r="AH4" s="1188">
        <f t="shared" si="6"/>
        <v>178360</v>
      </c>
      <c r="AI4" s="1176" t="s">
        <v>247</v>
      </c>
      <c r="AJ4" s="1176"/>
      <c r="AK4" s="1176"/>
      <c r="AL4" s="1176"/>
      <c r="AM4" s="1176"/>
      <c r="AN4" s="1176"/>
      <c r="AO4" s="1189" t="s">
        <v>17538</v>
      </c>
      <c r="AP4" s="1189" t="s">
        <v>265</v>
      </c>
      <c r="AQ4" s="1189"/>
      <c r="AR4" s="1189"/>
      <c r="AS4" s="1189"/>
      <c r="AT4" s="1612" t="s">
        <v>18168</v>
      </c>
      <c r="AU4" s="1189">
        <v>919029145</v>
      </c>
      <c r="AV4" s="1189"/>
      <c r="AW4" s="1189"/>
      <c r="AX4" s="1190">
        <f t="shared" si="2"/>
        <v>181981.8</v>
      </c>
      <c r="AY4" s="1190">
        <v>2730</v>
      </c>
      <c r="AZ4" s="1873"/>
    </row>
    <row r="5" spans="1:52" s="1191" customFormat="1" ht="18" customHeight="1" thickBot="1">
      <c r="A5" s="1176">
        <v>4</v>
      </c>
      <c r="B5" s="648" t="s">
        <v>27</v>
      </c>
      <c r="C5" s="1177" t="s">
        <v>89</v>
      </c>
      <c r="D5" s="1178">
        <v>1</v>
      </c>
      <c r="E5" s="1179" t="s">
        <v>17268</v>
      </c>
      <c r="F5" s="651">
        <v>109.7</v>
      </c>
      <c r="G5" s="652"/>
      <c r="H5" s="653">
        <v>25.2</v>
      </c>
      <c r="I5" s="1180">
        <f>F5+0.3*G5+0.3*H5</f>
        <v>117.26</v>
      </c>
      <c r="J5" s="1176" t="s">
        <v>258</v>
      </c>
      <c r="K5" s="1181" t="s">
        <v>17430</v>
      </c>
      <c r="L5" s="1176" t="s">
        <v>17428</v>
      </c>
      <c r="M5" s="1176"/>
      <c r="N5" s="1176"/>
      <c r="O5" s="1205"/>
      <c r="P5" s="1176"/>
      <c r="Q5" s="1176"/>
      <c r="R5" s="1184">
        <v>367000</v>
      </c>
      <c r="S5" s="1184">
        <f t="shared" si="3"/>
        <v>355200</v>
      </c>
      <c r="T5" s="1184">
        <v>370000</v>
      </c>
      <c r="U5" s="1184">
        <v>355000</v>
      </c>
      <c r="V5" s="1185">
        <f t="shared" si="0"/>
        <v>-4.0000000000000036E-2</v>
      </c>
      <c r="W5" s="1183">
        <f t="shared" si="1"/>
        <v>3129.7970322360566</v>
      </c>
      <c r="X5" s="1183">
        <f t="shared" si="4"/>
        <v>3029.1659559952241</v>
      </c>
      <c r="Y5" s="1183">
        <f t="shared" si="5"/>
        <v>3155.381204161692</v>
      </c>
      <c r="Z5" s="1183"/>
      <c r="AA5" s="1186">
        <v>45706</v>
      </c>
      <c r="AB5" s="1187">
        <v>45744</v>
      </c>
      <c r="AC5" s="1188">
        <f>5000+68400</f>
        <v>73400</v>
      </c>
      <c r="AD5" s="1188"/>
      <c r="AE5" s="1187"/>
      <c r="AF5" s="1188"/>
      <c r="AG5" s="1187"/>
      <c r="AH5" s="1188">
        <f t="shared" si="6"/>
        <v>293600</v>
      </c>
      <c r="AI5" s="1176" t="s">
        <v>247</v>
      </c>
      <c r="AJ5" s="1176"/>
      <c r="AK5" s="1176"/>
      <c r="AL5" s="1176"/>
      <c r="AM5" s="1176"/>
      <c r="AN5" s="1176"/>
      <c r="AO5" s="1189" t="s">
        <v>17869</v>
      </c>
      <c r="AP5" s="1189" t="s">
        <v>265</v>
      </c>
      <c r="AQ5" s="1189"/>
      <c r="AR5" s="1189"/>
      <c r="AS5" s="1189"/>
      <c r="AT5" s="1189" t="s">
        <v>455</v>
      </c>
      <c r="AU5" s="1189">
        <v>934601193</v>
      </c>
      <c r="AV5" s="1189"/>
      <c r="AW5" s="1189"/>
      <c r="AX5" s="1190">
        <f t="shared" si="2"/>
        <v>320119.8</v>
      </c>
      <c r="AY5" s="1190">
        <v>2730</v>
      </c>
      <c r="AZ5" s="1873"/>
    </row>
    <row r="6" spans="1:52" s="1191" customFormat="1" ht="16.5" customHeight="1">
      <c r="A6" s="1176">
        <v>5</v>
      </c>
      <c r="B6" s="648" t="s">
        <v>28</v>
      </c>
      <c r="C6" s="1177" t="s">
        <v>91</v>
      </c>
      <c r="D6" s="1178">
        <v>1</v>
      </c>
      <c r="E6" s="1179" t="s">
        <v>17269</v>
      </c>
      <c r="F6" s="651">
        <v>87.3</v>
      </c>
      <c r="G6" s="652"/>
      <c r="H6" s="653">
        <v>62.7</v>
      </c>
      <c r="I6" s="1180">
        <f t="shared" ref="I6:I11" si="7">F6+0.3*G6+0.2*H6</f>
        <v>99.84</v>
      </c>
      <c r="J6" s="1176" t="s">
        <v>258</v>
      </c>
      <c r="K6" s="1246" t="s">
        <v>17430</v>
      </c>
      <c r="L6" s="1181" t="s">
        <v>17428</v>
      </c>
      <c r="M6" s="1176"/>
      <c r="N6" s="1176"/>
      <c r="O6" s="1192"/>
      <c r="P6" s="1176"/>
      <c r="Q6" s="1176"/>
      <c r="R6" s="1184">
        <v>293000</v>
      </c>
      <c r="S6" s="1184">
        <f t="shared" si="3"/>
        <v>290880</v>
      </c>
      <c r="T6" s="1184">
        <v>303000</v>
      </c>
      <c r="U6" s="1184"/>
      <c r="V6" s="1185">
        <f t="shared" si="0"/>
        <v>-4.0000000000000036E-2</v>
      </c>
      <c r="W6" s="1183">
        <f t="shared" si="1"/>
        <v>2934.6955128205127</v>
      </c>
      <c r="X6" s="1183">
        <f t="shared" si="4"/>
        <v>2913.4615384615386</v>
      </c>
      <c r="Y6" s="1183">
        <f t="shared" si="5"/>
        <v>3034.8557692307691</v>
      </c>
      <c r="Z6" s="1183"/>
      <c r="AA6" s="1186"/>
      <c r="AB6" s="1187">
        <v>45523</v>
      </c>
      <c r="AC6" s="1188">
        <v>29300</v>
      </c>
      <c r="AD6" s="1188">
        <v>29300</v>
      </c>
      <c r="AE6" s="1187"/>
      <c r="AF6" s="1188"/>
      <c r="AG6" s="1187"/>
      <c r="AH6" s="1188">
        <f t="shared" si="6"/>
        <v>234400</v>
      </c>
      <c r="AI6" s="1176" t="s">
        <v>247</v>
      </c>
      <c r="AJ6" s="1176"/>
      <c r="AK6" s="1176"/>
      <c r="AL6" s="1176"/>
      <c r="AM6" s="1176"/>
      <c r="AN6" s="1176"/>
      <c r="AO6" s="1189" t="s">
        <v>17573</v>
      </c>
      <c r="AP6" s="1189" t="s">
        <v>265</v>
      </c>
      <c r="AQ6" s="1189"/>
      <c r="AR6" s="1189"/>
      <c r="AS6" s="1189"/>
      <c r="AT6" s="1612" t="s">
        <v>18169</v>
      </c>
      <c r="AU6" s="1189">
        <v>916169468</v>
      </c>
      <c r="AV6" s="1189"/>
      <c r="AW6" s="1189"/>
      <c r="AX6" s="1190">
        <f t="shared" si="2"/>
        <v>272563.20000000001</v>
      </c>
      <c r="AY6" s="1190">
        <v>2730</v>
      </c>
      <c r="AZ6" s="1873"/>
    </row>
    <row r="7" spans="1:52" s="1191" customFormat="1" ht="16.5" customHeight="1">
      <c r="A7" s="1176">
        <v>6</v>
      </c>
      <c r="B7" s="648" t="s">
        <v>29</v>
      </c>
      <c r="C7" s="1177" t="s">
        <v>90</v>
      </c>
      <c r="D7" s="1178">
        <v>1</v>
      </c>
      <c r="E7" s="1179" t="s">
        <v>46</v>
      </c>
      <c r="F7" s="651">
        <v>62.3</v>
      </c>
      <c r="G7" s="652"/>
      <c r="H7" s="653">
        <v>46.2</v>
      </c>
      <c r="I7" s="1180">
        <f t="shared" si="7"/>
        <v>71.539999999999992</v>
      </c>
      <c r="J7" s="1176" t="s">
        <v>258</v>
      </c>
      <c r="K7" s="1181" t="s">
        <v>17430</v>
      </c>
      <c r="L7" s="1176" t="s">
        <v>17429</v>
      </c>
      <c r="M7" s="1176"/>
      <c r="N7" s="1176"/>
      <c r="O7" s="1205"/>
      <c r="P7" s="1176"/>
      <c r="Q7" s="1176"/>
      <c r="R7" s="1183">
        <v>237120</v>
      </c>
      <c r="S7" s="1184">
        <f t="shared" si="3"/>
        <v>237120</v>
      </c>
      <c r="T7" s="1184">
        <v>247000</v>
      </c>
      <c r="U7" s="1184"/>
      <c r="V7" s="1185">
        <f t="shared" si="0"/>
        <v>-4.0000000000000036E-2</v>
      </c>
      <c r="W7" s="1183">
        <f t="shared" si="1"/>
        <v>3314.5093653899921</v>
      </c>
      <c r="X7" s="1183">
        <f t="shared" si="4"/>
        <v>3314.5093653899921</v>
      </c>
      <c r="Y7" s="1183">
        <f t="shared" si="5"/>
        <v>3452.6139222812417</v>
      </c>
      <c r="Z7" s="1183"/>
      <c r="AA7" s="1186">
        <v>45486</v>
      </c>
      <c r="AB7" s="1186">
        <v>45525</v>
      </c>
      <c r="AC7" s="1188">
        <f>20%*R7</f>
        <v>47424</v>
      </c>
      <c r="AD7" s="1200"/>
      <c r="AE7" s="1186"/>
      <c r="AF7" s="1200"/>
      <c r="AG7" s="1186"/>
      <c r="AH7" s="1188">
        <f t="shared" si="6"/>
        <v>189696</v>
      </c>
      <c r="AI7" s="1176" t="s">
        <v>247</v>
      </c>
      <c r="AJ7" s="1176"/>
      <c r="AK7" s="1176"/>
      <c r="AL7" s="1176"/>
      <c r="AM7" s="1176"/>
      <c r="AN7" s="1176"/>
      <c r="AO7" s="1176" t="s">
        <v>17572</v>
      </c>
      <c r="AP7" s="1176" t="s">
        <v>265</v>
      </c>
      <c r="AQ7" s="1176"/>
      <c r="AR7" s="1176"/>
      <c r="AS7" s="1176"/>
      <c r="AT7" s="1612" t="s">
        <v>18170</v>
      </c>
      <c r="AU7" s="1176">
        <v>914052730</v>
      </c>
      <c r="AV7" s="1176"/>
      <c r="AW7" s="1176"/>
      <c r="AX7" s="1190">
        <f t="shared" si="2"/>
        <v>195304.19999999998</v>
      </c>
      <c r="AY7" s="1190">
        <v>2730</v>
      </c>
      <c r="AZ7" s="1873"/>
    </row>
    <row r="8" spans="1:52" s="1191" customFormat="1" ht="15.75" customHeight="1">
      <c r="A8" s="1176">
        <v>7</v>
      </c>
      <c r="B8" s="648" t="s">
        <v>30</v>
      </c>
      <c r="C8" s="1177" t="s">
        <v>90</v>
      </c>
      <c r="D8" s="1178">
        <v>1</v>
      </c>
      <c r="E8" s="1179" t="s">
        <v>46</v>
      </c>
      <c r="F8" s="651">
        <v>62.4</v>
      </c>
      <c r="G8" s="652"/>
      <c r="H8" s="653">
        <v>47</v>
      </c>
      <c r="I8" s="1180">
        <f t="shared" si="7"/>
        <v>71.8</v>
      </c>
      <c r="J8" s="1176" t="s">
        <v>258</v>
      </c>
      <c r="K8" s="1181" t="s">
        <v>17430</v>
      </c>
      <c r="L8" s="1176" t="s">
        <v>17429</v>
      </c>
      <c r="M8" s="1176"/>
      <c r="N8" s="1176"/>
      <c r="O8" s="1192"/>
      <c r="P8" s="1199"/>
      <c r="Q8" s="1193"/>
      <c r="R8" s="1194">
        <v>235000</v>
      </c>
      <c r="S8" s="1184">
        <f t="shared" si="3"/>
        <v>237120</v>
      </c>
      <c r="T8" s="1184">
        <v>247000</v>
      </c>
      <c r="U8" s="1184"/>
      <c r="V8" s="1185">
        <f t="shared" si="0"/>
        <v>-4.0000000000000036E-2</v>
      </c>
      <c r="W8" s="1183">
        <f t="shared" si="1"/>
        <v>3272.980501392758</v>
      </c>
      <c r="X8" s="1183">
        <f t="shared" si="4"/>
        <v>3302.5069637883012</v>
      </c>
      <c r="Y8" s="1183">
        <f t="shared" si="5"/>
        <v>3440.1114206128136</v>
      </c>
      <c r="Z8" s="1183"/>
      <c r="AA8" s="1186">
        <v>45486</v>
      </c>
      <c r="AB8" s="1186">
        <v>45502</v>
      </c>
      <c r="AC8" s="1188">
        <f>20%*R8</f>
        <v>47000</v>
      </c>
      <c r="AD8" s="1200"/>
      <c r="AE8" s="1186"/>
      <c r="AF8" s="1200"/>
      <c r="AG8" s="1186"/>
      <c r="AH8" s="1188">
        <f t="shared" si="6"/>
        <v>188000</v>
      </c>
      <c r="AI8" s="1176" t="s">
        <v>247</v>
      </c>
      <c r="AJ8" s="1176"/>
      <c r="AK8" s="1176"/>
      <c r="AL8" s="1176"/>
      <c r="AM8" s="1176"/>
      <c r="AN8" s="1176"/>
      <c r="AO8" s="1176" t="s">
        <v>319</v>
      </c>
      <c r="AP8" s="1176" t="s">
        <v>265</v>
      </c>
      <c r="AQ8" s="1176"/>
      <c r="AR8" s="1176"/>
      <c r="AS8" s="1176"/>
      <c r="AT8" s="1612" t="s">
        <v>18171</v>
      </c>
      <c r="AU8" s="1176">
        <v>968837313</v>
      </c>
      <c r="AV8" s="1176"/>
      <c r="AW8" s="1176"/>
      <c r="AX8" s="1190">
        <f t="shared" si="2"/>
        <v>196014</v>
      </c>
      <c r="AY8" s="1190">
        <v>2730</v>
      </c>
      <c r="AZ8" s="1873"/>
    </row>
    <row r="9" spans="1:52" s="1191" customFormat="1" ht="16.5" customHeight="1">
      <c r="A9" s="1176">
        <v>8</v>
      </c>
      <c r="B9" s="648" t="s">
        <v>31</v>
      </c>
      <c r="C9" s="1177" t="s">
        <v>90</v>
      </c>
      <c r="D9" s="1178">
        <v>1</v>
      </c>
      <c r="E9" s="1179" t="s">
        <v>46</v>
      </c>
      <c r="F9" s="651">
        <v>62.4</v>
      </c>
      <c r="G9" s="652"/>
      <c r="H9" s="653">
        <v>47</v>
      </c>
      <c r="I9" s="1180">
        <f t="shared" si="7"/>
        <v>71.8</v>
      </c>
      <c r="J9" s="1176" t="s">
        <v>258</v>
      </c>
      <c r="K9" s="1181" t="s">
        <v>17430</v>
      </c>
      <c r="L9" s="1176" t="s">
        <v>17429</v>
      </c>
      <c r="M9" s="1176"/>
      <c r="N9" s="1176"/>
      <c r="O9" s="1205"/>
      <c r="P9" s="1199"/>
      <c r="Q9" s="1193"/>
      <c r="R9" s="1194">
        <v>237120</v>
      </c>
      <c r="S9" s="1184">
        <f t="shared" si="3"/>
        <v>237120</v>
      </c>
      <c r="T9" s="1184">
        <v>247000</v>
      </c>
      <c r="U9" s="1184"/>
      <c r="V9" s="1185">
        <f t="shared" si="0"/>
        <v>-4.0000000000000036E-2</v>
      </c>
      <c r="W9" s="1183">
        <f t="shared" si="1"/>
        <v>3302.5069637883012</v>
      </c>
      <c r="X9" s="1183">
        <f t="shared" si="4"/>
        <v>3302.5069637883012</v>
      </c>
      <c r="Y9" s="1183">
        <f t="shared" si="5"/>
        <v>3440.1114206128136</v>
      </c>
      <c r="Z9" s="1183"/>
      <c r="AA9" s="1186">
        <v>45486</v>
      </c>
      <c r="AB9" s="1203">
        <v>45504</v>
      </c>
      <c r="AC9" s="1188">
        <f>20%*R9+5000</f>
        <v>52424</v>
      </c>
      <c r="AD9" s="1206"/>
      <c r="AE9" s="1203"/>
      <c r="AF9" s="1206"/>
      <c r="AG9" s="1203"/>
      <c r="AH9" s="1188">
        <f>80%*R9-5000</f>
        <v>184696</v>
      </c>
      <c r="AI9" s="1176" t="s">
        <v>17320</v>
      </c>
      <c r="AJ9" s="1176"/>
      <c r="AK9" s="1176"/>
      <c r="AL9" s="1176"/>
      <c r="AM9" s="1176"/>
      <c r="AN9" s="1176"/>
      <c r="AO9" s="1204" t="s">
        <v>17558</v>
      </c>
      <c r="AP9" s="1189" t="s">
        <v>265</v>
      </c>
      <c r="AQ9" s="1189"/>
      <c r="AR9" s="1189"/>
      <c r="AS9" s="1189"/>
      <c r="AT9" s="1612" t="s">
        <v>18172</v>
      </c>
      <c r="AU9" s="1189">
        <v>919008365</v>
      </c>
      <c r="AV9" s="1204"/>
      <c r="AW9" s="1204"/>
      <c r="AX9" s="1190">
        <f t="shared" si="2"/>
        <v>196014</v>
      </c>
      <c r="AY9" s="1190">
        <v>2730</v>
      </c>
      <c r="AZ9" s="1873"/>
    </row>
    <row r="10" spans="1:52" s="1191" customFormat="1" ht="16.5" customHeight="1" thickBot="1">
      <c r="A10" s="1176">
        <v>9</v>
      </c>
      <c r="B10" s="648" t="s">
        <v>32</v>
      </c>
      <c r="C10" s="1177" t="s">
        <v>90</v>
      </c>
      <c r="D10" s="1178">
        <v>1</v>
      </c>
      <c r="E10" s="1179" t="s">
        <v>46</v>
      </c>
      <c r="F10" s="651">
        <v>62.3</v>
      </c>
      <c r="G10" s="652"/>
      <c r="H10" s="653">
        <v>46.2</v>
      </c>
      <c r="I10" s="1180">
        <f t="shared" si="7"/>
        <v>71.539999999999992</v>
      </c>
      <c r="J10" s="1176" t="s">
        <v>258</v>
      </c>
      <c r="K10" s="1181" t="s">
        <v>17430</v>
      </c>
      <c r="L10" s="1176" t="s">
        <v>17429</v>
      </c>
      <c r="M10" s="1176"/>
      <c r="N10" s="1176"/>
      <c r="O10" s="1192"/>
      <c r="P10" s="1176"/>
      <c r="Q10" s="1176"/>
      <c r="R10" s="1183">
        <v>247000</v>
      </c>
      <c r="S10" s="1184">
        <f t="shared" si="3"/>
        <v>237120</v>
      </c>
      <c r="T10" s="1184">
        <v>247000</v>
      </c>
      <c r="U10" s="1184"/>
      <c r="V10" s="1185">
        <f t="shared" si="0"/>
        <v>-4.0000000000000036E-2</v>
      </c>
      <c r="W10" s="1183">
        <f t="shared" si="1"/>
        <v>3452.6139222812417</v>
      </c>
      <c r="X10" s="1183">
        <f t="shared" si="4"/>
        <v>3314.5093653899921</v>
      </c>
      <c r="Y10" s="1183">
        <f t="shared" si="5"/>
        <v>3452.6139222812417</v>
      </c>
      <c r="Z10" s="1183"/>
      <c r="AA10" s="1186">
        <v>45486</v>
      </c>
      <c r="AB10" s="1187">
        <v>45526</v>
      </c>
      <c r="AC10" s="1188">
        <f>20%*R10</f>
        <v>49400</v>
      </c>
      <c r="AD10" s="1188"/>
      <c r="AE10" s="1187"/>
      <c r="AF10" s="1188"/>
      <c r="AG10" s="1187"/>
      <c r="AH10" s="1188">
        <f t="shared" si="6"/>
        <v>197600</v>
      </c>
      <c r="AI10" s="1176" t="s">
        <v>247</v>
      </c>
      <c r="AJ10" s="1176"/>
      <c r="AK10" s="1176"/>
      <c r="AL10" s="1176"/>
      <c r="AM10" s="1176"/>
      <c r="AN10" s="1176"/>
      <c r="AO10" s="1189" t="s">
        <v>17578</v>
      </c>
      <c r="AP10" s="1189" t="s">
        <v>265</v>
      </c>
      <c r="AQ10" s="1189"/>
      <c r="AR10" s="1189"/>
      <c r="AS10" s="1189"/>
      <c r="AT10" s="1612" t="s">
        <v>18173</v>
      </c>
      <c r="AU10" s="1189">
        <v>969020736</v>
      </c>
      <c r="AV10" s="1189"/>
      <c r="AW10" s="1189"/>
      <c r="AX10" s="1190">
        <f t="shared" si="2"/>
        <v>195304.19999999998</v>
      </c>
      <c r="AY10" s="1190">
        <v>2730</v>
      </c>
      <c r="AZ10" s="1873"/>
    </row>
    <row r="11" spans="1:52" s="1191" customFormat="1" ht="16.5" customHeight="1">
      <c r="A11" s="1176">
        <v>10</v>
      </c>
      <c r="B11" s="648" t="s">
        <v>33</v>
      </c>
      <c r="C11" s="1177" t="s">
        <v>91</v>
      </c>
      <c r="D11" s="1178">
        <v>1</v>
      </c>
      <c r="E11" s="1179" t="s">
        <v>146</v>
      </c>
      <c r="F11" s="651">
        <v>87.3</v>
      </c>
      <c r="G11" s="652"/>
      <c r="H11" s="653">
        <v>62.7</v>
      </c>
      <c r="I11" s="1180">
        <f t="shared" si="7"/>
        <v>99.84</v>
      </c>
      <c r="J11" s="1176" t="s">
        <v>258</v>
      </c>
      <c r="K11" s="1246" t="s">
        <v>17430</v>
      </c>
      <c r="L11" s="1176" t="s">
        <v>17429</v>
      </c>
      <c r="M11" s="1176"/>
      <c r="N11" s="1176"/>
      <c r="O11" s="1205"/>
      <c r="P11" s="1176"/>
      <c r="Q11" s="1176"/>
      <c r="R11" s="1183">
        <v>299520</v>
      </c>
      <c r="S11" s="1184">
        <f t="shared" si="3"/>
        <v>299520</v>
      </c>
      <c r="T11" s="1184">
        <v>312000</v>
      </c>
      <c r="U11" s="1184"/>
      <c r="V11" s="1185">
        <f t="shared" si="0"/>
        <v>-4.0000000000000036E-2</v>
      </c>
      <c r="W11" s="1183">
        <f t="shared" si="1"/>
        <v>3000</v>
      </c>
      <c r="X11" s="1183">
        <f t="shared" si="4"/>
        <v>3000</v>
      </c>
      <c r="Y11" s="1183">
        <f t="shared" si="5"/>
        <v>3125</v>
      </c>
      <c r="Z11" s="1186"/>
      <c r="AA11" s="1186"/>
      <c r="AB11" s="1187">
        <v>45532</v>
      </c>
      <c r="AC11" s="1188">
        <f>20%*R11</f>
        <v>59904</v>
      </c>
      <c r="AD11" s="1188"/>
      <c r="AE11" s="1187"/>
      <c r="AF11" s="1188"/>
      <c r="AG11" s="1187"/>
      <c r="AH11" s="1188">
        <f t="shared" si="6"/>
        <v>239616</v>
      </c>
      <c r="AI11" s="1176" t="s">
        <v>17320</v>
      </c>
      <c r="AJ11" s="1176"/>
      <c r="AK11" s="1176"/>
      <c r="AL11" s="1176"/>
      <c r="AM11" s="1176"/>
      <c r="AN11" s="1176"/>
      <c r="AO11" s="1189" t="s">
        <v>17605</v>
      </c>
      <c r="AP11" s="1189" t="s">
        <v>265</v>
      </c>
      <c r="AQ11" s="1189"/>
      <c r="AR11" s="1189"/>
      <c r="AS11" s="1189"/>
      <c r="AT11" s="1612" t="s">
        <v>18174</v>
      </c>
      <c r="AU11" s="1189">
        <v>965592217</v>
      </c>
      <c r="AV11" s="1189"/>
      <c r="AW11" s="1189"/>
      <c r="AX11" s="1190">
        <f t="shared" si="2"/>
        <v>272563.20000000001</v>
      </c>
      <c r="AY11" s="1190">
        <v>2730</v>
      </c>
      <c r="AZ11" s="1873"/>
    </row>
    <row r="12" spans="1:52" s="1191" customFormat="1" ht="16.5" customHeight="1">
      <c r="A12" s="1176">
        <v>11</v>
      </c>
      <c r="B12" s="648" t="s">
        <v>34</v>
      </c>
      <c r="C12" s="1177" t="s">
        <v>89</v>
      </c>
      <c r="D12" s="1178">
        <v>2</v>
      </c>
      <c r="E12" s="1179" t="s">
        <v>145</v>
      </c>
      <c r="F12" s="651">
        <v>116.6</v>
      </c>
      <c r="G12" s="652">
        <v>47.5</v>
      </c>
      <c r="H12" s="653"/>
      <c r="I12" s="1180">
        <f>F12+0.3*G12+0.3*H12</f>
        <v>130.85</v>
      </c>
      <c r="J12" s="1176" t="s">
        <v>258</v>
      </c>
      <c r="K12" s="1181" t="s">
        <v>17432</v>
      </c>
      <c r="L12" s="1176" t="s">
        <v>17429</v>
      </c>
      <c r="M12" s="1176"/>
      <c r="N12" s="1176"/>
      <c r="O12" s="1192"/>
      <c r="P12" s="1193"/>
      <c r="Q12" s="1193"/>
      <c r="R12" s="1194">
        <v>360000</v>
      </c>
      <c r="S12" s="1184">
        <f t="shared" si="3"/>
        <v>360000</v>
      </c>
      <c r="T12" s="1184">
        <v>375000</v>
      </c>
      <c r="U12" s="1184"/>
      <c r="V12" s="1185">
        <f t="shared" si="0"/>
        <v>-4.0000000000000036E-2</v>
      </c>
      <c r="W12" s="1183">
        <f t="shared" si="1"/>
        <v>2751.241880015285</v>
      </c>
      <c r="X12" s="1183">
        <f t="shared" si="4"/>
        <v>2751.241880015285</v>
      </c>
      <c r="Y12" s="1183">
        <f t="shared" si="5"/>
        <v>2865.8769583492549</v>
      </c>
      <c r="Z12" s="1186"/>
      <c r="AA12" s="1186">
        <v>45486</v>
      </c>
      <c r="AB12" s="1187">
        <v>45498</v>
      </c>
      <c r="AC12" s="1188">
        <f>5000+31000</f>
        <v>36000</v>
      </c>
      <c r="AD12" s="1188"/>
      <c r="AE12" s="1187"/>
      <c r="AF12" s="1188"/>
      <c r="AG12" s="1187"/>
      <c r="AH12" s="1188">
        <v>324000</v>
      </c>
      <c r="AI12" s="1176" t="s">
        <v>247</v>
      </c>
      <c r="AJ12" s="1176"/>
      <c r="AK12" s="1176"/>
      <c r="AL12" s="1176"/>
      <c r="AM12" s="1176"/>
      <c r="AN12" s="1176"/>
      <c r="AO12" s="1189" t="s">
        <v>17547</v>
      </c>
      <c r="AP12" s="1189" t="s">
        <v>265</v>
      </c>
      <c r="AQ12" s="1189"/>
      <c r="AR12" s="1189"/>
      <c r="AS12" s="1189"/>
      <c r="AT12" s="1612" t="s">
        <v>18175</v>
      </c>
      <c r="AU12" s="1189">
        <v>938610917</v>
      </c>
      <c r="AV12" s="1189"/>
      <c r="AW12" s="1189"/>
      <c r="AX12" s="1190">
        <f t="shared" si="2"/>
        <v>357220.5</v>
      </c>
      <c r="AY12" s="1190">
        <v>2730</v>
      </c>
      <c r="AZ12" s="1873"/>
    </row>
    <row r="13" spans="1:52" s="1191" customFormat="1" ht="16.5" customHeight="1">
      <c r="A13" s="1176">
        <v>12</v>
      </c>
      <c r="B13" s="648" t="s">
        <v>35</v>
      </c>
      <c r="C13" s="1177" t="s">
        <v>89</v>
      </c>
      <c r="D13" s="1178">
        <v>2</v>
      </c>
      <c r="E13" s="1179" t="s">
        <v>17362</v>
      </c>
      <c r="F13" s="651">
        <v>135.19999999999999</v>
      </c>
      <c r="G13" s="652">
        <f>36+20</f>
        <v>56</v>
      </c>
      <c r="H13" s="653"/>
      <c r="I13" s="1180">
        <f>F13+0.3*G13+0.3*H13</f>
        <v>152</v>
      </c>
      <c r="J13" s="1176" t="s">
        <v>258</v>
      </c>
      <c r="K13" s="1181" t="s">
        <v>17433</v>
      </c>
      <c r="L13" s="1176" t="s">
        <v>17428</v>
      </c>
      <c r="M13" s="1176"/>
      <c r="N13" s="1176"/>
      <c r="O13" s="1205"/>
      <c r="P13" s="1176"/>
      <c r="Q13" s="1176"/>
      <c r="R13" s="1194">
        <v>469440</v>
      </c>
      <c r="S13" s="1184">
        <f t="shared" si="3"/>
        <v>451200</v>
      </c>
      <c r="T13" s="1184">
        <v>470000</v>
      </c>
      <c r="U13" s="1184"/>
      <c r="V13" s="1185">
        <f t="shared" si="0"/>
        <v>-4.0000000000000036E-2</v>
      </c>
      <c r="W13" s="1183">
        <f t="shared" si="1"/>
        <v>3088.4210526315787</v>
      </c>
      <c r="X13" s="1183">
        <f t="shared" si="4"/>
        <v>2968.4210526315787</v>
      </c>
      <c r="Y13" s="1183">
        <f t="shared" si="5"/>
        <v>3092.1052631578946</v>
      </c>
      <c r="Z13" s="1183"/>
      <c r="AA13" s="1186">
        <v>45486</v>
      </c>
      <c r="AB13" s="1187">
        <v>45506</v>
      </c>
      <c r="AC13" s="1188">
        <v>46944</v>
      </c>
      <c r="AD13" s="1188"/>
      <c r="AE13" s="1187"/>
      <c r="AF13" s="1188"/>
      <c r="AG13" s="1187"/>
      <c r="AH13" s="1188">
        <v>422496</v>
      </c>
      <c r="AI13" s="1176" t="s">
        <v>17320</v>
      </c>
      <c r="AJ13" s="1176"/>
      <c r="AK13" s="1176"/>
      <c r="AL13" s="1176"/>
      <c r="AM13" s="1176"/>
      <c r="AN13" s="1176"/>
      <c r="AO13" s="1189" t="s">
        <v>17544</v>
      </c>
      <c r="AP13" s="1189" t="s">
        <v>265</v>
      </c>
      <c r="AQ13" s="1189"/>
      <c r="AR13" s="1189"/>
      <c r="AS13" s="1189"/>
      <c r="AT13" s="1612" t="s">
        <v>18176</v>
      </c>
      <c r="AU13" s="1189">
        <v>912442781</v>
      </c>
      <c r="AV13" s="1189"/>
      <c r="AW13" s="1189"/>
      <c r="AX13" s="1190">
        <f t="shared" si="2"/>
        <v>414960</v>
      </c>
      <c r="AY13" s="1190">
        <v>2730</v>
      </c>
      <c r="AZ13" s="1873"/>
    </row>
    <row r="14" spans="1:52" s="1191" customFormat="1" ht="16.5" customHeight="1">
      <c r="A14" s="1176">
        <v>13</v>
      </c>
      <c r="B14" s="648" t="s">
        <v>36</v>
      </c>
      <c r="C14" s="1177" t="s">
        <v>89</v>
      </c>
      <c r="D14" s="1178">
        <v>2</v>
      </c>
      <c r="E14" s="1179" t="s">
        <v>17362</v>
      </c>
      <c r="F14" s="651">
        <v>135.19999999999999</v>
      </c>
      <c r="G14" s="652">
        <f>36+20</f>
        <v>56</v>
      </c>
      <c r="H14" s="653"/>
      <c r="I14" s="1180">
        <f>F14+0.3*G14+0.3*H14</f>
        <v>152</v>
      </c>
      <c r="J14" s="1176" t="s">
        <v>258</v>
      </c>
      <c r="K14" s="1181" t="s">
        <v>17433</v>
      </c>
      <c r="L14" s="1176" t="s">
        <v>17428</v>
      </c>
      <c r="M14" s="1176"/>
      <c r="N14" s="1176"/>
      <c r="O14" s="1192"/>
      <c r="P14" s="1176"/>
      <c r="Q14" s="1176"/>
      <c r="R14" s="1183">
        <v>455000</v>
      </c>
      <c r="S14" s="1184">
        <f t="shared" si="3"/>
        <v>451200</v>
      </c>
      <c r="T14" s="1184">
        <v>470000</v>
      </c>
      <c r="U14" s="1184"/>
      <c r="V14" s="1185">
        <f t="shared" si="0"/>
        <v>-4.0000000000000036E-2</v>
      </c>
      <c r="W14" s="1183">
        <f t="shared" si="1"/>
        <v>2993.4210526315787</v>
      </c>
      <c r="X14" s="1183">
        <f t="shared" si="4"/>
        <v>2968.4210526315787</v>
      </c>
      <c r="Y14" s="1183">
        <f t="shared" si="5"/>
        <v>3092.1052631578946</v>
      </c>
      <c r="Z14" s="1183"/>
      <c r="AA14" s="1186">
        <v>45486</v>
      </c>
      <c r="AB14" s="1203">
        <v>45504</v>
      </c>
      <c r="AC14" s="1188">
        <f>20%*R14</f>
        <v>91000</v>
      </c>
      <c r="AD14" s="1188"/>
      <c r="AE14" s="1187"/>
      <c r="AF14" s="1188"/>
      <c r="AG14" s="1187"/>
      <c r="AH14" s="1188">
        <f t="shared" si="6"/>
        <v>364000</v>
      </c>
      <c r="AI14" s="1176" t="s">
        <v>247</v>
      </c>
      <c r="AJ14" s="1176"/>
      <c r="AK14" s="1176"/>
      <c r="AL14" s="1176"/>
      <c r="AM14" s="1176"/>
      <c r="AN14" s="1176"/>
      <c r="AO14" s="1204" t="s">
        <v>17557</v>
      </c>
      <c r="AP14" s="1189" t="s">
        <v>265</v>
      </c>
      <c r="AQ14" s="1189"/>
      <c r="AR14" s="1189"/>
      <c r="AS14" s="1189"/>
      <c r="AT14" s="1612" t="s">
        <v>18177</v>
      </c>
      <c r="AU14" s="1189">
        <v>917974305</v>
      </c>
      <c r="AV14" s="1189"/>
      <c r="AW14" s="1189"/>
      <c r="AX14" s="1190">
        <f t="shared" si="2"/>
        <v>414960</v>
      </c>
      <c r="AY14" s="1190">
        <v>2730</v>
      </c>
      <c r="AZ14" s="1873"/>
    </row>
    <row r="15" spans="1:52" s="1191" customFormat="1" ht="16.5" customHeight="1" thickBot="1">
      <c r="A15" s="1176">
        <v>14</v>
      </c>
      <c r="B15" s="648" t="s">
        <v>37</v>
      </c>
      <c r="C15" s="1177" t="s">
        <v>89</v>
      </c>
      <c r="D15" s="1178">
        <v>2</v>
      </c>
      <c r="E15" s="1179" t="s">
        <v>17268</v>
      </c>
      <c r="F15" s="651">
        <v>116.6</v>
      </c>
      <c r="G15" s="652">
        <v>47.5</v>
      </c>
      <c r="H15" s="670"/>
      <c r="I15" s="1180">
        <f>F15+0.3*G15+0.3*H15</f>
        <v>130.85</v>
      </c>
      <c r="J15" s="1176" t="s">
        <v>258</v>
      </c>
      <c r="K15" s="1181" t="s">
        <v>17431</v>
      </c>
      <c r="L15" s="1176" t="s">
        <v>17428</v>
      </c>
      <c r="M15" s="1176"/>
      <c r="N15" s="1176"/>
      <c r="O15" s="1182"/>
      <c r="P15" s="1176"/>
      <c r="Q15" s="1176"/>
      <c r="R15" s="1183">
        <v>384000</v>
      </c>
      <c r="S15" s="1184">
        <f t="shared" si="3"/>
        <v>384000</v>
      </c>
      <c r="T15" s="1184">
        <v>400000</v>
      </c>
      <c r="U15" s="1184"/>
      <c r="V15" s="1185">
        <f t="shared" si="0"/>
        <v>-4.0000000000000036E-2</v>
      </c>
      <c r="W15" s="1183">
        <f t="shared" si="1"/>
        <v>2934.6580053496373</v>
      </c>
      <c r="X15" s="1183">
        <f t="shared" si="4"/>
        <v>2934.6580053496373</v>
      </c>
      <c r="Y15" s="1183">
        <f t="shared" si="5"/>
        <v>3056.9354222392053</v>
      </c>
      <c r="Z15" s="1183"/>
      <c r="AA15" s="1186">
        <v>45486</v>
      </c>
      <c r="AB15" s="1187">
        <v>45498</v>
      </c>
      <c r="AC15" s="1188">
        <f>10%*R15</f>
        <v>38400</v>
      </c>
      <c r="AD15" s="1188"/>
      <c r="AE15" s="1187"/>
      <c r="AF15" s="1188"/>
      <c r="AG15" s="1187"/>
      <c r="AH15" s="1188">
        <f>90%*R15</f>
        <v>345600</v>
      </c>
      <c r="AI15" s="1176" t="s">
        <v>247</v>
      </c>
      <c r="AJ15" s="1176"/>
      <c r="AK15" s="1176"/>
      <c r="AL15" s="1176"/>
      <c r="AM15" s="1176"/>
      <c r="AN15" s="1176"/>
      <c r="AO15" s="1189" t="s">
        <v>17541</v>
      </c>
      <c r="AP15" s="1189" t="s">
        <v>265</v>
      </c>
      <c r="AQ15" s="1189"/>
      <c r="AR15" s="1189"/>
      <c r="AS15" s="1189"/>
      <c r="AT15" s="1612" t="s">
        <v>18178</v>
      </c>
      <c r="AU15" s="1189">
        <v>912395347</v>
      </c>
      <c r="AV15" s="1189"/>
      <c r="AW15" s="1189"/>
      <c r="AX15" s="1190">
        <f t="shared" si="2"/>
        <v>357220.5</v>
      </c>
      <c r="AY15" s="1190">
        <v>2730</v>
      </c>
      <c r="AZ15" s="1873"/>
    </row>
    <row r="16" spans="1:52" s="1191" customFormat="1" ht="16.5" customHeight="1">
      <c r="A16" s="1242">
        <v>15</v>
      </c>
      <c r="B16" s="752" t="s">
        <v>38</v>
      </c>
      <c r="C16" s="1527" t="s">
        <v>91</v>
      </c>
      <c r="D16" s="1528">
        <v>2</v>
      </c>
      <c r="E16" s="1529" t="s">
        <v>17269</v>
      </c>
      <c r="F16" s="755">
        <v>86.7</v>
      </c>
      <c r="G16" s="756">
        <v>60.3</v>
      </c>
      <c r="H16" s="1530"/>
      <c r="I16" s="1180">
        <f>F16+0.2*G16+0.3*H16</f>
        <v>98.76</v>
      </c>
      <c r="J16" s="1242" t="s">
        <v>258</v>
      </c>
      <c r="K16" s="1241" t="s">
        <v>17430</v>
      </c>
      <c r="L16" s="1242" t="s">
        <v>17429</v>
      </c>
      <c r="M16" s="1242"/>
      <c r="N16" s="1531"/>
      <c r="O16" s="1532"/>
      <c r="P16" s="1242"/>
      <c r="Q16" s="1531"/>
      <c r="R16" s="1531">
        <v>329280</v>
      </c>
      <c r="S16" s="1184">
        <f t="shared" si="3"/>
        <v>329280</v>
      </c>
      <c r="T16" s="1184">
        <v>343000</v>
      </c>
      <c r="U16" s="1533">
        <v>317000</v>
      </c>
      <c r="V16" s="1534">
        <f t="shared" si="0"/>
        <v>-4.0000000000000036E-2</v>
      </c>
      <c r="W16" s="1531">
        <f t="shared" si="1"/>
        <v>3334.1433778857836</v>
      </c>
      <c r="X16" s="1183">
        <f t="shared" si="4"/>
        <v>3334.1433778857836</v>
      </c>
      <c r="Y16" s="1531">
        <f>T16/I16</f>
        <v>3473.0660186310247</v>
      </c>
      <c r="Z16" s="1531"/>
      <c r="AA16" s="1535">
        <v>45684</v>
      </c>
      <c r="AB16" s="1536">
        <v>45730</v>
      </c>
      <c r="AC16" s="1537">
        <f>20%*S16</f>
        <v>65856</v>
      </c>
      <c r="AD16" s="1537"/>
      <c r="AE16" s="1536"/>
      <c r="AF16" s="1537"/>
      <c r="AG16" s="1536"/>
      <c r="AH16" s="1537">
        <f>80%*S16</f>
        <v>263424</v>
      </c>
      <c r="AI16" s="1242" t="s">
        <v>17320</v>
      </c>
      <c r="AJ16" s="1242"/>
      <c r="AK16" s="1242"/>
      <c r="AL16" s="1242"/>
      <c r="AM16" s="1242"/>
      <c r="AN16" s="1242"/>
      <c r="AO16" s="1204" t="s">
        <v>17881</v>
      </c>
      <c r="AP16" s="1538" t="s">
        <v>265</v>
      </c>
      <c r="AQ16" s="1538"/>
      <c r="AR16" s="1538"/>
      <c r="AS16" s="1538"/>
      <c r="AT16" s="1802" t="s">
        <v>18179</v>
      </c>
      <c r="AU16" s="1538">
        <v>916467866</v>
      </c>
      <c r="AV16" s="1538"/>
      <c r="AW16" s="1538"/>
      <c r="AX16" s="1539">
        <f t="shared" si="2"/>
        <v>269614.8</v>
      </c>
      <c r="AY16" s="1539">
        <v>2730</v>
      </c>
      <c r="AZ16" s="1873"/>
    </row>
    <row r="17" spans="1:53" s="1176" customFormat="1" ht="16.5" customHeight="1">
      <c r="A17" s="1176">
        <v>16</v>
      </c>
      <c r="B17" s="648" t="s">
        <v>39</v>
      </c>
      <c r="C17" s="1177" t="s">
        <v>90</v>
      </c>
      <c r="D17" s="1178">
        <v>2</v>
      </c>
      <c r="E17" s="1179" t="s">
        <v>46</v>
      </c>
      <c r="F17" s="651">
        <v>63.4</v>
      </c>
      <c r="G17" s="652">
        <v>25.1</v>
      </c>
      <c r="H17" s="653"/>
      <c r="I17" s="1180">
        <f>F17+0.3*G17+0.3*H17</f>
        <v>70.929999999999993</v>
      </c>
      <c r="J17" s="1176" t="s">
        <v>258</v>
      </c>
      <c r="K17" s="1181" t="s">
        <v>17434</v>
      </c>
      <c r="L17" s="1176" t="s">
        <v>17428</v>
      </c>
      <c r="O17" s="1205"/>
      <c r="R17" s="1183">
        <v>244800</v>
      </c>
      <c r="S17" s="1184">
        <f t="shared" si="3"/>
        <v>244800</v>
      </c>
      <c r="T17" s="1184">
        <v>255000</v>
      </c>
      <c r="U17" s="1184"/>
      <c r="V17" s="1185">
        <f t="shared" si="0"/>
        <v>-4.0000000000000036E-2</v>
      </c>
      <c r="W17" s="1183">
        <f t="shared" si="1"/>
        <v>3451.2900042295223</v>
      </c>
      <c r="X17" s="1183">
        <f t="shared" si="4"/>
        <v>3451.2900042295223</v>
      </c>
      <c r="Y17" s="1183">
        <f t="shared" si="5"/>
        <v>3595.0937544057524</v>
      </c>
      <c r="Z17" s="1183"/>
      <c r="AA17" s="1186">
        <v>45486</v>
      </c>
      <c r="AB17" s="1187">
        <v>45518</v>
      </c>
      <c r="AC17" s="1188">
        <f>20%*R17+5000</f>
        <v>53960</v>
      </c>
      <c r="AD17" s="1188"/>
      <c r="AE17" s="1187"/>
      <c r="AF17" s="1188"/>
      <c r="AG17" s="1187"/>
      <c r="AH17" s="1188">
        <f>80%*R17-5000</f>
        <v>190840</v>
      </c>
      <c r="AI17" s="1176" t="s">
        <v>17320</v>
      </c>
      <c r="AN17" s="1189"/>
      <c r="AO17" s="1189" t="s">
        <v>17590</v>
      </c>
      <c r="AP17" s="1189" t="s">
        <v>265</v>
      </c>
      <c r="AQ17" s="1189"/>
      <c r="AR17" s="1189"/>
      <c r="AS17" s="1189"/>
      <c r="AT17" s="1612" t="s">
        <v>18180</v>
      </c>
      <c r="AU17" s="1189">
        <v>966064060</v>
      </c>
      <c r="AV17" s="1189"/>
      <c r="AW17" s="1189"/>
      <c r="AX17" s="1190">
        <f t="shared" si="2"/>
        <v>193638.9</v>
      </c>
      <c r="AY17" s="1190">
        <v>2730</v>
      </c>
      <c r="AZ17" s="1873"/>
      <c r="BA17" s="1871"/>
    </row>
    <row r="18" spans="1:53" s="1176" customFormat="1" ht="16.5" customHeight="1" thickBot="1">
      <c r="A18" s="1176">
        <v>17</v>
      </c>
      <c r="B18" s="648" t="s">
        <v>40</v>
      </c>
      <c r="C18" s="1177" t="s">
        <v>90</v>
      </c>
      <c r="D18" s="1178">
        <v>2</v>
      </c>
      <c r="E18" s="1179" t="s">
        <v>46</v>
      </c>
      <c r="F18" s="651">
        <v>63.4</v>
      </c>
      <c r="G18" s="652">
        <v>25.1</v>
      </c>
      <c r="H18" s="653"/>
      <c r="I18" s="1180">
        <f>F18+0.3*G18+0.3*H18</f>
        <v>70.929999999999993</v>
      </c>
      <c r="J18" s="1176" t="s">
        <v>258</v>
      </c>
      <c r="K18" s="1181" t="s">
        <v>17430</v>
      </c>
      <c r="L18" s="1176" t="s">
        <v>17429</v>
      </c>
      <c r="O18" s="1192"/>
      <c r="R18" s="1183">
        <v>244800</v>
      </c>
      <c r="S18" s="1184">
        <f t="shared" si="3"/>
        <v>244800</v>
      </c>
      <c r="T18" s="1184">
        <v>255000</v>
      </c>
      <c r="U18" s="1184"/>
      <c r="V18" s="1185">
        <f t="shared" si="0"/>
        <v>-4.0000000000000036E-2</v>
      </c>
      <c r="W18" s="1183">
        <f t="shared" si="1"/>
        <v>3451.2900042295223</v>
      </c>
      <c r="X18" s="1183">
        <f t="shared" si="4"/>
        <v>3451.2900042295223</v>
      </c>
      <c r="Y18" s="1183">
        <f t="shared" si="5"/>
        <v>3595.0937544057524</v>
      </c>
      <c r="Z18" s="1183"/>
      <c r="AA18" s="1186">
        <v>45486</v>
      </c>
      <c r="AB18" s="1186">
        <v>45504</v>
      </c>
      <c r="AC18" s="1188">
        <f>20%*R18</f>
        <v>48960</v>
      </c>
      <c r="AD18" s="1200"/>
      <c r="AE18" s="1186"/>
      <c r="AF18" s="1200"/>
      <c r="AG18" s="1186"/>
      <c r="AH18" s="1188">
        <v>195840</v>
      </c>
      <c r="AI18" s="1176" t="s">
        <v>17320</v>
      </c>
      <c r="AO18" s="1176" t="s">
        <v>17553</v>
      </c>
      <c r="AP18" s="1189" t="s">
        <v>265</v>
      </c>
      <c r="AQ18" s="1189"/>
      <c r="AR18" s="1189"/>
      <c r="AS18" s="1189"/>
      <c r="AT18" s="1189" t="s">
        <v>455</v>
      </c>
      <c r="AU18" s="1189">
        <v>934773419</v>
      </c>
      <c r="AX18" s="1190">
        <f t="shared" si="2"/>
        <v>193638.9</v>
      </c>
      <c r="AY18" s="1190">
        <v>2730</v>
      </c>
      <c r="AZ18" s="1873"/>
      <c r="BA18" s="1871"/>
    </row>
    <row r="19" spans="1:53" s="1176" customFormat="1" ht="16.5" customHeight="1">
      <c r="A19" s="1176">
        <v>18</v>
      </c>
      <c r="B19" s="648" t="s">
        <v>41</v>
      </c>
      <c r="C19" s="1177" t="s">
        <v>91</v>
      </c>
      <c r="D19" s="1178">
        <v>2</v>
      </c>
      <c r="E19" s="1179" t="s">
        <v>146</v>
      </c>
      <c r="F19" s="651">
        <v>86.7</v>
      </c>
      <c r="G19" s="652">
        <v>60.3</v>
      </c>
      <c r="H19" s="653"/>
      <c r="I19" s="1180">
        <f>F19+0.2*G19+0.3*H19</f>
        <v>98.76</v>
      </c>
      <c r="J19" s="1176" t="s">
        <v>258</v>
      </c>
      <c r="K19" s="1241" t="s">
        <v>17430</v>
      </c>
      <c r="L19" s="1242" t="s">
        <v>17429</v>
      </c>
      <c r="O19" s="1205"/>
      <c r="R19" s="1183">
        <v>313920</v>
      </c>
      <c r="S19" s="1184">
        <f t="shared" si="3"/>
        <v>313920</v>
      </c>
      <c r="T19" s="1184">
        <v>327000</v>
      </c>
      <c r="U19" s="1184"/>
      <c r="V19" s="1185">
        <f t="shared" si="0"/>
        <v>-4.0000000000000036E-2</v>
      </c>
      <c r="W19" s="1183">
        <f t="shared" si="1"/>
        <v>3178.6148238153096</v>
      </c>
      <c r="X19" s="1183">
        <f t="shared" si="4"/>
        <v>3178.6148238153096</v>
      </c>
      <c r="Y19" s="1183">
        <f t="shared" si="5"/>
        <v>3311.0571081409475</v>
      </c>
      <c r="Z19" s="1183"/>
      <c r="AA19" s="1186">
        <v>45486</v>
      </c>
      <c r="AB19" s="1187">
        <v>45511</v>
      </c>
      <c r="AC19" s="1188">
        <f>20%*R19</f>
        <v>62784</v>
      </c>
      <c r="AD19" s="1188"/>
      <c r="AE19" s="1187"/>
      <c r="AF19" s="1188"/>
      <c r="AG19" s="1187"/>
      <c r="AH19" s="1188">
        <f t="shared" si="6"/>
        <v>251136</v>
      </c>
      <c r="AI19" s="1176" t="s">
        <v>247</v>
      </c>
      <c r="AO19" s="1189" t="s">
        <v>17581</v>
      </c>
      <c r="AP19" s="1189" t="s">
        <v>265</v>
      </c>
      <c r="AQ19" s="1189"/>
      <c r="AR19" s="1189"/>
      <c r="AS19" s="1189"/>
      <c r="AT19" s="1612" t="s">
        <v>18181</v>
      </c>
      <c r="AU19" s="1189">
        <v>965387997</v>
      </c>
      <c r="AV19" s="1189"/>
      <c r="AW19" s="1189"/>
      <c r="AX19" s="1190">
        <f t="shared" si="2"/>
        <v>269614.8</v>
      </c>
      <c r="AY19" s="1190">
        <v>2730</v>
      </c>
      <c r="AZ19" s="1873"/>
      <c r="BA19" s="1871"/>
    </row>
    <row r="20" spans="1:53" s="1191" customFormat="1" ht="16.5" customHeight="1">
      <c r="A20" s="1402">
        <v>19</v>
      </c>
      <c r="B20" s="771" t="s">
        <v>42</v>
      </c>
      <c r="C20" s="1403" t="s">
        <v>89</v>
      </c>
      <c r="D20" s="1404">
        <v>3</v>
      </c>
      <c r="E20" s="1405" t="s">
        <v>145</v>
      </c>
      <c r="F20" s="774">
        <v>116.6</v>
      </c>
      <c r="G20" s="775">
        <v>21.1</v>
      </c>
      <c r="H20" s="776"/>
      <c r="I20" s="1180">
        <f>F20+0.3*G20+0.3*H20</f>
        <v>122.92999999999999</v>
      </c>
      <c r="J20" s="1176" t="s">
        <v>258</v>
      </c>
      <c r="K20" s="1181" t="s">
        <v>17431</v>
      </c>
      <c r="L20" s="1176" t="s">
        <v>17429</v>
      </c>
      <c r="M20" s="1402"/>
      <c r="N20" s="1402"/>
      <c r="O20" s="1269"/>
      <c r="P20" s="1402"/>
      <c r="Q20" s="1406"/>
      <c r="R20" s="1407">
        <v>374400</v>
      </c>
      <c r="S20" s="1184">
        <f t="shared" si="3"/>
        <v>374400</v>
      </c>
      <c r="T20" s="1184">
        <v>390000</v>
      </c>
      <c r="U20" s="1408">
        <v>375000</v>
      </c>
      <c r="V20" s="1409">
        <f t="shared" si="0"/>
        <v>-4.0000000000000036E-2</v>
      </c>
      <c r="W20" s="1410">
        <f t="shared" si="1"/>
        <v>3045.635727649882</v>
      </c>
      <c r="X20" s="1183">
        <f t="shared" si="4"/>
        <v>3045.635727649882</v>
      </c>
      <c r="Y20" s="1410">
        <f t="shared" si="5"/>
        <v>3172.5372163019606</v>
      </c>
      <c r="Z20" s="1410"/>
      <c r="AA20" s="1411">
        <v>45593</v>
      </c>
      <c r="AB20" s="1412">
        <v>45607</v>
      </c>
      <c r="AC20" s="1413">
        <f>20%*R20</f>
        <v>74880</v>
      </c>
      <c r="AD20" s="1413"/>
      <c r="AE20" s="1412"/>
      <c r="AF20" s="1413"/>
      <c r="AG20" s="1412"/>
      <c r="AH20" s="1413">
        <f t="shared" si="6"/>
        <v>299520</v>
      </c>
      <c r="AI20" s="1402" t="s">
        <v>17320</v>
      </c>
      <c r="AJ20" s="1402"/>
      <c r="AK20" s="1402"/>
      <c r="AL20" s="1402"/>
      <c r="AM20" s="1402"/>
      <c r="AN20" s="1402"/>
      <c r="AO20" s="1414" t="s">
        <v>17714</v>
      </c>
      <c r="AP20" s="1414" t="s">
        <v>265</v>
      </c>
      <c r="AQ20" s="1414"/>
      <c r="AR20" s="1414"/>
      <c r="AS20" s="1414"/>
      <c r="AT20" s="1804" t="s">
        <v>18182</v>
      </c>
      <c r="AU20" s="1414">
        <v>963662946</v>
      </c>
      <c r="AV20" s="1414"/>
      <c r="AW20" s="1414"/>
      <c r="AX20" s="1415">
        <f t="shared" si="2"/>
        <v>335598.89999999997</v>
      </c>
      <c r="AY20" s="1415">
        <v>2730</v>
      </c>
      <c r="AZ20" s="1873"/>
    </row>
    <row r="21" spans="1:53" s="1191" customFormat="1" ht="16.5" customHeight="1">
      <c r="A21" s="1176">
        <v>20</v>
      </c>
      <c r="B21" s="648" t="s">
        <v>43</v>
      </c>
      <c r="C21" s="1177" t="s">
        <v>89</v>
      </c>
      <c r="D21" s="1178">
        <v>3</v>
      </c>
      <c r="E21" s="1179" t="s">
        <v>17362</v>
      </c>
      <c r="F21" s="651">
        <v>134.6</v>
      </c>
      <c r="G21" s="652">
        <f>7.6+24.6</f>
        <v>32.200000000000003</v>
      </c>
      <c r="H21" s="653"/>
      <c r="I21" s="1180">
        <f>F21+0.3*G21+0.3*H21</f>
        <v>144.26</v>
      </c>
      <c r="J21" s="1176" t="s">
        <v>258</v>
      </c>
      <c r="K21" s="1181" t="s">
        <v>17431</v>
      </c>
      <c r="L21" s="1176" t="s">
        <v>17429</v>
      </c>
      <c r="M21" s="1176"/>
      <c r="N21" s="1176"/>
      <c r="O21" s="1238"/>
      <c r="P21" s="1183"/>
      <c r="Q21" s="1183"/>
      <c r="R21" s="1183">
        <v>464640</v>
      </c>
      <c r="S21" s="1184">
        <f t="shared" si="3"/>
        <v>464640</v>
      </c>
      <c r="T21" s="1184">
        <v>484000</v>
      </c>
      <c r="U21" s="1184">
        <v>465000</v>
      </c>
      <c r="V21" s="1185">
        <f t="shared" si="0"/>
        <v>-4.0000000000000036E-2</v>
      </c>
      <c r="W21" s="1183">
        <f t="shared" si="1"/>
        <v>3220.8512408151951</v>
      </c>
      <c r="X21" s="1183">
        <f t="shared" si="4"/>
        <v>3220.8512408151951</v>
      </c>
      <c r="Y21" s="1183">
        <f t="shared" si="5"/>
        <v>3355.0533758491615</v>
      </c>
      <c r="Z21" s="1183"/>
      <c r="AA21" s="1186"/>
      <c r="AB21" s="1203">
        <v>45603</v>
      </c>
      <c r="AC21" s="1188">
        <f>20%*R21</f>
        <v>92928</v>
      </c>
      <c r="AD21" s="1188"/>
      <c r="AE21" s="1187"/>
      <c r="AF21" s="1188"/>
      <c r="AG21" s="1187"/>
      <c r="AH21" s="1188">
        <f t="shared" si="6"/>
        <v>371712</v>
      </c>
      <c r="AI21" s="1176" t="s">
        <v>17320</v>
      </c>
      <c r="AJ21" s="1176"/>
      <c r="AK21" s="1176"/>
      <c r="AL21" s="1176"/>
      <c r="AM21" s="1176"/>
      <c r="AN21" s="1176"/>
      <c r="AO21" s="1204" t="s">
        <v>17726</v>
      </c>
      <c r="AP21" s="1189" t="s">
        <v>265</v>
      </c>
      <c r="AQ21" s="1189"/>
      <c r="AR21" s="1189"/>
      <c r="AS21" s="1189"/>
      <c r="AT21" s="1612" t="s">
        <v>18183</v>
      </c>
      <c r="AU21" s="1189">
        <v>917520252</v>
      </c>
      <c r="AV21" s="1189"/>
      <c r="AW21" s="1189"/>
      <c r="AX21" s="1190">
        <f t="shared" si="2"/>
        <v>393829.8</v>
      </c>
      <c r="AY21" s="1190">
        <v>2730</v>
      </c>
      <c r="AZ21" s="1873"/>
    </row>
    <row r="22" spans="1:53" s="1191" customFormat="1" ht="16.5" customHeight="1">
      <c r="A22" s="1176">
        <v>21</v>
      </c>
      <c r="B22" s="648" t="s">
        <v>44</v>
      </c>
      <c r="C22" s="1177" t="s">
        <v>89</v>
      </c>
      <c r="D22" s="1178">
        <v>3</v>
      </c>
      <c r="E22" s="1179" t="s">
        <v>17362</v>
      </c>
      <c r="F22" s="651">
        <v>134.6</v>
      </c>
      <c r="G22" s="652">
        <f>7.6+24.6</f>
        <v>32.200000000000003</v>
      </c>
      <c r="H22" s="653"/>
      <c r="I22" s="1180">
        <f>F22+0.3*G22+0.3*H22</f>
        <v>144.26</v>
      </c>
      <c r="J22" s="1176" t="s">
        <v>258</v>
      </c>
      <c r="K22" s="1181" t="s">
        <v>17431</v>
      </c>
      <c r="L22" s="1176" t="s">
        <v>17429</v>
      </c>
      <c r="M22" s="1176"/>
      <c r="N22" s="1176"/>
      <c r="O22" s="1192"/>
      <c r="P22" s="1193"/>
      <c r="Q22" s="1193"/>
      <c r="R22" s="1194">
        <v>446000</v>
      </c>
      <c r="S22" s="1184">
        <f t="shared" si="3"/>
        <v>446400</v>
      </c>
      <c r="T22" s="1184">
        <v>465000</v>
      </c>
      <c r="U22" s="1184"/>
      <c r="V22" s="1185">
        <f t="shared" si="0"/>
        <v>-4.0000000000000036E-2</v>
      </c>
      <c r="W22" s="1183">
        <f t="shared" si="1"/>
        <v>3091.6400942742271</v>
      </c>
      <c r="X22" s="1183">
        <f t="shared" si="4"/>
        <v>3094.4128656592266</v>
      </c>
      <c r="Y22" s="1183">
        <f t="shared" si="5"/>
        <v>3223.3467350616943</v>
      </c>
      <c r="Z22" s="1186"/>
      <c r="AA22" s="1186">
        <v>45486</v>
      </c>
      <c r="AB22" s="1187">
        <v>45510</v>
      </c>
      <c r="AC22" s="1188">
        <v>47500</v>
      </c>
      <c r="AD22" s="1188"/>
      <c r="AE22" s="1187"/>
      <c r="AF22" s="1188"/>
      <c r="AG22" s="1187"/>
      <c r="AH22" s="1188">
        <v>398900</v>
      </c>
      <c r="AI22" s="1176" t="s">
        <v>247</v>
      </c>
      <c r="AJ22" s="1176"/>
      <c r="AK22" s="1176"/>
      <c r="AL22" s="1176"/>
      <c r="AM22" s="1176"/>
      <c r="AN22" s="1176"/>
      <c r="AO22" s="1189" t="s">
        <v>17540</v>
      </c>
      <c r="AP22" s="1189" t="s">
        <v>265</v>
      </c>
      <c r="AQ22" s="1189"/>
      <c r="AR22" s="1189"/>
      <c r="AS22" s="1189"/>
      <c r="AT22" s="1612" t="s">
        <v>18184</v>
      </c>
      <c r="AU22" s="1189">
        <v>915051579</v>
      </c>
      <c r="AV22" s="1189"/>
      <c r="AW22" s="1189"/>
      <c r="AX22" s="1190">
        <f t="shared" si="2"/>
        <v>393829.8</v>
      </c>
      <c r="AY22" s="1190">
        <v>2730</v>
      </c>
      <c r="AZ22" s="1873">
        <v>450000</v>
      </c>
    </row>
    <row r="23" spans="1:53" s="1191" customFormat="1" ht="16.5" customHeight="1">
      <c r="A23" s="1542">
        <v>22</v>
      </c>
      <c r="B23" s="1543" t="s">
        <v>45</v>
      </c>
      <c r="C23" s="1544" t="s">
        <v>89</v>
      </c>
      <c r="D23" s="1178">
        <v>3</v>
      </c>
      <c r="E23" s="1179" t="s">
        <v>17268</v>
      </c>
      <c r="F23" s="651">
        <v>116.6</v>
      </c>
      <c r="G23" s="652">
        <v>16.5</v>
      </c>
      <c r="H23" s="653"/>
      <c r="I23" s="1180">
        <f>F23+0.3*G23+0.3*H23</f>
        <v>121.55</v>
      </c>
      <c r="J23" s="1176" t="s">
        <v>258</v>
      </c>
      <c r="K23" s="1181" t="s">
        <v>17431</v>
      </c>
      <c r="L23" s="1176" t="s">
        <v>17428</v>
      </c>
      <c r="M23" s="1176"/>
      <c r="N23" s="1176"/>
      <c r="O23" s="1205"/>
      <c r="P23" s="1176"/>
      <c r="Q23" s="1176"/>
      <c r="R23" s="1183">
        <v>384000</v>
      </c>
      <c r="S23" s="1184">
        <f t="shared" si="3"/>
        <v>384000</v>
      </c>
      <c r="T23" s="1184">
        <v>400000</v>
      </c>
      <c r="U23" s="1184"/>
      <c r="V23" s="1185">
        <f t="shared" si="0"/>
        <v>-4.0000000000000036E-2</v>
      </c>
      <c r="W23" s="1183">
        <f t="shared" si="1"/>
        <v>3159.1937474290417</v>
      </c>
      <c r="X23" s="1183">
        <f t="shared" si="4"/>
        <v>3159.1937474290417</v>
      </c>
      <c r="Y23" s="1183">
        <f t="shared" si="5"/>
        <v>3290.8268202385852</v>
      </c>
      <c r="Z23" s="1183"/>
      <c r="AA23" s="1186">
        <v>45486</v>
      </c>
      <c r="AB23" s="1187">
        <v>45504</v>
      </c>
      <c r="AC23" s="1188">
        <f>10%*R23</f>
        <v>38400</v>
      </c>
      <c r="AD23" s="1188"/>
      <c r="AE23" s="1187"/>
      <c r="AF23" s="1188"/>
      <c r="AG23" s="1187"/>
      <c r="AH23" s="1188">
        <f>90%*R23</f>
        <v>345600</v>
      </c>
      <c r="AI23" s="1176" t="s">
        <v>17320</v>
      </c>
      <c r="AJ23" s="1176"/>
      <c r="AK23" s="1176"/>
      <c r="AL23" s="1176"/>
      <c r="AM23" s="1176"/>
      <c r="AN23" s="1176"/>
      <c r="AO23" s="1189" t="s">
        <v>17887</v>
      </c>
      <c r="AP23" s="1189" t="s">
        <v>265</v>
      </c>
      <c r="AQ23" s="1189"/>
      <c r="AR23" s="1189"/>
      <c r="AS23" s="1189"/>
      <c r="AT23" s="1189"/>
      <c r="AU23" s="1189"/>
      <c r="AV23" s="1189"/>
      <c r="AW23" s="1189"/>
      <c r="AX23" s="1190">
        <f t="shared" si="2"/>
        <v>331831.5</v>
      </c>
      <c r="AY23" s="1190">
        <v>2730</v>
      </c>
      <c r="AZ23" s="1873"/>
    </row>
    <row r="24" spans="1:53" s="1191" customFormat="1" ht="16.5" customHeight="1">
      <c r="A24" s="1176">
        <v>23</v>
      </c>
      <c r="B24" s="648" t="s">
        <v>46</v>
      </c>
      <c r="C24" s="1177" t="s">
        <v>91</v>
      </c>
      <c r="D24" s="1178">
        <v>3</v>
      </c>
      <c r="E24" s="1179" t="s">
        <v>17269</v>
      </c>
      <c r="F24" s="651">
        <v>85.8</v>
      </c>
      <c r="G24" s="652">
        <v>54.9</v>
      </c>
      <c r="H24" s="653"/>
      <c r="I24" s="1180">
        <f>F24+0.2*G24+0.3*H24</f>
        <v>96.78</v>
      </c>
      <c r="J24" s="1176" t="s">
        <v>258</v>
      </c>
      <c r="K24" s="1181" t="s">
        <v>17430</v>
      </c>
      <c r="L24" s="1176" t="s">
        <v>17429</v>
      </c>
      <c r="M24" s="1176"/>
      <c r="N24" s="1176"/>
      <c r="O24" s="1192"/>
      <c r="P24" s="1193"/>
      <c r="Q24" s="1193"/>
      <c r="R24" s="1194">
        <v>304320</v>
      </c>
      <c r="S24" s="1184">
        <f t="shared" si="3"/>
        <v>304320</v>
      </c>
      <c r="T24" s="1184">
        <v>317000</v>
      </c>
      <c r="U24" s="1184"/>
      <c r="V24" s="1185">
        <f t="shared" si="0"/>
        <v>-4.0000000000000036E-2</v>
      </c>
      <c r="W24" s="1183">
        <f t="shared" si="1"/>
        <v>3144.4513329200249</v>
      </c>
      <c r="X24" s="1183">
        <f t="shared" si="4"/>
        <v>3144.4513329200249</v>
      </c>
      <c r="Y24" s="1183">
        <f t="shared" si="5"/>
        <v>3275.4701384583591</v>
      </c>
      <c r="Z24" s="1183"/>
      <c r="AA24" s="1186"/>
      <c r="AB24" s="1187">
        <v>45523</v>
      </c>
      <c r="AC24" s="1188">
        <v>30432</v>
      </c>
      <c r="AD24" s="1188">
        <v>30432</v>
      </c>
      <c r="AE24" s="1187">
        <v>45551</v>
      </c>
      <c r="AF24" s="1188"/>
      <c r="AG24" s="1187"/>
      <c r="AH24" s="1188">
        <f t="shared" si="6"/>
        <v>243456</v>
      </c>
      <c r="AI24" s="1176" t="s">
        <v>247</v>
      </c>
      <c r="AJ24" s="1176"/>
      <c r="AK24" s="1176"/>
      <c r="AL24" s="1176"/>
      <c r="AM24" s="1176"/>
      <c r="AN24" s="1176"/>
      <c r="AO24" s="1189" t="s">
        <v>17571</v>
      </c>
      <c r="AP24" s="1189" t="s">
        <v>265</v>
      </c>
      <c r="AQ24" s="1189"/>
      <c r="AR24" s="1189"/>
      <c r="AS24" s="1189"/>
      <c r="AT24" s="1612" t="s">
        <v>18185</v>
      </c>
      <c r="AU24" s="1189">
        <v>914735968</v>
      </c>
      <c r="AV24" s="1189"/>
      <c r="AW24" s="1189"/>
      <c r="AX24" s="1190">
        <f t="shared" si="2"/>
        <v>264209.40000000002</v>
      </c>
      <c r="AY24" s="1190">
        <v>2730</v>
      </c>
      <c r="AZ24" s="1873"/>
    </row>
    <row r="25" spans="1:53" s="1191" customFormat="1" ht="16.5" customHeight="1">
      <c r="A25" s="1176">
        <v>24</v>
      </c>
      <c r="B25" s="648" t="s">
        <v>47</v>
      </c>
      <c r="C25" s="1177" t="s">
        <v>91</v>
      </c>
      <c r="D25" s="1178">
        <v>3</v>
      </c>
      <c r="E25" s="1179" t="s">
        <v>46</v>
      </c>
      <c r="F25" s="651">
        <v>84.8</v>
      </c>
      <c r="G25" s="652">
        <v>33.200000000000003</v>
      </c>
      <c r="H25" s="653"/>
      <c r="I25" s="1180">
        <f>F25+0.2*G25+0.3*H25</f>
        <v>91.44</v>
      </c>
      <c r="J25" s="1176" t="s">
        <v>258</v>
      </c>
      <c r="K25" s="1181" t="s">
        <v>17430</v>
      </c>
      <c r="L25" s="1176" t="s">
        <v>17429</v>
      </c>
      <c r="M25" s="1176"/>
      <c r="N25" s="1176"/>
      <c r="O25" s="1205"/>
      <c r="P25" s="1176"/>
      <c r="Q25" s="1193"/>
      <c r="R25" s="1183">
        <v>325000</v>
      </c>
      <c r="S25" s="1184">
        <f t="shared" si="3"/>
        <v>324480</v>
      </c>
      <c r="T25" s="1184">
        <f>325000*1.04</f>
        <v>338000</v>
      </c>
      <c r="U25" s="1184">
        <v>312000</v>
      </c>
      <c r="V25" s="1185">
        <f t="shared" si="0"/>
        <v>-4.0000000000000036E-2</v>
      </c>
      <c r="W25" s="1183">
        <f t="shared" si="1"/>
        <v>3554.2432195975503</v>
      </c>
      <c r="X25" s="1183">
        <f t="shared" si="4"/>
        <v>3548.5564304461941</v>
      </c>
      <c r="Y25" s="1183">
        <f t="shared" si="5"/>
        <v>3696.4129483814522</v>
      </c>
      <c r="Z25" s="1183"/>
      <c r="AA25" s="1186">
        <v>45573</v>
      </c>
      <c r="AB25" s="1187">
        <v>45586</v>
      </c>
      <c r="AC25" s="1188">
        <f>20%*R25</f>
        <v>65000</v>
      </c>
      <c r="AD25" s="1188"/>
      <c r="AE25" s="1187"/>
      <c r="AF25" s="1188"/>
      <c r="AG25" s="1187"/>
      <c r="AH25" s="1188">
        <f t="shared" si="6"/>
        <v>260000</v>
      </c>
      <c r="AI25" s="1176" t="s">
        <v>247</v>
      </c>
      <c r="AJ25" s="1176"/>
      <c r="AK25" s="1176"/>
      <c r="AL25" s="1176"/>
      <c r="AM25" s="1176"/>
      <c r="AN25" s="1176"/>
      <c r="AO25" s="1189" t="s">
        <v>17679</v>
      </c>
      <c r="AP25" s="1189" t="s">
        <v>265</v>
      </c>
      <c r="AQ25" s="1189"/>
      <c r="AR25" s="1189"/>
      <c r="AS25" s="1189"/>
      <c r="AT25" s="1612" t="s">
        <v>18186</v>
      </c>
      <c r="AU25" s="1189">
        <v>936708308</v>
      </c>
      <c r="AV25" s="1189"/>
      <c r="AW25" s="1189"/>
      <c r="AX25" s="1190">
        <f t="shared" si="2"/>
        <v>249631.19999999998</v>
      </c>
      <c r="AY25" s="1190">
        <v>2730</v>
      </c>
      <c r="AZ25" s="1873"/>
    </row>
    <row r="26" spans="1:53" s="1191" customFormat="1" ht="16.5" customHeight="1">
      <c r="A26" s="1176">
        <v>25</v>
      </c>
      <c r="B26" s="648" t="s">
        <v>48</v>
      </c>
      <c r="C26" s="1177" t="s">
        <v>91</v>
      </c>
      <c r="D26" s="1178">
        <v>3</v>
      </c>
      <c r="E26" s="1179" t="s">
        <v>46</v>
      </c>
      <c r="F26" s="651">
        <v>84.8</v>
      </c>
      <c r="G26" s="652">
        <v>33.200000000000003</v>
      </c>
      <c r="H26" s="653"/>
      <c r="I26" s="1180">
        <f>F26+0.2*G26+0.3*H26</f>
        <v>91.44</v>
      </c>
      <c r="J26" s="1176" t="s">
        <v>258</v>
      </c>
      <c r="K26" s="1181" t="s">
        <v>17434</v>
      </c>
      <c r="L26" s="1176" t="s">
        <v>17429</v>
      </c>
      <c r="M26" s="1176"/>
      <c r="N26" s="1176"/>
      <c r="O26" s="1192"/>
      <c r="P26" s="1176"/>
      <c r="Q26" s="1193"/>
      <c r="R26" s="1183">
        <v>299520</v>
      </c>
      <c r="S26" s="1184">
        <f t="shared" si="3"/>
        <v>299520</v>
      </c>
      <c r="T26" s="1184">
        <v>312000</v>
      </c>
      <c r="U26" s="1184"/>
      <c r="V26" s="1185">
        <f t="shared" si="0"/>
        <v>-4.0000000000000036E-2</v>
      </c>
      <c r="W26" s="1183">
        <f t="shared" si="1"/>
        <v>3275.5905511811025</v>
      </c>
      <c r="X26" s="1183">
        <f t="shared" si="4"/>
        <v>3275.5905511811025</v>
      </c>
      <c r="Y26" s="1183">
        <f t="shared" si="5"/>
        <v>3412.0734908136483</v>
      </c>
      <c r="Z26" s="1183"/>
      <c r="AA26" s="1186">
        <v>45516</v>
      </c>
      <c r="AB26" s="1187">
        <v>45532</v>
      </c>
      <c r="AC26" s="1188">
        <f>20%*R26</f>
        <v>59904</v>
      </c>
      <c r="AD26" s="1188"/>
      <c r="AE26" s="1187"/>
      <c r="AF26" s="1188"/>
      <c r="AG26" s="1187"/>
      <c r="AH26" s="1188">
        <f t="shared" si="6"/>
        <v>239616</v>
      </c>
      <c r="AI26" s="1176" t="s">
        <v>247</v>
      </c>
      <c r="AJ26" s="1176"/>
      <c r="AK26" s="1176"/>
      <c r="AO26" s="1191" t="s">
        <v>17563</v>
      </c>
      <c r="AP26" s="1189" t="s">
        <v>265</v>
      </c>
      <c r="AQ26" s="1189"/>
      <c r="AR26" s="1189"/>
      <c r="AS26" s="1189"/>
      <c r="AT26" s="1612" t="s">
        <v>18187</v>
      </c>
      <c r="AU26" s="1189">
        <v>918584205</v>
      </c>
      <c r="AV26" s="1189"/>
      <c r="AW26" s="1189"/>
      <c r="AX26" s="1190">
        <f t="shared" si="2"/>
        <v>249631.19999999998</v>
      </c>
      <c r="AY26" s="1190">
        <v>2730</v>
      </c>
      <c r="AZ26" s="1873"/>
    </row>
    <row r="27" spans="1:53" s="1191" customFormat="1" ht="16.5" customHeight="1">
      <c r="A27" s="1176">
        <v>26</v>
      </c>
      <c r="B27" s="648" t="s">
        <v>49</v>
      </c>
      <c r="C27" s="1177" t="s">
        <v>91</v>
      </c>
      <c r="D27" s="1178">
        <v>3</v>
      </c>
      <c r="E27" s="1179" t="s">
        <v>146</v>
      </c>
      <c r="F27" s="651">
        <v>85.8</v>
      </c>
      <c r="G27" s="652">
        <v>50.8</v>
      </c>
      <c r="H27" s="653"/>
      <c r="I27" s="1180">
        <f>F27+0.2*G27+0.3*H27</f>
        <v>95.96</v>
      </c>
      <c r="J27" s="1176" t="s">
        <v>258</v>
      </c>
      <c r="K27" s="1181" t="s">
        <v>17434</v>
      </c>
      <c r="L27" s="1176" t="s">
        <v>17429</v>
      </c>
      <c r="M27" s="1176"/>
      <c r="N27" s="1183"/>
      <c r="O27" s="1238"/>
      <c r="P27" s="1176"/>
      <c r="Q27" s="1193"/>
      <c r="R27" s="1194">
        <v>313920</v>
      </c>
      <c r="S27" s="1184">
        <f t="shared" si="3"/>
        <v>313920</v>
      </c>
      <c r="T27" s="1184">
        <v>327000</v>
      </c>
      <c r="U27" s="1184"/>
      <c r="V27" s="1185">
        <f t="shared" si="0"/>
        <v>-4.0000000000000036E-2</v>
      </c>
      <c r="W27" s="1183">
        <f t="shared" si="1"/>
        <v>3271.3630679449775</v>
      </c>
      <c r="X27" s="1183">
        <f t="shared" si="4"/>
        <v>3271.3630679449775</v>
      </c>
      <c r="Y27" s="1183">
        <f t="shared" si="5"/>
        <v>3407.6698624426845</v>
      </c>
      <c r="Z27" s="1186"/>
      <c r="AA27" s="1186">
        <v>45486</v>
      </c>
      <c r="AB27" s="1187">
        <v>45513</v>
      </c>
      <c r="AC27" s="1188">
        <f>20%*R27+5000</f>
        <v>67784</v>
      </c>
      <c r="AD27" s="1188"/>
      <c r="AE27" s="1187"/>
      <c r="AF27" s="1188"/>
      <c r="AG27" s="1187"/>
      <c r="AH27" s="1188">
        <f>80%*R27-5000</f>
        <v>246136</v>
      </c>
      <c r="AI27" s="1243" t="s">
        <v>17320</v>
      </c>
      <c r="AJ27" s="1176"/>
      <c r="AK27" s="1176"/>
      <c r="AL27" s="1176"/>
      <c r="AM27" s="1176"/>
      <c r="AN27" s="1176"/>
      <c r="AO27" s="1189" t="s">
        <v>17584</v>
      </c>
      <c r="AP27" s="1189" t="s">
        <v>265</v>
      </c>
      <c r="AQ27" s="1189"/>
      <c r="AR27" s="1189"/>
      <c r="AS27" s="1189"/>
      <c r="AT27" s="1612" t="s">
        <v>18188</v>
      </c>
      <c r="AU27" s="1189">
        <v>932680129</v>
      </c>
      <c r="AV27" s="1189"/>
      <c r="AW27" s="1189"/>
      <c r="AX27" s="1190">
        <f t="shared" si="2"/>
        <v>261970.8</v>
      </c>
      <c r="AY27" s="1190">
        <v>2730</v>
      </c>
      <c r="AZ27" s="1873"/>
    </row>
    <row r="28" spans="1:53" s="1191" customFormat="1" ht="16.5" customHeight="1">
      <c r="A28" s="1176">
        <v>27</v>
      </c>
      <c r="B28" s="648" t="s">
        <v>50</v>
      </c>
      <c r="C28" s="1177" t="s">
        <v>89</v>
      </c>
      <c r="D28" s="1178">
        <v>4</v>
      </c>
      <c r="E28" s="1179" t="s">
        <v>145</v>
      </c>
      <c r="F28" s="651">
        <v>116.6</v>
      </c>
      <c r="G28" s="652">
        <v>21.1</v>
      </c>
      <c r="H28" s="653"/>
      <c r="I28" s="1180">
        <f>F28+0.3*G28+0.3*H28</f>
        <v>122.92999999999999</v>
      </c>
      <c r="J28" s="1176" t="s">
        <v>258</v>
      </c>
      <c r="K28" s="1181" t="s">
        <v>17431</v>
      </c>
      <c r="L28" s="1176" t="s">
        <v>17429</v>
      </c>
      <c r="M28" s="1176"/>
      <c r="N28" s="1183"/>
      <c r="O28" s="1238"/>
      <c r="P28" s="1176"/>
      <c r="Q28" s="1193"/>
      <c r="R28" s="1183">
        <v>395000</v>
      </c>
      <c r="S28" s="1184">
        <f t="shared" si="3"/>
        <v>379200</v>
      </c>
      <c r="T28" s="1184">
        <v>395000</v>
      </c>
      <c r="U28" s="1184">
        <v>380000</v>
      </c>
      <c r="V28" s="1185">
        <f t="shared" si="0"/>
        <v>-4.0000000000000036E-2</v>
      </c>
      <c r="W28" s="1183">
        <f t="shared" si="1"/>
        <v>3213.2107703571141</v>
      </c>
      <c r="X28" s="1183">
        <f t="shared" si="4"/>
        <v>3084.6823395428296</v>
      </c>
      <c r="Y28" s="1183">
        <f t="shared" si="5"/>
        <v>3213.2107703571141</v>
      </c>
      <c r="Z28" s="1183"/>
      <c r="AA28" s="1186"/>
      <c r="AB28" s="1187">
        <v>45595</v>
      </c>
      <c r="AC28" s="1188">
        <f>10%*T28</f>
        <v>39500</v>
      </c>
      <c r="AD28" s="1188"/>
      <c r="AE28" s="1187"/>
      <c r="AF28" s="1188"/>
      <c r="AG28" s="1187"/>
      <c r="AH28" s="1188">
        <f>90%*T28</f>
        <v>355500</v>
      </c>
      <c r="AI28" s="1176" t="s">
        <v>17320</v>
      </c>
      <c r="AJ28" s="1176"/>
      <c r="AK28" s="1176"/>
      <c r="AL28" s="1176"/>
      <c r="AM28" s="1176"/>
      <c r="AN28" s="1176"/>
      <c r="AO28" s="1189" t="s">
        <v>17707</v>
      </c>
      <c r="AP28" s="1189" t="s">
        <v>565</v>
      </c>
      <c r="AQ28" s="1189"/>
      <c r="AR28" s="1189"/>
      <c r="AS28" s="1189"/>
      <c r="AT28" s="1612" t="s">
        <v>18189</v>
      </c>
      <c r="AU28" s="1189">
        <v>967108870</v>
      </c>
      <c r="AV28" s="1189"/>
      <c r="AW28" s="1189"/>
      <c r="AX28" s="1190">
        <f t="shared" si="2"/>
        <v>335598.89999999997</v>
      </c>
      <c r="AY28" s="1190">
        <v>2730</v>
      </c>
      <c r="AZ28" s="1873"/>
    </row>
    <row r="29" spans="1:53" s="1191" customFormat="1" ht="16.5" customHeight="1">
      <c r="A29" s="1176">
        <v>28</v>
      </c>
      <c r="B29" s="648" t="s">
        <v>51</v>
      </c>
      <c r="C29" s="1177" t="s">
        <v>89</v>
      </c>
      <c r="D29" s="1178">
        <v>4</v>
      </c>
      <c r="E29" s="1179" t="s">
        <v>17362</v>
      </c>
      <c r="F29" s="651">
        <v>134.6</v>
      </c>
      <c r="G29" s="652">
        <f>7.6+24.6</f>
        <v>32.200000000000003</v>
      </c>
      <c r="H29" s="653"/>
      <c r="I29" s="1180">
        <f>F29+0.3*G29+0.3*H29</f>
        <v>144.26</v>
      </c>
      <c r="J29" s="1176" t="s">
        <v>258</v>
      </c>
      <c r="K29" s="1181" t="s">
        <v>17433</v>
      </c>
      <c r="L29" s="1176" t="s">
        <v>17428</v>
      </c>
      <c r="M29" s="1176"/>
      <c r="N29" s="1183"/>
      <c r="O29" s="1238"/>
      <c r="P29" s="1176"/>
      <c r="Q29" s="1176"/>
      <c r="R29" s="1183">
        <v>469442</v>
      </c>
      <c r="S29" s="1184">
        <f t="shared" si="3"/>
        <v>469440</v>
      </c>
      <c r="T29" s="1184">
        <v>489000</v>
      </c>
      <c r="U29" s="1184">
        <v>470000</v>
      </c>
      <c r="V29" s="1185">
        <f t="shared" si="0"/>
        <v>-4.0000000000000036E-2</v>
      </c>
      <c r="W29" s="1183">
        <f t="shared" si="1"/>
        <v>3254.1383612921118</v>
      </c>
      <c r="X29" s="1183">
        <f t="shared" si="4"/>
        <v>3254.1244974351866</v>
      </c>
      <c r="Y29" s="1183">
        <f t="shared" si="5"/>
        <v>3389.7130181616526</v>
      </c>
      <c r="Z29" s="1183"/>
      <c r="AA29" s="1186">
        <v>45903</v>
      </c>
      <c r="AB29" s="1187">
        <v>45930</v>
      </c>
      <c r="AC29" s="1188">
        <f>5000+88888</f>
        <v>93888</v>
      </c>
      <c r="AD29" s="1188"/>
      <c r="AE29" s="1187"/>
      <c r="AF29" s="1188"/>
      <c r="AG29" s="1187"/>
      <c r="AH29" s="1188">
        <f t="shared" si="6"/>
        <v>375553.60000000003</v>
      </c>
      <c r="AI29" s="1176" t="s">
        <v>247</v>
      </c>
      <c r="AJ29" s="1176"/>
      <c r="AK29" s="1176"/>
      <c r="AL29" s="1176"/>
      <c r="AM29" s="1176"/>
      <c r="AN29" s="1176"/>
      <c r="AO29" s="1189" t="s">
        <v>18088</v>
      </c>
      <c r="AP29" s="1189" t="s">
        <v>265</v>
      </c>
      <c r="AQ29" s="1189"/>
      <c r="AR29" s="1189"/>
      <c r="AS29" s="1189"/>
      <c r="AT29" s="1189"/>
      <c r="AU29" s="1189"/>
      <c r="AV29" s="1189"/>
      <c r="AW29" s="1189"/>
      <c r="AX29" s="1190">
        <f t="shared" si="2"/>
        <v>393829.8</v>
      </c>
      <c r="AY29" s="1190">
        <v>2730</v>
      </c>
      <c r="AZ29" s="1873"/>
    </row>
    <row r="30" spans="1:53" s="1191" customFormat="1" ht="16.5" customHeight="1">
      <c r="A30" s="1176">
        <v>29</v>
      </c>
      <c r="B30" s="648" t="s">
        <v>52</v>
      </c>
      <c r="C30" s="1177" t="s">
        <v>89</v>
      </c>
      <c r="D30" s="1178">
        <v>4</v>
      </c>
      <c r="E30" s="1179" t="s">
        <v>17362</v>
      </c>
      <c r="F30" s="651">
        <v>134.6</v>
      </c>
      <c r="G30" s="652">
        <f>7.6+24.6</f>
        <v>32.200000000000003</v>
      </c>
      <c r="H30" s="653"/>
      <c r="I30" s="1180">
        <f>F30+0.3*G30+0.3*H30</f>
        <v>144.26</v>
      </c>
      <c r="J30" s="1176" t="s">
        <v>258</v>
      </c>
      <c r="K30" s="1181" t="s">
        <v>17431</v>
      </c>
      <c r="L30" s="1176" t="s">
        <v>17429</v>
      </c>
      <c r="M30" s="1176"/>
      <c r="N30" s="1183"/>
      <c r="O30" s="1238"/>
      <c r="P30" s="1176"/>
      <c r="Q30" s="1176"/>
      <c r="R30" s="1194">
        <v>469440</v>
      </c>
      <c r="S30" s="1184">
        <f t="shared" si="3"/>
        <v>469440</v>
      </c>
      <c r="T30" s="1184">
        <v>489000</v>
      </c>
      <c r="U30" s="1184">
        <v>470000</v>
      </c>
      <c r="V30" s="1185">
        <f t="shared" si="0"/>
        <v>-4.0000000000000036E-2</v>
      </c>
      <c r="W30" s="1183">
        <f t="shared" si="1"/>
        <v>3254.1244974351866</v>
      </c>
      <c r="X30" s="1183">
        <f t="shared" si="4"/>
        <v>3254.1244974351866</v>
      </c>
      <c r="Y30" s="1183">
        <f t="shared" si="5"/>
        <v>3389.7130181616526</v>
      </c>
      <c r="Z30" s="1183"/>
      <c r="AA30" s="1186">
        <v>45892</v>
      </c>
      <c r="AB30" s="1187">
        <v>45911</v>
      </c>
      <c r="AC30" s="1188">
        <f>5000+88888</f>
        <v>93888</v>
      </c>
      <c r="AD30" s="1188"/>
      <c r="AE30" s="1187"/>
      <c r="AF30" s="1188"/>
      <c r="AG30" s="1187"/>
      <c r="AH30" s="1188">
        <v>375552</v>
      </c>
      <c r="AI30" s="1176" t="s">
        <v>247</v>
      </c>
      <c r="AJ30" s="1176"/>
      <c r="AK30" s="1176"/>
      <c r="AL30" s="1176"/>
      <c r="AM30" s="1176"/>
      <c r="AN30" s="1176"/>
      <c r="AO30" s="1189" t="s">
        <v>18078</v>
      </c>
      <c r="AP30" s="1189" t="s">
        <v>265</v>
      </c>
      <c r="AQ30" s="1189"/>
      <c r="AR30" s="1189"/>
      <c r="AS30" s="1189"/>
      <c r="AT30" s="1189"/>
      <c r="AU30" s="1189"/>
      <c r="AV30" s="1189"/>
      <c r="AW30" s="1189"/>
      <c r="AX30" s="1190">
        <f t="shared" si="2"/>
        <v>393829.8</v>
      </c>
      <c r="AY30" s="1190">
        <v>2730</v>
      </c>
      <c r="AZ30" s="1873"/>
    </row>
    <row r="31" spans="1:53" s="1191" customFormat="1" ht="16.5" customHeight="1">
      <c r="A31" s="1176">
        <v>30</v>
      </c>
      <c r="B31" s="715" t="s">
        <v>53</v>
      </c>
      <c r="C31" s="1177" t="s">
        <v>89</v>
      </c>
      <c r="D31" s="1178">
        <v>4</v>
      </c>
      <c r="E31" s="1179" t="s">
        <v>17268</v>
      </c>
      <c r="F31" s="651">
        <v>116.6</v>
      </c>
      <c r="G31" s="652">
        <v>16.5</v>
      </c>
      <c r="H31" s="653"/>
      <c r="I31" s="1180">
        <f>F31+0.3*G31+0.3*H31</f>
        <v>121.55</v>
      </c>
      <c r="J31" s="1176" t="s">
        <v>258</v>
      </c>
      <c r="K31" s="1181" t="s">
        <v>17431</v>
      </c>
      <c r="L31" s="1176" t="s">
        <v>17428</v>
      </c>
      <c r="M31" s="1176"/>
      <c r="N31" s="1183"/>
      <c r="O31" s="1238"/>
      <c r="P31" s="1176"/>
      <c r="Q31" s="1176"/>
      <c r="R31" s="1183">
        <v>388800</v>
      </c>
      <c r="S31" s="1184">
        <f t="shared" si="3"/>
        <v>388800</v>
      </c>
      <c r="T31" s="1184">
        <v>405000</v>
      </c>
      <c r="U31" s="1184"/>
      <c r="V31" s="1185">
        <f t="shared" si="0"/>
        <v>-4.0000000000000036E-2</v>
      </c>
      <c r="W31" s="1183">
        <f t="shared" si="1"/>
        <v>3198.6836692719048</v>
      </c>
      <c r="X31" s="1183">
        <f t="shared" si="4"/>
        <v>3198.6836692719048</v>
      </c>
      <c r="Y31" s="1183">
        <f t="shared" si="5"/>
        <v>3331.9621554915675</v>
      </c>
      <c r="Z31" s="1183"/>
      <c r="AA31" s="1186">
        <v>45486</v>
      </c>
      <c r="AB31" s="1187">
        <v>45524</v>
      </c>
      <c r="AC31" s="1188">
        <f>10%*R31</f>
        <v>38880</v>
      </c>
      <c r="AD31" s="1188"/>
      <c r="AE31" s="1187"/>
      <c r="AF31" s="1188"/>
      <c r="AG31" s="1187"/>
      <c r="AH31" s="1188">
        <f>90%*R31</f>
        <v>349920</v>
      </c>
      <c r="AI31" s="1176" t="s">
        <v>17320</v>
      </c>
      <c r="AJ31" s="1176"/>
      <c r="AK31" s="1239"/>
      <c r="AL31" s="1176"/>
      <c r="AM31" s="1176"/>
      <c r="AN31" s="1176"/>
      <c r="AO31" s="1189" t="s">
        <v>17598</v>
      </c>
      <c r="AP31" s="1189" t="s">
        <v>265</v>
      </c>
      <c r="AQ31" s="1189"/>
      <c r="AR31" s="1189"/>
      <c r="AS31" s="1189"/>
      <c r="AT31" s="1612" t="s">
        <v>18190</v>
      </c>
      <c r="AU31" s="1189">
        <v>919865477</v>
      </c>
      <c r="AV31" s="1189"/>
      <c r="AW31" s="1189"/>
      <c r="AX31" s="1190">
        <f t="shared" si="2"/>
        <v>331831.5</v>
      </c>
      <c r="AY31" s="1190">
        <v>2730</v>
      </c>
      <c r="AZ31" s="1873"/>
    </row>
    <row r="32" spans="1:53" s="1191" customFormat="1" ht="16.5" customHeight="1">
      <c r="A32" s="1176">
        <v>31</v>
      </c>
      <c r="B32" s="648" t="s">
        <v>54</v>
      </c>
      <c r="C32" s="1177" t="s">
        <v>91</v>
      </c>
      <c r="D32" s="1178">
        <v>4</v>
      </c>
      <c r="E32" s="1179" t="s">
        <v>17269</v>
      </c>
      <c r="F32" s="651">
        <v>85.8</v>
      </c>
      <c r="G32" s="652">
        <v>54.9</v>
      </c>
      <c r="H32" s="653"/>
      <c r="I32" s="1180">
        <f>F32+0.2*G32+0.3*H32</f>
        <v>96.78</v>
      </c>
      <c r="J32" s="1176" t="s">
        <v>258</v>
      </c>
      <c r="K32" s="1181" t="s">
        <v>17430</v>
      </c>
      <c r="L32" s="1176" t="s">
        <v>17428</v>
      </c>
      <c r="M32" s="1176"/>
      <c r="N32" s="1176"/>
      <c r="O32" s="1192"/>
      <c r="P32" s="1193"/>
      <c r="Q32" s="1193"/>
      <c r="R32" s="1194">
        <v>321600</v>
      </c>
      <c r="S32" s="1184">
        <f t="shared" si="3"/>
        <v>321600</v>
      </c>
      <c r="T32" s="1184">
        <v>335000</v>
      </c>
      <c r="U32" s="1184">
        <v>322000</v>
      </c>
      <c r="V32" s="1185">
        <f t="shared" si="0"/>
        <v>-4.0000000000000036E-2</v>
      </c>
      <c r="W32" s="1183">
        <f t="shared" si="1"/>
        <v>3323.0006199628024</v>
      </c>
      <c r="X32" s="1183">
        <f t="shared" si="4"/>
        <v>3323.0006199628024</v>
      </c>
      <c r="Y32" s="1183">
        <f t="shared" si="5"/>
        <v>3461.4589791279191</v>
      </c>
      <c r="Z32" s="1186"/>
      <c r="AA32" s="1186"/>
      <c r="AB32" s="1187">
        <v>45547</v>
      </c>
      <c r="AC32" s="1188">
        <f>20%*R32</f>
        <v>64320</v>
      </c>
      <c r="AD32" s="1188"/>
      <c r="AE32" s="1187"/>
      <c r="AF32" s="1188"/>
      <c r="AG32" s="1187"/>
      <c r="AH32" s="1188">
        <f t="shared" si="6"/>
        <v>257280</v>
      </c>
      <c r="AI32" s="1176" t="s">
        <v>17320</v>
      </c>
      <c r="AJ32" s="1176"/>
      <c r="AK32" s="1176"/>
      <c r="AL32" s="1176"/>
      <c r="AM32" s="1176"/>
      <c r="AN32" s="1176"/>
      <c r="AO32" s="1189" t="s">
        <v>17626</v>
      </c>
      <c r="AP32" s="1189" t="s">
        <v>265</v>
      </c>
      <c r="AQ32" s="1189"/>
      <c r="AR32" s="1189"/>
      <c r="AS32" s="1189"/>
      <c r="AT32" s="1189" t="s">
        <v>455</v>
      </c>
      <c r="AU32" s="1189">
        <v>913941962</v>
      </c>
      <c r="AV32" s="1189"/>
      <c r="AW32" s="1189"/>
      <c r="AX32" s="1190">
        <f t="shared" si="2"/>
        <v>264209.40000000002</v>
      </c>
      <c r="AY32" s="1190">
        <v>2730</v>
      </c>
      <c r="AZ32" s="1873"/>
    </row>
    <row r="33" spans="1:52" s="1191" customFormat="1" ht="16.5" customHeight="1">
      <c r="A33" s="1176">
        <v>32</v>
      </c>
      <c r="B33" s="648" t="s">
        <v>55</v>
      </c>
      <c r="C33" s="1177" t="s">
        <v>91</v>
      </c>
      <c r="D33" s="1178">
        <v>4</v>
      </c>
      <c r="E33" s="1179" t="s">
        <v>46</v>
      </c>
      <c r="F33" s="651">
        <v>84.8</v>
      </c>
      <c r="G33" s="652">
        <v>33.200000000000003</v>
      </c>
      <c r="H33" s="653"/>
      <c r="I33" s="1180">
        <f>F33+0.2*G33+0.3*H33</f>
        <v>91.44</v>
      </c>
      <c r="J33" s="1176" t="s">
        <v>258</v>
      </c>
      <c r="K33" s="1181" t="s">
        <v>17430</v>
      </c>
      <c r="L33" s="1176" t="s">
        <v>17429</v>
      </c>
      <c r="M33" s="1176"/>
      <c r="N33" s="1183"/>
      <c r="O33" s="1238"/>
      <c r="P33" s="1176"/>
      <c r="Q33" s="1193"/>
      <c r="R33" s="1183">
        <v>316800</v>
      </c>
      <c r="S33" s="1184">
        <f t="shared" si="3"/>
        <v>316800</v>
      </c>
      <c r="T33" s="1184">
        <v>330000</v>
      </c>
      <c r="U33" s="1184">
        <v>317000</v>
      </c>
      <c r="V33" s="1185">
        <f t="shared" si="0"/>
        <v>-4.0000000000000036E-2</v>
      </c>
      <c r="W33" s="1183">
        <f t="shared" si="1"/>
        <v>3464.5669291338581</v>
      </c>
      <c r="X33" s="1183">
        <f t="shared" si="4"/>
        <v>3464.5669291338581</v>
      </c>
      <c r="Y33" s="1183">
        <f t="shared" si="5"/>
        <v>3608.9238845144359</v>
      </c>
      <c r="Z33" s="1183"/>
      <c r="AA33" s="1186"/>
      <c r="AB33" s="1187">
        <v>45561</v>
      </c>
      <c r="AC33" s="1188">
        <f>20%*R33</f>
        <v>63360</v>
      </c>
      <c r="AD33" s="1188"/>
      <c r="AE33" s="1187"/>
      <c r="AF33" s="1188"/>
      <c r="AG33" s="1187"/>
      <c r="AH33" s="1188">
        <f t="shared" si="6"/>
        <v>253440</v>
      </c>
      <c r="AI33" s="1176" t="s">
        <v>17320</v>
      </c>
      <c r="AJ33" s="1176"/>
      <c r="AK33" s="1176"/>
      <c r="AL33" s="1176"/>
      <c r="AM33" s="1176"/>
      <c r="AN33" s="1176"/>
      <c r="AO33" s="1189" t="s">
        <v>17632</v>
      </c>
      <c r="AP33" s="1189" t="s">
        <v>265</v>
      </c>
      <c r="AQ33" s="1189"/>
      <c r="AR33" s="1189"/>
      <c r="AS33" s="1189"/>
      <c r="AT33" s="1612" t="s">
        <v>18191</v>
      </c>
      <c r="AU33" s="1189">
        <v>937565124</v>
      </c>
      <c r="AV33" s="1189"/>
      <c r="AW33" s="1189"/>
      <c r="AX33" s="1190">
        <f t="shared" si="2"/>
        <v>249631.19999999998</v>
      </c>
      <c r="AY33" s="1190">
        <v>2730</v>
      </c>
      <c r="AZ33" s="1873"/>
    </row>
    <row r="34" spans="1:52" s="1191" customFormat="1" ht="16.5" customHeight="1" thickBot="1">
      <c r="A34" s="1176">
        <v>33</v>
      </c>
      <c r="B34" s="648" t="s">
        <v>56</v>
      </c>
      <c r="C34" s="1177" t="s">
        <v>91</v>
      </c>
      <c r="D34" s="1178">
        <v>4</v>
      </c>
      <c r="E34" s="1179" t="s">
        <v>46</v>
      </c>
      <c r="F34" s="651">
        <v>84.8</v>
      </c>
      <c r="G34" s="652">
        <v>33.200000000000003</v>
      </c>
      <c r="H34" s="670"/>
      <c r="I34" s="1180">
        <f>F34+0.2*G34+0.3*H34</f>
        <v>91.44</v>
      </c>
      <c r="J34" s="1176" t="s">
        <v>258</v>
      </c>
      <c r="K34" s="1181" t="s">
        <v>17430</v>
      </c>
      <c r="L34" s="1176" t="s">
        <v>17429</v>
      </c>
      <c r="M34" s="1176"/>
      <c r="N34" s="1176"/>
      <c r="O34" s="1397"/>
      <c r="P34" s="1193"/>
      <c r="Q34" s="1193"/>
      <c r="R34" s="1194">
        <v>330000</v>
      </c>
      <c r="S34" s="1184">
        <f t="shared" si="3"/>
        <v>329280</v>
      </c>
      <c r="T34" s="1184">
        <v>343000</v>
      </c>
      <c r="U34" s="1184">
        <v>317000</v>
      </c>
      <c r="V34" s="1185">
        <f t="shared" ref="V34:V55" si="8">S34/T34-1</f>
        <v>-4.0000000000000036E-2</v>
      </c>
      <c r="W34" s="1183">
        <f t="shared" ref="W34:W55" si="9">R34/I34</f>
        <v>3608.9238845144359</v>
      </c>
      <c r="X34" s="1183">
        <f t="shared" si="4"/>
        <v>3601.0498687664044</v>
      </c>
      <c r="Y34" s="1183">
        <f t="shared" si="5"/>
        <v>3751.0936132983379</v>
      </c>
      <c r="Z34" s="1183"/>
      <c r="AA34" s="1186">
        <v>45563</v>
      </c>
      <c r="AB34" s="1187">
        <v>45587</v>
      </c>
      <c r="AC34" s="1188">
        <f>20%*R34</f>
        <v>66000</v>
      </c>
      <c r="AD34" s="1188"/>
      <c r="AE34" s="1187"/>
      <c r="AF34" s="1188"/>
      <c r="AG34" s="1187"/>
      <c r="AH34" s="1188">
        <f t="shared" si="6"/>
        <v>264000</v>
      </c>
      <c r="AI34" s="1176" t="s">
        <v>247</v>
      </c>
      <c r="AJ34" s="1176"/>
      <c r="AK34" s="1176"/>
      <c r="AL34" s="1176"/>
      <c r="AM34" s="1176"/>
      <c r="AN34" s="1176"/>
      <c r="AO34" s="1189" t="s">
        <v>17645</v>
      </c>
      <c r="AP34" s="1189" t="s">
        <v>265</v>
      </c>
      <c r="AQ34" s="1189"/>
      <c r="AR34" s="1189"/>
      <c r="AS34" s="1189"/>
      <c r="AT34" s="1612" t="s">
        <v>18192</v>
      </c>
      <c r="AU34" s="1189">
        <v>968489250</v>
      </c>
      <c r="AV34" s="1189"/>
      <c r="AW34" s="1189"/>
      <c r="AX34" s="1190">
        <f t="shared" ref="AX34:AX55" si="10">AY34*I34</f>
        <v>249631.19999999998</v>
      </c>
      <c r="AY34" s="1190">
        <v>2730</v>
      </c>
      <c r="AZ34" s="1873"/>
    </row>
    <row r="35" spans="1:52" s="1191" customFormat="1" ht="16.5" customHeight="1">
      <c r="A35" s="1176">
        <v>34</v>
      </c>
      <c r="B35" s="648" t="s">
        <v>57</v>
      </c>
      <c r="C35" s="1177" t="s">
        <v>91</v>
      </c>
      <c r="D35" s="1178">
        <v>4</v>
      </c>
      <c r="E35" s="1179" t="s">
        <v>146</v>
      </c>
      <c r="F35" s="651">
        <v>85.8</v>
      </c>
      <c r="G35" s="652">
        <v>50.8</v>
      </c>
      <c r="H35" s="677"/>
      <c r="I35" s="1180">
        <f>F35+0.2*G35+0.3*H35</f>
        <v>95.96</v>
      </c>
      <c r="J35" s="1176" t="s">
        <v>258</v>
      </c>
      <c r="K35" s="1181" t="s">
        <v>17430</v>
      </c>
      <c r="L35" s="1176" t="s">
        <v>17429</v>
      </c>
      <c r="M35" s="1176"/>
      <c r="N35" s="1183"/>
      <c r="O35" s="1238"/>
      <c r="P35" s="1193"/>
      <c r="Q35" s="1193"/>
      <c r="R35" s="1194">
        <v>317760</v>
      </c>
      <c r="S35" s="1184">
        <f t="shared" si="3"/>
        <v>317760</v>
      </c>
      <c r="T35" s="1184">
        <v>331000</v>
      </c>
      <c r="U35" s="1184"/>
      <c r="V35" s="1185">
        <f t="shared" si="8"/>
        <v>-4.0000000000000036E-2</v>
      </c>
      <c r="W35" s="1183">
        <f t="shared" si="9"/>
        <v>3311.3797415589829</v>
      </c>
      <c r="X35" s="1183">
        <f t="shared" si="4"/>
        <v>3311.3797415589829</v>
      </c>
      <c r="Y35" s="1183">
        <f t="shared" si="5"/>
        <v>3449.3538974572739</v>
      </c>
      <c r="Z35" s="1183"/>
      <c r="AA35" s="1186">
        <v>45486</v>
      </c>
      <c r="AB35" s="1187">
        <v>45511</v>
      </c>
      <c r="AC35" s="1188">
        <f>20%*R35+5000</f>
        <v>68552</v>
      </c>
      <c r="AD35" s="1188"/>
      <c r="AE35" s="1187"/>
      <c r="AF35" s="1188"/>
      <c r="AG35" s="1187"/>
      <c r="AH35" s="1188">
        <f>80%*R35-5000</f>
        <v>249208</v>
      </c>
      <c r="AI35" s="1176" t="s">
        <v>17320</v>
      </c>
      <c r="AJ35" s="1176"/>
      <c r="AK35" s="1239"/>
      <c r="AL35" s="1176"/>
      <c r="AM35" s="1176"/>
      <c r="AN35" s="1176"/>
      <c r="AO35" s="1176" t="s">
        <v>17579</v>
      </c>
      <c r="AP35" s="1189" t="s">
        <v>265</v>
      </c>
      <c r="AQ35" s="1189"/>
      <c r="AR35" s="1189"/>
      <c r="AS35" s="1189"/>
      <c r="AT35" s="1612" t="s">
        <v>18193</v>
      </c>
      <c r="AU35" s="1189">
        <v>933639298</v>
      </c>
      <c r="AV35" s="1189"/>
      <c r="AW35" s="1189"/>
      <c r="AX35" s="1190">
        <f t="shared" si="10"/>
        <v>261970.8</v>
      </c>
      <c r="AY35" s="1190">
        <v>2730</v>
      </c>
      <c r="AZ35" s="1873"/>
    </row>
    <row r="36" spans="1:52" s="1191" customFormat="1" ht="16.5" customHeight="1">
      <c r="A36" s="1176">
        <v>35</v>
      </c>
      <c r="B36" s="648" t="s">
        <v>58</v>
      </c>
      <c r="C36" s="1177" t="s">
        <v>89</v>
      </c>
      <c r="D36" s="1178">
        <v>5</v>
      </c>
      <c r="E36" s="1179" t="s">
        <v>145</v>
      </c>
      <c r="F36" s="651">
        <v>116.6</v>
      </c>
      <c r="G36" s="652">
        <v>21.1</v>
      </c>
      <c r="H36" s="653"/>
      <c r="I36" s="1180">
        <f>F36+0.3*G36+0.3*H36</f>
        <v>122.92999999999999</v>
      </c>
      <c r="J36" s="1176" t="s">
        <v>258</v>
      </c>
      <c r="K36" s="1181" t="s">
        <v>17431</v>
      </c>
      <c r="L36" s="1176" t="s">
        <v>17429</v>
      </c>
      <c r="M36" s="1176"/>
      <c r="N36" s="1183"/>
      <c r="O36" s="1238"/>
      <c r="P36" s="1240"/>
      <c r="Q36" s="1193"/>
      <c r="R36" s="1194">
        <f>0.95*T36</f>
        <v>380000</v>
      </c>
      <c r="S36" s="1184">
        <f t="shared" si="3"/>
        <v>384000</v>
      </c>
      <c r="T36" s="1184">
        <v>400000</v>
      </c>
      <c r="U36" s="1184">
        <v>385000</v>
      </c>
      <c r="V36" s="1185">
        <f t="shared" si="8"/>
        <v>-4.0000000000000036E-2</v>
      </c>
      <c r="W36" s="1183">
        <f t="shared" si="9"/>
        <v>3091.190108191654</v>
      </c>
      <c r="X36" s="1183">
        <f t="shared" si="4"/>
        <v>3123.7289514357767</v>
      </c>
      <c r="Y36" s="1183">
        <f t="shared" si="5"/>
        <v>3253.8843244122672</v>
      </c>
      <c r="Z36" s="1183"/>
      <c r="AA36" s="1186"/>
      <c r="AB36" s="1187">
        <v>45568</v>
      </c>
      <c r="AC36" s="1188">
        <v>80000</v>
      </c>
      <c r="AD36" s="1188"/>
      <c r="AE36" s="1187"/>
      <c r="AF36" s="1188"/>
      <c r="AG36" s="1187"/>
      <c r="AH36" s="1188">
        <v>300000</v>
      </c>
      <c r="AI36" s="1176" t="s">
        <v>247</v>
      </c>
      <c r="AJ36" s="1176" t="s">
        <v>17643</v>
      </c>
      <c r="AK36" s="1176"/>
      <c r="AL36" s="1176"/>
      <c r="AM36" s="1176"/>
      <c r="AN36" s="1176"/>
      <c r="AO36" s="1189" t="s">
        <v>17636</v>
      </c>
      <c r="AP36" s="1189" t="s">
        <v>265</v>
      </c>
      <c r="AQ36" s="1189"/>
      <c r="AR36" s="1189"/>
      <c r="AS36" s="1189"/>
      <c r="AT36" s="1612" t="s">
        <v>18194</v>
      </c>
      <c r="AU36" s="1189">
        <v>916143034</v>
      </c>
      <c r="AV36" s="1189"/>
      <c r="AW36" s="1189"/>
      <c r="AX36" s="1190">
        <f t="shared" si="10"/>
        <v>335598.89999999997</v>
      </c>
      <c r="AY36" s="1190">
        <v>2730</v>
      </c>
      <c r="AZ36" s="1873"/>
    </row>
    <row r="37" spans="1:52" s="1191" customFormat="1" ht="16.5" customHeight="1">
      <c r="A37" s="1176">
        <v>36</v>
      </c>
      <c r="B37" s="648" t="s">
        <v>59</v>
      </c>
      <c r="C37" s="1177" t="s">
        <v>89</v>
      </c>
      <c r="D37" s="1178">
        <v>5</v>
      </c>
      <c r="E37" s="1179" t="s">
        <v>17362</v>
      </c>
      <c r="F37" s="651">
        <v>134.6</v>
      </c>
      <c r="G37" s="652">
        <f>7.6+24.6</f>
        <v>32.200000000000003</v>
      </c>
      <c r="H37" s="653"/>
      <c r="I37" s="1180">
        <f>F37+0.3*G37+0.3*H37</f>
        <v>144.26</v>
      </c>
      <c r="J37" s="1176" t="s">
        <v>258</v>
      </c>
      <c r="K37" s="1181" t="s">
        <v>17433</v>
      </c>
      <c r="L37" s="1176" t="s">
        <v>17428</v>
      </c>
      <c r="M37" s="1176"/>
      <c r="N37" s="1183"/>
      <c r="O37" s="1238"/>
      <c r="P37" s="1193"/>
      <c r="Q37" s="1193"/>
      <c r="R37" s="1194">
        <v>474240</v>
      </c>
      <c r="S37" s="1184">
        <f t="shared" si="3"/>
        <v>474240</v>
      </c>
      <c r="T37" s="1184">
        <v>494000</v>
      </c>
      <c r="U37" s="1184">
        <v>475000</v>
      </c>
      <c r="V37" s="1185">
        <f t="shared" si="8"/>
        <v>-4.0000000000000036E-2</v>
      </c>
      <c r="W37" s="1183">
        <f t="shared" si="9"/>
        <v>3287.3977540551782</v>
      </c>
      <c r="X37" s="1183">
        <f t="shared" si="4"/>
        <v>3287.3977540551782</v>
      </c>
      <c r="Y37" s="1183">
        <f t="shared" si="5"/>
        <v>3424.3726604741441</v>
      </c>
      <c r="Z37" s="1186"/>
      <c r="AA37" s="1186">
        <v>45891</v>
      </c>
      <c r="AB37" s="1187">
        <v>45898</v>
      </c>
      <c r="AC37" s="1188">
        <f>5000+89848</f>
        <v>94848</v>
      </c>
      <c r="AD37" s="1188"/>
      <c r="AE37" s="1187"/>
      <c r="AF37" s="1188"/>
      <c r="AG37" s="1187"/>
      <c r="AH37" s="1188">
        <f t="shared" si="6"/>
        <v>379392</v>
      </c>
      <c r="AI37" s="1176" t="s">
        <v>247</v>
      </c>
      <c r="AJ37" s="1176"/>
      <c r="AK37" s="1176"/>
      <c r="AL37" s="1176"/>
      <c r="AM37" s="1176"/>
      <c r="AN37" s="1176"/>
      <c r="AO37" s="1189" t="s">
        <v>18079</v>
      </c>
      <c r="AP37" s="1189" t="s">
        <v>265</v>
      </c>
      <c r="AQ37" s="1189"/>
      <c r="AR37" s="1189"/>
      <c r="AS37" s="1189"/>
      <c r="AT37" s="1189"/>
      <c r="AU37" s="1189"/>
      <c r="AV37" s="1189"/>
      <c r="AW37" s="1189"/>
      <c r="AX37" s="1190">
        <f t="shared" si="10"/>
        <v>393829.8</v>
      </c>
      <c r="AY37" s="1190">
        <v>2730</v>
      </c>
      <c r="AZ37" s="1873"/>
    </row>
    <row r="38" spans="1:52" s="1191" customFormat="1" ht="16.5" customHeight="1">
      <c r="A38" s="1176">
        <v>37</v>
      </c>
      <c r="B38" s="648" t="s">
        <v>60</v>
      </c>
      <c r="C38" s="1177" t="s">
        <v>89</v>
      </c>
      <c r="D38" s="1178">
        <v>5</v>
      </c>
      <c r="E38" s="1179" t="s">
        <v>17362</v>
      </c>
      <c r="F38" s="651">
        <v>134.6</v>
      </c>
      <c r="G38" s="652">
        <f>7.6+24.6</f>
        <v>32.200000000000003</v>
      </c>
      <c r="H38" s="653"/>
      <c r="I38" s="1180">
        <f>F38+0.3*G38+0.3*H38</f>
        <v>144.26</v>
      </c>
      <c r="J38" s="1176" t="s">
        <v>258</v>
      </c>
      <c r="K38" s="1181" t="s">
        <v>17433</v>
      </c>
      <c r="L38" s="1176" t="s">
        <v>17428</v>
      </c>
      <c r="M38" s="1176"/>
      <c r="N38" s="1176"/>
      <c r="O38" s="1192"/>
      <c r="P38" s="1240"/>
      <c r="Q38" s="1193"/>
      <c r="R38" s="1183">
        <v>484120</v>
      </c>
      <c r="S38" s="1184">
        <f t="shared" si="3"/>
        <v>474240</v>
      </c>
      <c r="T38" s="1184">
        <v>494000</v>
      </c>
      <c r="U38" s="1184">
        <v>475000</v>
      </c>
      <c r="V38" s="1185">
        <f t="shared" si="8"/>
        <v>-4.0000000000000036E-2</v>
      </c>
      <c r="W38" s="1183">
        <f t="shared" si="9"/>
        <v>3355.8852072646614</v>
      </c>
      <c r="X38" s="1183">
        <f t="shared" si="4"/>
        <v>3287.3977540551782</v>
      </c>
      <c r="Y38" s="1183">
        <f t="shared" si="5"/>
        <v>3424.3726604741441</v>
      </c>
      <c r="Z38" s="1183"/>
      <c r="AA38" s="1186">
        <v>45855</v>
      </c>
      <c r="AB38" s="1187">
        <v>45877</v>
      </c>
      <c r="AC38" s="1188">
        <f>5000+43412</f>
        <v>48412</v>
      </c>
      <c r="AD38" s="1188"/>
      <c r="AE38" s="1187"/>
      <c r="AF38" s="1188"/>
      <c r="AG38" s="1187"/>
      <c r="AH38" s="1188">
        <v>435708</v>
      </c>
      <c r="AI38" s="1176" t="s">
        <v>247</v>
      </c>
      <c r="AJ38" s="1176"/>
      <c r="AK38" s="1239"/>
      <c r="AL38" s="1176"/>
      <c r="AM38" s="1176"/>
      <c r="AN38" s="1176"/>
      <c r="AO38" s="1189" t="s">
        <v>18057</v>
      </c>
      <c r="AP38" s="1189" t="s">
        <v>265</v>
      </c>
      <c r="AQ38" s="1189"/>
      <c r="AR38" s="1189"/>
      <c r="AS38" s="1189"/>
      <c r="AT38" s="1189"/>
      <c r="AU38" s="1189"/>
      <c r="AV38" s="1189"/>
      <c r="AW38" s="1189"/>
      <c r="AX38" s="1190">
        <f t="shared" si="10"/>
        <v>393829.8</v>
      </c>
      <c r="AY38" s="1190">
        <v>2730</v>
      </c>
      <c r="AZ38" s="1873"/>
    </row>
    <row r="39" spans="1:52" s="1191" customFormat="1" ht="16.5" customHeight="1">
      <c r="A39" s="1176">
        <v>38</v>
      </c>
      <c r="B39" s="648" t="s">
        <v>61</v>
      </c>
      <c r="C39" s="1177" t="s">
        <v>89</v>
      </c>
      <c r="D39" s="1178">
        <v>5</v>
      </c>
      <c r="E39" s="1179" t="s">
        <v>17268</v>
      </c>
      <c r="F39" s="651">
        <v>116.6</v>
      </c>
      <c r="G39" s="652">
        <v>16.5</v>
      </c>
      <c r="H39" s="653"/>
      <c r="I39" s="1180">
        <f>F39+0.3*G39+0.3*H39</f>
        <v>121.55</v>
      </c>
      <c r="J39" s="1176" t="s">
        <v>258</v>
      </c>
      <c r="K39" s="1181" t="s">
        <v>17431</v>
      </c>
      <c r="L39" s="1176" t="s">
        <v>17428</v>
      </c>
      <c r="M39" s="1176"/>
      <c r="N39" s="1176"/>
      <c r="O39" s="1205"/>
      <c r="P39" s="1240"/>
      <c r="Q39" s="1193"/>
      <c r="R39" s="1183">
        <v>393600</v>
      </c>
      <c r="S39" s="1184">
        <f t="shared" si="3"/>
        <v>393600</v>
      </c>
      <c r="T39" s="1184">
        <v>410000</v>
      </c>
      <c r="U39" s="1184"/>
      <c r="V39" s="1185">
        <f t="shared" si="8"/>
        <v>-4.0000000000000036E-2</v>
      </c>
      <c r="W39" s="1183">
        <f t="shared" si="9"/>
        <v>3238.1735911147675</v>
      </c>
      <c r="X39" s="1183">
        <f t="shared" si="4"/>
        <v>3238.1735911147675</v>
      </c>
      <c r="Y39" s="1183">
        <f t="shared" si="5"/>
        <v>3373.0974907445498</v>
      </c>
      <c r="Z39" s="1183"/>
      <c r="AA39" s="1186">
        <v>45486</v>
      </c>
      <c r="AB39" s="1187">
        <v>45511</v>
      </c>
      <c r="AC39" s="1188">
        <f>10%*R39+5000</f>
        <v>44360</v>
      </c>
      <c r="AD39" s="1188"/>
      <c r="AE39" s="1187"/>
      <c r="AF39" s="1188"/>
      <c r="AG39" s="1187"/>
      <c r="AH39" s="1188">
        <f>90%*R39-5000</f>
        <v>349240</v>
      </c>
      <c r="AI39" s="1176" t="s">
        <v>17320</v>
      </c>
      <c r="AJ39" s="1176"/>
      <c r="AK39" s="1176"/>
      <c r="AL39" s="1176"/>
      <c r="AM39" s="1176"/>
      <c r="AN39" s="1176"/>
      <c r="AO39" s="1189" t="s">
        <v>17580</v>
      </c>
      <c r="AP39" s="1189" t="s">
        <v>265</v>
      </c>
      <c r="AQ39" s="1189"/>
      <c r="AR39" s="1189"/>
      <c r="AS39" s="1189"/>
      <c r="AT39" s="1612" t="s">
        <v>18195</v>
      </c>
      <c r="AU39" s="1189">
        <v>938885306</v>
      </c>
      <c r="AV39" s="1189"/>
      <c r="AW39" s="1189"/>
      <c r="AX39" s="1190">
        <f t="shared" si="10"/>
        <v>331831.5</v>
      </c>
      <c r="AY39" s="1190">
        <v>2730</v>
      </c>
      <c r="AZ39" s="1873"/>
    </row>
    <row r="40" spans="1:52" s="1191" customFormat="1" ht="16.5" customHeight="1">
      <c r="A40" s="1176">
        <v>39</v>
      </c>
      <c r="B40" s="648" t="s">
        <v>62</v>
      </c>
      <c r="C40" s="1177" t="s">
        <v>91</v>
      </c>
      <c r="D40" s="1178">
        <v>5</v>
      </c>
      <c r="E40" s="1179" t="s">
        <v>17269</v>
      </c>
      <c r="F40" s="651">
        <v>85.8</v>
      </c>
      <c r="G40" s="652">
        <v>54.9</v>
      </c>
      <c r="H40" s="653"/>
      <c r="I40" s="1180">
        <f>F40+0.2*G40+0.3*H40</f>
        <v>96.78</v>
      </c>
      <c r="J40" s="1176" t="s">
        <v>258</v>
      </c>
      <c r="K40" s="1181" t="s">
        <v>17430</v>
      </c>
      <c r="L40" s="1176" t="s">
        <v>17429</v>
      </c>
      <c r="M40" s="1176"/>
      <c r="N40" s="1176"/>
      <c r="O40" s="1192"/>
      <c r="P40" s="1176"/>
      <c r="Q40" s="1193"/>
      <c r="R40" s="1183">
        <v>313920</v>
      </c>
      <c r="S40" s="1184">
        <f t="shared" si="3"/>
        <v>313920</v>
      </c>
      <c r="T40" s="1184">
        <v>327000</v>
      </c>
      <c r="U40" s="1184"/>
      <c r="V40" s="1185">
        <f t="shared" si="8"/>
        <v>-4.0000000000000036E-2</v>
      </c>
      <c r="W40" s="1183">
        <f t="shared" si="9"/>
        <v>3243.6453812771233</v>
      </c>
      <c r="X40" s="1183">
        <f t="shared" si="4"/>
        <v>3243.6453812771233</v>
      </c>
      <c r="Y40" s="1183">
        <f t="shared" si="5"/>
        <v>3378.7972721636702</v>
      </c>
      <c r="Z40" s="1183"/>
      <c r="AA40" s="1186"/>
      <c r="AB40" s="1203">
        <v>45516</v>
      </c>
      <c r="AC40" s="1188">
        <f>20%*R40</f>
        <v>62784</v>
      </c>
      <c r="AD40" s="1206"/>
      <c r="AE40" s="1203"/>
      <c r="AF40" s="1206"/>
      <c r="AG40" s="1203"/>
      <c r="AH40" s="1188">
        <f t="shared" si="6"/>
        <v>251136</v>
      </c>
      <c r="AI40" s="1176" t="s">
        <v>17320</v>
      </c>
      <c r="AJ40" s="1176"/>
      <c r="AK40" s="1176"/>
      <c r="AL40" s="1176"/>
      <c r="AM40" s="1176"/>
      <c r="AN40" s="1176"/>
      <c r="AO40" s="1204" t="s">
        <v>17575</v>
      </c>
      <c r="AP40" s="1189" t="s">
        <v>265</v>
      </c>
      <c r="AQ40" s="1189"/>
      <c r="AR40" s="1189"/>
      <c r="AS40" s="1189"/>
      <c r="AT40" s="1612" t="s">
        <v>18196</v>
      </c>
      <c r="AU40" s="1189">
        <v>912168217</v>
      </c>
      <c r="AV40" s="1204"/>
      <c r="AW40" s="1204"/>
      <c r="AX40" s="1190">
        <f t="shared" si="10"/>
        <v>264209.40000000002</v>
      </c>
      <c r="AY40" s="1190">
        <v>2730</v>
      </c>
      <c r="AZ40" s="1873"/>
    </row>
    <row r="41" spans="1:52" s="1191" customFormat="1" ht="16.5" customHeight="1">
      <c r="A41" s="1176">
        <v>40</v>
      </c>
      <c r="B41" s="648" t="s">
        <v>63</v>
      </c>
      <c r="C41" s="1177" t="s">
        <v>91</v>
      </c>
      <c r="D41" s="1178">
        <v>5</v>
      </c>
      <c r="E41" s="1179" t="s">
        <v>46</v>
      </c>
      <c r="F41" s="651">
        <v>84.8</v>
      </c>
      <c r="G41" s="652">
        <v>33.200000000000003</v>
      </c>
      <c r="H41" s="653"/>
      <c r="I41" s="1180">
        <f>F41+0.2*G41+0.3*H41</f>
        <v>91.44</v>
      </c>
      <c r="J41" s="1176" t="s">
        <v>258</v>
      </c>
      <c r="K41" s="1181" t="s">
        <v>17430</v>
      </c>
      <c r="L41" s="1176" t="s">
        <v>17429</v>
      </c>
      <c r="M41" s="1176"/>
      <c r="N41" s="1176"/>
      <c r="O41" s="1205"/>
      <c r="P41" s="1176"/>
      <c r="Q41" s="1193"/>
      <c r="R41" s="1183">
        <v>336000</v>
      </c>
      <c r="S41" s="1184">
        <f t="shared" si="3"/>
        <v>335040</v>
      </c>
      <c r="T41" s="1184">
        <v>349000</v>
      </c>
      <c r="U41" s="1184">
        <v>322000</v>
      </c>
      <c r="V41" s="1185">
        <f t="shared" si="8"/>
        <v>-4.0000000000000036E-2</v>
      </c>
      <c r="W41" s="1183">
        <f t="shared" si="9"/>
        <v>3674.540682414698</v>
      </c>
      <c r="X41" s="1183">
        <f t="shared" si="4"/>
        <v>3664.0419947506562</v>
      </c>
      <c r="Y41" s="1183">
        <f t="shared" si="5"/>
        <v>3816.7104111986005</v>
      </c>
      <c r="Z41" s="1183"/>
      <c r="AA41" s="1186">
        <v>45573</v>
      </c>
      <c r="AB41" s="1187">
        <v>45586</v>
      </c>
      <c r="AC41" s="1188">
        <v>67200</v>
      </c>
      <c r="AD41" s="1188"/>
      <c r="AE41" s="1187"/>
      <c r="AF41" s="1188"/>
      <c r="AG41" s="1187"/>
      <c r="AH41" s="1188">
        <v>268800</v>
      </c>
      <c r="AI41" s="1176" t="s">
        <v>247</v>
      </c>
      <c r="AJ41" s="1176"/>
      <c r="AK41" s="1239"/>
      <c r="AL41" s="1176"/>
      <c r="AM41" s="1176"/>
      <c r="AN41" s="1176"/>
      <c r="AO41" s="1189" t="s">
        <v>17679</v>
      </c>
      <c r="AP41" s="1189" t="s">
        <v>265</v>
      </c>
      <c r="AQ41" s="1189"/>
      <c r="AR41" s="1189"/>
      <c r="AS41" s="1189"/>
      <c r="AT41" s="1612" t="s">
        <v>18186</v>
      </c>
      <c r="AU41" s="1189">
        <v>936708308</v>
      </c>
      <c r="AV41" s="1189"/>
      <c r="AW41" s="1189"/>
      <c r="AX41" s="1190">
        <f t="shared" si="10"/>
        <v>249631.19999999998</v>
      </c>
      <c r="AY41" s="1190">
        <v>2730</v>
      </c>
      <c r="AZ41" s="1873"/>
    </row>
    <row r="42" spans="1:52" s="1191" customFormat="1" ht="16.5" customHeight="1">
      <c r="A42" s="1176">
        <v>41</v>
      </c>
      <c r="B42" s="648" t="s">
        <v>64</v>
      </c>
      <c r="C42" s="1177" t="s">
        <v>91</v>
      </c>
      <c r="D42" s="1178">
        <v>5</v>
      </c>
      <c r="E42" s="1179" t="s">
        <v>46</v>
      </c>
      <c r="F42" s="651">
        <v>84.8</v>
      </c>
      <c r="G42" s="652">
        <v>33.200000000000003</v>
      </c>
      <c r="H42" s="653"/>
      <c r="I42" s="1180">
        <f>F42+0.2*G42+0.3*H42</f>
        <v>91.44</v>
      </c>
      <c r="J42" s="1176" t="s">
        <v>258</v>
      </c>
      <c r="K42" s="1181" t="s">
        <v>17430</v>
      </c>
      <c r="L42" s="1176" t="s">
        <v>17428</v>
      </c>
      <c r="M42" s="1176"/>
      <c r="N42" s="1176"/>
      <c r="O42" s="1192"/>
      <c r="P42" s="1193"/>
      <c r="Q42" s="1193"/>
      <c r="R42" s="1194">
        <v>338880</v>
      </c>
      <c r="S42" s="1184">
        <f t="shared" si="3"/>
        <v>338880</v>
      </c>
      <c r="T42" s="1184">
        <v>353000</v>
      </c>
      <c r="U42" s="1184">
        <v>322000</v>
      </c>
      <c r="V42" s="1185">
        <f t="shared" si="8"/>
        <v>-4.0000000000000036E-2</v>
      </c>
      <c r="W42" s="1183">
        <f t="shared" si="9"/>
        <v>3706.0367454068241</v>
      </c>
      <c r="X42" s="1183">
        <f t="shared" si="4"/>
        <v>3706.0367454068241</v>
      </c>
      <c r="Y42" s="1183">
        <f t="shared" si="5"/>
        <v>3860.4549431321084</v>
      </c>
      <c r="Z42" s="1186"/>
      <c r="AA42" s="1186">
        <v>45615</v>
      </c>
      <c r="AB42" s="1187">
        <v>45625</v>
      </c>
      <c r="AC42" s="1188">
        <f>20%*R42</f>
        <v>67776</v>
      </c>
      <c r="AD42" s="1188"/>
      <c r="AE42" s="1187"/>
      <c r="AF42" s="1188"/>
      <c r="AG42" s="1187"/>
      <c r="AH42" s="1188">
        <f t="shared" si="6"/>
        <v>271104</v>
      </c>
      <c r="AI42" s="1176" t="s">
        <v>17320</v>
      </c>
      <c r="AJ42" s="1176"/>
      <c r="AK42" s="1176"/>
      <c r="AL42" s="1176"/>
      <c r="AM42" s="1176"/>
      <c r="AN42" s="1176"/>
      <c r="AO42" s="1204" t="s">
        <v>17719</v>
      </c>
      <c r="AP42" s="1189" t="s">
        <v>265</v>
      </c>
      <c r="AQ42" s="1189"/>
      <c r="AR42" s="1189"/>
      <c r="AS42" s="1189"/>
      <c r="AT42" s="1612" t="s">
        <v>18197</v>
      </c>
      <c r="AU42" s="1189">
        <v>918689890</v>
      </c>
      <c r="AV42" s="1189"/>
      <c r="AW42" s="1189"/>
      <c r="AX42" s="1190">
        <f t="shared" si="10"/>
        <v>249631.19999999998</v>
      </c>
      <c r="AY42" s="1190">
        <v>2730</v>
      </c>
      <c r="AZ42" s="1873"/>
    </row>
    <row r="43" spans="1:52" s="1191" customFormat="1" ht="16.5" customHeight="1">
      <c r="A43" s="1198">
        <v>42</v>
      </c>
      <c r="B43" s="678" t="s">
        <v>65</v>
      </c>
      <c r="C43" s="1247" t="s">
        <v>91</v>
      </c>
      <c r="D43" s="1248">
        <v>5</v>
      </c>
      <c r="E43" s="1179" t="s">
        <v>146</v>
      </c>
      <c r="F43" s="651">
        <v>85.8</v>
      </c>
      <c r="G43" s="652">
        <v>50.8</v>
      </c>
      <c r="H43" s="653"/>
      <c r="I43" s="1180">
        <f>F43+0.2*G43+0.3*H43</f>
        <v>95.96</v>
      </c>
      <c r="J43" s="1198" t="s">
        <v>258</v>
      </c>
      <c r="K43" s="1181" t="s">
        <v>17430</v>
      </c>
      <c r="L43" s="1176" t="s">
        <v>17429</v>
      </c>
      <c r="M43" s="1176"/>
      <c r="N43" s="1176"/>
      <c r="O43" s="1205"/>
      <c r="P43" s="1249"/>
      <c r="Q43" s="1249"/>
      <c r="R43" s="1250">
        <v>322560</v>
      </c>
      <c r="S43" s="1184">
        <f t="shared" si="3"/>
        <v>322560</v>
      </c>
      <c r="T43" s="1184">
        <v>336000</v>
      </c>
      <c r="U43" s="1184"/>
      <c r="V43" s="1185">
        <f t="shared" si="8"/>
        <v>-4.0000000000000036E-2</v>
      </c>
      <c r="W43" s="1251">
        <f t="shared" si="9"/>
        <v>3361.4005835764906</v>
      </c>
      <c r="X43" s="1183">
        <f t="shared" si="4"/>
        <v>3361.4005835764906</v>
      </c>
      <c r="Y43" s="1183">
        <f t="shared" si="5"/>
        <v>3501.4589412255109</v>
      </c>
      <c r="Z43" s="1251"/>
      <c r="AA43" s="1252">
        <v>45492</v>
      </c>
      <c r="AB43" s="1253">
        <v>45525</v>
      </c>
      <c r="AC43" s="1188">
        <f>20%*R43+5000</f>
        <v>69512</v>
      </c>
      <c r="AD43" s="1254"/>
      <c r="AE43" s="1253"/>
      <c r="AF43" s="1254"/>
      <c r="AG43" s="1253"/>
      <c r="AH43" s="1188">
        <f>80%*R43-5000</f>
        <v>253048</v>
      </c>
      <c r="AI43" s="1198" t="s">
        <v>17320</v>
      </c>
      <c r="AJ43" s="1198"/>
      <c r="AK43" s="1198"/>
      <c r="AL43" s="1198"/>
      <c r="AM43" s="1198"/>
      <c r="AN43" s="1198"/>
      <c r="AO43" s="1255" t="s">
        <v>17638</v>
      </c>
      <c r="AP43" s="1189" t="s">
        <v>265</v>
      </c>
      <c r="AQ43" s="1189"/>
      <c r="AR43" s="1189"/>
      <c r="AS43" s="1189"/>
      <c r="AT43" s="1612" t="s">
        <v>18198</v>
      </c>
      <c r="AU43" s="1189">
        <v>935120003</v>
      </c>
      <c r="AV43" s="1255"/>
      <c r="AW43" s="1255"/>
      <c r="AX43" s="1256">
        <f t="shared" si="10"/>
        <v>261970.8</v>
      </c>
      <c r="AY43" s="1256">
        <v>2730</v>
      </c>
      <c r="AZ43" s="1873"/>
    </row>
    <row r="44" spans="1:52" s="1191" customFormat="1" ht="16.5" customHeight="1">
      <c r="A44" s="1176">
        <v>43</v>
      </c>
      <c r="B44" s="648" t="s">
        <v>66</v>
      </c>
      <c r="C44" s="1177" t="s">
        <v>89</v>
      </c>
      <c r="D44" s="1178">
        <v>6</v>
      </c>
      <c r="E44" s="1179" t="s">
        <v>145</v>
      </c>
      <c r="F44" s="651">
        <v>116.6</v>
      </c>
      <c r="G44" s="652">
        <v>21.1</v>
      </c>
      <c r="H44" s="653"/>
      <c r="I44" s="1180">
        <f>F44+0.3*G44+0.3*H44</f>
        <v>122.92999999999999</v>
      </c>
      <c r="J44" s="1198" t="s">
        <v>258</v>
      </c>
      <c r="K44" s="1181" t="s">
        <v>17431</v>
      </c>
      <c r="L44" s="1176" t="s">
        <v>17429</v>
      </c>
      <c r="M44" s="1176"/>
      <c r="N44" s="1176"/>
      <c r="O44" s="1192"/>
      <c r="P44" s="1176"/>
      <c r="Q44" s="1176"/>
      <c r="R44" s="1183">
        <v>389760</v>
      </c>
      <c r="S44" s="1184">
        <f t="shared" si="3"/>
        <v>389760</v>
      </c>
      <c r="T44" s="1184">
        <v>406000</v>
      </c>
      <c r="U44" s="1184">
        <v>390000</v>
      </c>
      <c r="V44" s="1185">
        <f t="shared" si="8"/>
        <v>-4.0000000000000036E-2</v>
      </c>
      <c r="W44" s="1183">
        <f t="shared" si="9"/>
        <v>3170.5848857073133</v>
      </c>
      <c r="X44" s="1183">
        <f t="shared" si="4"/>
        <v>3170.5848857073133</v>
      </c>
      <c r="Y44" s="1183">
        <f t="shared" si="5"/>
        <v>3302.6925892784511</v>
      </c>
      <c r="Z44" s="1183"/>
      <c r="AA44" s="1186"/>
      <c r="AB44" s="1187">
        <v>45643</v>
      </c>
      <c r="AC44" s="1188">
        <f>20%*R44</f>
        <v>77952</v>
      </c>
      <c r="AD44" s="1188"/>
      <c r="AE44" s="1187"/>
      <c r="AF44" s="1188"/>
      <c r="AG44" s="1187"/>
      <c r="AH44" s="1188">
        <f t="shared" si="6"/>
        <v>311808</v>
      </c>
      <c r="AI44" s="1198" t="s">
        <v>247</v>
      </c>
      <c r="AJ44" s="1176"/>
      <c r="AK44" s="1176"/>
      <c r="AL44" s="1198"/>
      <c r="AM44" s="1176"/>
      <c r="AN44" s="1176"/>
      <c r="AO44" s="1189" t="s">
        <v>17781</v>
      </c>
      <c r="AP44" s="1189" t="s">
        <v>265</v>
      </c>
      <c r="AQ44" s="1189"/>
      <c r="AR44" s="1189"/>
      <c r="AS44" s="1189"/>
      <c r="AT44" s="1612" t="s">
        <v>18199</v>
      </c>
      <c r="AU44" s="1189">
        <v>967185058</v>
      </c>
      <c r="AV44" s="1189"/>
      <c r="AW44" s="1189"/>
      <c r="AX44" s="1190">
        <f t="shared" si="10"/>
        <v>335598.89999999997</v>
      </c>
      <c r="AY44" s="1190">
        <v>2730</v>
      </c>
      <c r="AZ44" s="1873"/>
    </row>
    <row r="45" spans="1:52" s="1191" customFormat="1" ht="16.5" customHeight="1">
      <c r="A45" s="1176">
        <v>44</v>
      </c>
      <c r="B45" s="648" t="s">
        <v>67</v>
      </c>
      <c r="C45" s="1177" t="s">
        <v>89</v>
      </c>
      <c r="D45" s="1178">
        <v>6</v>
      </c>
      <c r="E45" s="1179" t="s">
        <v>17362</v>
      </c>
      <c r="F45" s="651">
        <v>134.6</v>
      </c>
      <c r="G45" s="652">
        <f>7.6+24.6</f>
        <v>32.200000000000003</v>
      </c>
      <c r="H45" s="653"/>
      <c r="I45" s="1180">
        <f>F45+0.3*G45+0.3*H45</f>
        <v>144.26</v>
      </c>
      <c r="J45" s="1198" t="s">
        <v>258</v>
      </c>
      <c r="K45" s="1181" t="s">
        <v>17433</v>
      </c>
      <c r="L45" s="1176" t="s">
        <v>17428</v>
      </c>
      <c r="M45" s="1176"/>
      <c r="N45" s="1176"/>
      <c r="O45" s="1205"/>
      <c r="P45" s="1193"/>
      <c r="Q45" s="1193"/>
      <c r="R45" s="1183">
        <v>479040</v>
      </c>
      <c r="S45" s="1184">
        <f t="shared" si="3"/>
        <v>479040</v>
      </c>
      <c r="T45" s="1184">
        <v>499000</v>
      </c>
      <c r="U45" s="1184">
        <v>480000</v>
      </c>
      <c r="V45" s="1185">
        <f t="shared" si="8"/>
        <v>-4.0000000000000036E-2</v>
      </c>
      <c r="W45" s="1183">
        <f t="shared" si="9"/>
        <v>3320.6710106751702</v>
      </c>
      <c r="X45" s="1183">
        <f t="shared" si="4"/>
        <v>3320.6710106751702</v>
      </c>
      <c r="Y45" s="1183">
        <f t="shared" si="5"/>
        <v>3459.0323027866357</v>
      </c>
      <c r="Z45" s="1185"/>
      <c r="AA45" s="1186"/>
      <c r="AB45" s="1187">
        <v>45603</v>
      </c>
      <c r="AC45" s="1188">
        <f>20%*R45</f>
        <v>95808</v>
      </c>
      <c r="AD45" s="1188"/>
      <c r="AE45" s="1187"/>
      <c r="AF45" s="1188"/>
      <c r="AG45" s="1187"/>
      <c r="AH45" s="1188">
        <f t="shared" si="6"/>
        <v>383232</v>
      </c>
      <c r="AI45" s="1176" t="s">
        <v>17320</v>
      </c>
      <c r="AJ45" s="1176"/>
      <c r="AK45" s="1176"/>
      <c r="AL45" s="1176"/>
      <c r="AM45" s="1176"/>
      <c r="AN45" s="1176"/>
      <c r="AO45" s="1204" t="s">
        <v>17726</v>
      </c>
      <c r="AP45" s="1189" t="s">
        <v>265</v>
      </c>
      <c r="AQ45" s="1189"/>
      <c r="AR45" s="1189"/>
      <c r="AS45" s="1189"/>
      <c r="AT45" s="1612" t="s">
        <v>18183</v>
      </c>
      <c r="AU45" s="1189">
        <v>917520252</v>
      </c>
      <c r="AV45" s="1189"/>
      <c r="AW45" s="1189"/>
      <c r="AX45" s="1190">
        <f t="shared" si="10"/>
        <v>393829.8</v>
      </c>
      <c r="AY45" s="1190">
        <v>2730</v>
      </c>
      <c r="AZ45" s="1873"/>
    </row>
    <row r="46" spans="1:52" s="1191" customFormat="1" ht="16.5" customHeight="1">
      <c r="A46" s="1176">
        <v>45</v>
      </c>
      <c r="B46" s="648" t="s">
        <v>68</v>
      </c>
      <c r="C46" s="1177" t="s">
        <v>89</v>
      </c>
      <c r="D46" s="1178">
        <v>6</v>
      </c>
      <c r="E46" s="1179" t="s">
        <v>17362</v>
      </c>
      <c r="F46" s="651">
        <v>134.6</v>
      </c>
      <c r="G46" s="652">
        <f>7.6+24.6</f>
        <v>32.200000000000003</v>
      </c>
      <c r="H46" s="653"/>
      <c r="I46" s="1180">
        <f>F46+0.3*G46+0.3*H46</f>
        <v>144.26</v>
      </c>
      <c r="J46" s="1198" t="s">
        <v>258</v>
      </c>
      <c r="K46" s="1181" t="s">
        <v>17433</v>
      </c>
      <c r="L46" s="1176" t="s">
        <v>17428</v>
      </c>
      <c r="M46" s="1176"/>
      <c r="N46" s="1176"/>
      <c r="O46" s="1192"/>
      <c r="P46" s="1176"/>
      <c r="Q46" s="1176"/>
      <c r="R46" s="1183">
        <v>460800</v>
      </c>
      <c r="S46" s="1184">
        <f t="shared" si="3"/>
        <v>460800</v>
      </c>
      <c r="T46" s="1184">
        <v>480000</v>
      </c>
      <c r="U46" s="1184"/>
      <c r="V46" s="1185">
        <f t="shared" si="8"/>
        <v>-4.0000000000000036E-2</v>
      </c>
      <c r="W46" s="1183">
        <f t="shared" si="9"/>
        <v>3194.2326355192017</v>
      </c>
      <c r="X46" s="1183">
        <f t="shared" si="4"/>
        <v>3194.2326355192017</v>
      </c>
      <c r="Y46" s="1183">
        <f t="shared" si="5"/>
        <v>3327.3256619991685</v>
      </c>
      <c r="Z46" s="1183"/>
      <c r="AA46" s="1186">
        <v>45486</v>
      </c>
      <c r="AB46" s="1187">
        <v>45502</v>
      </c>
      <c r="AC46" s="1188">
        <f>10%*R46+5000</f>
        <v>51080</v>
      </c>
      <c r="AD46" s="1188"/>
      <c r="AE46" s="1187"/>
      <c r="AF46" s="1188"/>
      <c r="AG46" s="1187"/>
      <c r="AH46" s="1188">
        <f>90%*R46-5000</f>
        <v>409720</v>
      </c>
      <c r="AI46" s="1176" t="s">
        <v>17320</v>
      </c>
      <c r="AJ46" s="1176"/>
      <c r="AK46" s="1176"/>
      <c r="AL46" s="1176"/>
      <c r="AM46" s="1176"/>
      <c r="AN46" s="1176"/>
      <c r="AO46" s="1189" t="s">
        <v>17549</v>
      </c>
      <c r="AP46" s="1189" t="s">
        <v>265</v>
      </c>
      <c r="AQ46" s="1189"/>
      <c r="AR46" s="1189"/>
      <c r="AS46" s="1189"/>
      <c r="AT46" s="1612" t="s">
        <v>18200</v>
      </c>
      <c r="AU46" s="1189">
        <v>969012963</v>
      </c>
      <c r="AV46" s="1189"/>
      <c r="AW46" s="1189"/>
      <c r="AX46" s="1190">
        <f t="shared" si="10"/>
        <v>393829.8</v>
      </c>
      <c r="AY46" s="1190">
        <v>2730</v>
      </c>
      <c r="AZ46" s="1873"/>
    </row>
    <row r="47" spans="1:52" s="1191" customFormat="1" ht="16.5" customHeight="1">
      <c r="A47" s="1176">
        <v>46</v>
      </c>
      <c r="B47" s="648" t="s">
        <v>69</v>
      </c>
      <c r="C47" s="1177" t="s">
        <v>89</v>
      </c>
      <c r="D47" s="1178">
        <v>6</v>
      </c>
      <c r="E47" s="1179" t="s">
        <v>17268</v>
      </c>
      <c r="F47" s="651">
        <v>116.6</v>
      </c>
      <c r="G47" s="652">
        <v>16.5</v>
      </c>
      <c r="H47" s="653"/>
      <c r="I47" s="1180">
        <f>F47+0.3*G47+0.3*H47</f>
        <v>121.55</v>
      </c>
      <c r="J47" s="1198" t="s">
        <v>258</v>
      </c>
      <c r="K47" s="1181" t="s">
        <v>17431</v>
      </c>
      <c r="L47" s="1176" t="s">
        <v>17428</v>
      </c>
      <c r="M47" s="1176"/>
      <c r="N47" s="1176"/>
      <c r="O47" s="1205"/>
      <c r="P47" s="1176"/>
      <c r="Q47" s="1176"/>
      <c r="R47" s="1184">
        <v>398400</v>
      </c>
      <c r="S47" s="1184">
        <f t="shared" si="3"/>
        <v>398400</v>
      </c>
      <c r="T47" s="1184">
        <v>415000</v>
      </c>
      <c r="U47" s="1184"/>
      <c r="V47" s="1185">
        <f t="shared" si="8"/>
        <v>-4.0000000000000036E-2</v>
      </c>
      <c r="W47" s="1183">
        <f t="shared" si="9"/>
        <v>3277.6635129576307</v>
      </c>
      <c r="X47" s="1183">
        <f t="shared" si="4"/>
        <v>3277.6635129576307</v>
      </c>
      <c r="Y47" s="1183">
        <f t="shared" si="5"/>
        <v>3414.232825997532</v>
      </c>
      <c r="Z47" s="1183"/>
      <c r="AA47" s="1186">
        <v>45486</v>
      </c>
      <c r="AB47" s="1187">
        <v>45510</v>
      </c>
      <c r="AC47" s="1188">
        <f>10%*R47+5000</f>
        <v>44840</v>
      </c>
      <c r="AD47" s="1188"/>
      <c r="AE47" s="1187"/>
      <c r="AF47" s="1188"/>
      <c r="AG47" s="1187"/>
      <c r="AH47" s="1188">
        <f>90%*R47-5000</f>
        <v>353560</v>
      </c>
      <c r="AI47" s="1176" t="s">
        <v>17320</v>
      </c>
      <c r="AJ47" s="1176"/>
      <c r="AK47" s="1176"/>
      <c r="AL47" s="1176"/>
      <c r="AM47" s="1176"/>
      <c r="AN47" s="1176"/>
      <c r="AO47" s="1189" t="s">
        <v>17577</v>
      </c>
      <c r="AP47" s="1189" t="s">
        <v>265</v>
      </c>
      <c r="AQ47" s="1189"/>
      <c r="AR47" s="1189"/>
      <c r="AS47" s="1189"/>
      <c r="AT47" s="1612" t="s">
        <v>18166</v>
      </c>
      <c r="AU47" s="1189">
        <v>919459875</v>
      </c>
      <c r="AV47" s="1189"/>
      <c r="AW47" s="1189"/>
      <c r="AX47" s="1190">
        <f t="shared" si="10"/>
        <v>331831.5</v>
      </c>
      <c r="AY47" s="1190">
        <v>2730</v>
      </c>
      <c r="AZ47" s="1873"/>
    </row>
    <row r="48" spans="1:52" s="1191" customFormat="1" ht="16.5" customHeight="1">
      <c r="A48" s="1176">
        <v>47</v>
      </c>
      <c r="B48" s="648" t="s">
        <v>70</v>
      </c>
      <c r="C48" s="1177" t="s">
        <v>91</v>
      </c>
      <c r="D48" s="1178">
        <v>6</v>
      </c>
      <c r="E48" s="1179" t="s">
        <v>17269</v>
      </c>
      <c r="F48" s="651">
        <v>85.8</v>
      </c>
      <c r="G48" s="652">
        <v>54.9</v>
      </c>
      <c r="H48" s="653"/>
      <c r="I48" s="1180">
        <f>F48+0.2*G48+0.3*H48</f>
        <v>96.78</v>
      </c>
      <c r="J48" s="1198" t="s">
        <v>258</v>
      </c>
      <c r="K48" s="1181" t="s">
        <v>17430</v>
      </c>
      <c r="L48" s="1176" t="s">
        <v>17428</v>
      </c>
      <c r="M48" s="1176"/>
      <c r="N48" s="1176"/>
      <c r="O48" s="1192"/>
      <c r="P48" s="1176"/>
      <c r="Q48" s="1176"/>
      <c r="R48" s="1183">
        <v>322560</v>
      </c>
      <c r="S48" s="1184">
        <f t="shared" si="3"/>
        <v>322560</v>
      </c>
      <c r="T48" s="1184">
        <v>336000</v>
      </c>
      <c r="U48" s="1184"/>
      <c r="V48" s="1185">
        <f t="shared" si="8"/>
        <v>-4.0000000000000036E-2</v>
      </c>
      <c r="W48" s="1183">
        <f t="shared" si="9"/>
        <v>3332.9200247985123</v>
      </c>
      <c r="X48" s="1183">
        <f t="shared" si="4"/>
        <v>3332.9200247985123</v>
      </c>
      <c r="Y48" s="1183">
        <f t="shared" si="5"/>
        <v>3471.7916924984502</v>
      </c>
      <c r="Z48" s="1183"/>
      <c r="AA48" s="1186"/>
      <c r="AB48" s="1187">
        <v>45525</v>
      </c>
      <c r="AC48" s="1188">
        <f>10%*R48</f>
        <v>32256</v>
      </c>
      <c r="AD48" s="1188">
        <f>10%*R48</f>
        <v>32256</v>
      </c>
      <c r="AE48" s="1187">
        <f>182+AB48</f>
        <v>45707</v>
      </c>
      <c r="AF48" s="1188"/>
      <c r="AG48" s="1187"/>
      <c r="AH48" s="1188">
        <f>80%*R48</f>
        <v>258048</v>
      </c>
      <c r="AI48" s="1176" t="s">
        <v>17320</v>
      </c>
      <c r="AJ48" s="1176"/>
      <c r="AK48" s="1239"/>
      <c r="AL48" s="1176"/>
      <c r="AM48" s="1176"/>
      <c r="AN48" s="1176"/>
      <c r="AO48" s="1255" t="s">
        <v>17638</v>
      </c>
      <c r="AP48" s="1189" t="s">
        <v>265</v>
      </c>
      <c r="AQ48" s="1189"/>
      <c r="AR48" s="1189"/>
      <c r="AS48" s="1189"/>
      <c r="AT48" s="1612" t="s">
        <v>18198</v>
      </c>
      <c r="AU48" s="1189">
        <v>935120003</v>
      </c>
      <c r="AV48" s="1189"/>
      <c r="AW48" s="1189"/>
      <c r="AX48" s="1190">
        <f t="shared" si="10"/>
        <v>264209.40000000002</v>
      </c>
      <c r="AY48" s="1190">
        <v>2730</v>
      </c>
      <c r="AZ48" s="1873"/>
    </row>
    <row r="49" spans="1:52" s="1191" customFormat="1" ht="16.5" customHeight="1">
      <c r="A49" s="1176">
        <v>48</v>
      </c>
      <c r="B49" s="648" t="s">
        <v>71</v>
      </c>
      <c r="C49" s="1177" t="s">
        <v>91</v>
      </c>
      <c r="D49" s="1178">
        <v>6</v>
      </c>
      <c r="E49" s="1179" t="s">
        <v>46</v>
      </c>
      <c r="F49" s="651">
        <v>84.8</v>
      </c>
      <c r="G49" s="652">
        <v>33.200000000000003</v>
      </c>
      <c r="H49" s="653"/>
      <c r="I49" s="1180">
        <f>F49+0.2*G49+0.3*H49</f>
        <v>91.44</v>
      </c>
      <c r="J49" s="1198" t="s">
        <v>258</v>
      </c>
      <c r="K49" s="1181" t="s">
        <v>17430</v>
      </c>
      <c r="L49" s="1176" t="s">
        <v>17428</v>
      </c>
      <c r="M49" s="1176"/>
      <c r="N49" s="1176"/>
      <c r="O49" s="1205"/>
      <c r="P49" s="1176"/>
      <c r="Q49" s="1176"/>
      <c r="R49" s="1183">
        <v>313920</v>
      </c>
      <c r="S49" s="1184">
        <f t="shared" si="3"/>
        <v>313920</v>
      </c>
      <c r="T49" s="1184">
        <v>327000</v>
      </c>
      <c r="U49" s="1184"/>
      <c r="V49" s="1185">
        <f t="shared" si="8"/>
        <v>-4.0000000000000036E-2</v>
      </c>
      <c r="W49" s="1183">
        <f t="shared" si="9"/>
        <v>3433.0708661417325</v>
      </c>
      <c r="X49" s="1183">
        <f t="shared" si="4"/>
        <v>3433.0708661417325</v>
      </c>
      <c r="Y49" s="1183">
        <f t="shared" si="5"/>
        <v>3576.1154855643044</v>
      </c>
      <c r="Z49" s="1183"/>
      <c r="AA49" s="1186"/>
      <c r="AB49" s="1187">
        <v>45526</v>
      </c>
      <c r="AC49" s="1188">
        <f>20%*R49</f>
        <v>62784</v>
      </c>
      <c r="AD49" s="1188"/>
      <c r="AE49" s="1187"/>
      <c r="AF49" s="1188"/>
      <c r="AG49" s="1187"/>
      <c r="AH49" s="1188">
        <f t="shared" si="6"/>
        <v>251136</v>
      </c>
      <c r="AI49" s="1176" t="s">
        <v>17320</v>
      </c>
      <c r="AJ49" s="1176"/>
      <c r="AK49" s="1176"/>
      <c r="AL49" s="1176"/>
      <c r="AM49" s="1176"/>
      <c r="AN49" s="1176"/>
      <c r="AO49" s="1189" t="s">
        <v>17588</v>
      </c>
      <c r="AP49" s="1189" t="s">
        <v>265</v>
      </c>
      <c r="AQ49" s="1189"/>
      <c r="AR49" s="1189"/>
      <c r="AS49" s="1189"/>
      <c r="AT49" s="1189"/>
      <c r="AU49" s="1189"/>
      <c r="AV49" s="1189"/>
      <c r="AW49" s="1189"/>
      <c r="AX49" s="1190">
        <f t="shared" si="10"/>
        <v>249631.19999999998</v>
      </c>
      <c r="AY49" s="1190">
        <v>2730</v>
      </c>
      <c r="AZ49" s="1873"/>
    </row>
    <row r="50" spans="1:52" s="1191" customFormat="1" ht="16.5" customHeight="1">
      <c r="A50" s="1176">
        <v>49</v>
      </c>
      <c r="B50" s="648" t="s">
        <v>72</v>
      </c>
      <c r="C50" s="1177" t="s">
        <v>91</v>
      </c>
      <c r="D50" s="1178">
        <v>6</v>
      </c>
      <c r="E50" s="1179" t="s">
        <v>46</v>
      </c>
      <c r="F50" s="651">
        <v>84.8</v>
      </c>
      <c r="G50" s="652">
        <v>33.200000000000003</v>
      </c>
      <c r="H50" s="653"/>
      <c r="I50" s="1180">
        <f>F50+0.2*G50+0.3*H50</f>
        <v>91.44</v>
      </c>
      <c r="J50" s="1198" t="s">
        <v>258</v>
      </c>
      <c r="K50" s="1181" t="s">
        <v>17434</v>
      </c>
      <c r="L50" s="1181" t="s">
        <v>17429</v>
      </c>
      <c r="M50" s="1176"/>
      <c r="N50" s="1176"/>
      <c r="O50" s="1192"/>
      <c r="P50" s="1176"/>
      <c r="Q50" s="1176"/>
      <c r="R50" s="1194">
        <v>313920</v>
      </c>
      <c r="S50" s="1184">
        <f t="shared" si="3"/>
        <v>313920</v>
      </c>
      <c r="T50" s="1184">
        <v>327000</v>
      </c>
      <c r="U50" s="1184"/>
      <c r="V50" s="1185">
        <f t="shared" si="8"/>
        <v>-4.0000000000000036E-2</v>
      </c>
      <c r="W50" s="1183">
        <f t="shared" si="9"/>
        <v>3433.0708661417325</v>
      </c>
      <c r="X50" s="1183">
        <f t="shared" si="4"/>
        <v>3433.0708661417325</v>
      </c>
      <c r="Y50" s="1183">
        <f t="shared" si="5"/>
        <v>3576.1154855643044</v>
      </c>
      <c r="Z50" s="1183"/>
      <c r="AA50" s="1186">
        <v>45493</v>
      </c>
      <c r="AB50" s="1187">
        <v>45504</v>
      </c>
      <c r="AC50" s="1188">
        <f>57784+5000</f>
        <v>62784</v>
      </c>
      <c r="AD50" s="1188"/>
      <c r="AE50" s="1187"/>
      <c r="AF50" s="1188"/>
      <c r="AG50" s="1187"/>
      <c r="AH50" s="1188">
        <f t="shared" si="6"/>
        <v>251136</v>
      </c>
      <c r="AI50" s="1176" t="s">
        <v>247</v>
      </c>
      <c r="AJ50" s="1176"/>
      <c r="AK50" s="1176"/>
      <c r="AL50" s="1176"/>
      <c r="AM50" s="1176"/>
      <c r="AN50" s="1176"/>
      <c r="AO50" s="1189" t="s">
        <v>17542</v>
      </c>
      <c r="AP50" s="1189" t="s">
        <v>265</v>
      </c>
      <c r="AQ50" s="1189"/>
      <c r="AR50" s="1189"/>
      <c r="AS50" s="1189"/>
      <c r="AT50" s="1612" t="s">
        <v>18142</v>
      </c>
      <c r="AU50" s="1189">
        <v>916676729</v>
      </c>
      <c r="AV50" s="1189"/>
      <c r="AW50" s="1189"/>
      <c r="AX50" s="1190">
        <f t="shared" si="10"/>
        <v>249631.19999999998</v>
      </c>
      <c r="AY50" s="1190">
        <v>2730</v>
      </c>
      <c r="AZ50" s="1873">
        <v>365000</v>
      </c>
    </row>
    <row r="51" spans="1:52" s="1191" customFormat="1" ht="16.5" customHeight="1">
      <c r="A51" s="1176">
        <v>50</v>
      </c>
      <c r="B51" s="648" t="s">
        <v>73</v>
      </c>
      <c r="C51" s="1177" t="s">
        <v>91</v>
      </c>
      <c r="D51" s="1178">
        <v>6</v>
      </c>
      <c r="E51" s="1179" t="s">
        <v>146</v>
      </c>
      <c r="F51" s="651">
        <v>85.8</v>
      </c>
      <c r="G51" s="652">
        <v>50.8</v>
      </c>
      <c r="H51" s="653"/>
      <c r="I51" s="1180">
        <f>F51+0.2*G51+0.3*H51</f>
        <v>95.96</v>
      </c>
      <c r="J51" s="1198" t="s">
        <v>258</v>
      </c>
      <c r="K51" s="1181" t="s">
        <v>17430</v>
      </c>
      <c r="L51" s="1181" t="s">
        <v>17429</v>
      </c>
      <c r="M51" s="1176"/>
      <c r="N51" s="1176"/>
      <c r="O51" s="1192"/>
      <c r="P51" s="1193"/>
      <c r="Q51" s="1193"/>
      <c r="R51" s="1183">
        <v>332160</v>
      </c>
      <c r="S51" s="1184">
        <f t="shared" si="3"/>
        <v>332160</v>
      </c>
      <c r="T51" s="1184">
        <v>346000</v>
      </c>
      <c r="U51" s="1184"/>
      <c r="V51" s="1185">
        <f t="shared" si="8"/>
        <v>-4.0000000000000036E-2</v>
      </c>
      <c r="W51" s="1183">
        <f t="shared" si="9"/>
        <v>3461.442267611505</v>
      </c>
      <c r="X51" s="1183">
        <f t="shared" si="4"/>
        <v>3461.442267611505</v>
      </c>
      <c r="Y51" s="1183">
        <f t="shared" si="5"/>
        <v>3605.6690287619845</v>
      </c>
      <c r="Z51" s="1183"/>
      <c r="AA51" s="1186">
        <v>45486</v>
      </c>
      <c r="AB51" s="1187">
        <v>45535</v>
      </c>
      <c r="AC51" s="1188">
        <v>66432</v>
      </c>
      <c r="AD51" s="1188"/>
      <c r="AE51" s="1187"/>
      <c r="AF51" s="1188"/>
      <c r="AG51" s="1187"/>
      <c r="AH51" s="1188">
        <v>265728</v>
      </c>
      <c r="AI51" s="1176" t="s">
        <v>17320</v>
      </c>
      <c r="AJ51" s="1176"/>
      <c r="AK51" s="1239"/>
      <c r="AL51" s="1176"/>
      <c r="AM51" s="1176"/>
      <c r="AN51" s="1189"/>
      <c r="AO51" s="1189" t="s">
        <v>17620</v>
      </c>
      <c r="AP51" s="1189" t="s">
        <v>265</v>
      </c>
      <c r="AQ51" s="1189"/>
      <c r="AR51" s="1189"/>
      <c r="AS51" s="1189"/>
      <c r="AT51" s="1612" t="s">
        <v>18201</v>
      </c>
      <c r="AU51" s="1189">
        <v>938835623</v>
      </c>
      <c r="AV51" s="1189"/>
      <c r="AW51" s="1189"/>
      <c r="AX51" s="1190">
        <f t="shared" si="10"/>
        <v>261970.8</v>
      </c>
      <c r="AY51" s="1190">
        <v>2730</v>
      </c>
      <c r="AZ51" s="1873"/>
    </row>
    <row r="52" spans="1:52" s="827" customFormat="1" ht="16.5" customHeight="1">
      <c r="A52" s="811">
        <v>51</v>
      </c>
      <c r="B52" s="110" t="s">
        <v>74</v>
      </c>
      <c r="C52" s="813" t="s">
        <v>93</v>
      </c>
      <c r="D52" s="810">
        <v>7</v>
      </c>
      <c r="E52" s="998" t="s">
        <v>17267</v>
      </c>
      <c r="F52" s="164">
        <v>177</v>
      </c>
      <c r="G52" s="165"/>
      <c r="H52" s="166">
        <v>110.7</v>
      </c>
      <c r="I52" s="814">
        <f>F52+0.3*G52+0.3*H52</f>
        <v>210.21</v>
      </c>
      <c r="J52" s="811"/>
      <c r="K52" s="828" t="s">
        <v>17427</v>
      </c>
      <c r="L52" s="811" t="s">
        <v>17428</v>
      </c>
      <c r="M52" s="811"/>
      <c r="N52" s="811"/>
      <c r="O52" s="1498"/>
      <c r="P52" s="819"/>
      <c r="Q52" s="819"/>
      <c r="R52" s="987"/>
      <c r="S52" s="988">
        <f t="shared" si="3"/>
        <v>748800</v>
      </c>
      <c r="T52" s="988">
        <v>780000</v>
      </c>
      <c r="U52" s="988">
        <v>780000</v>
      </c>
      <c r="V52" s="820">
        <f t="shared" si="8"/>
        <v>-4.0000000000000036E-2</v>
      </c>
      <c r="W52" s="821">
        <f t="shared" si="9"/>
        <v>0</v>
      </c>
      <c r="X52" s="821">
        <f t="shared" si="4"/>
        <v>3562.1521335807047</v>
      </c>
      <c r="Y52" s="821">
        <f t="shared" si="5"/>
        <v>3710.5751391465674</v>
      </c>
      <c r="Z52" s="822"/>
      <c r="AA52" s="822"/>
      <c r="AB52" s="823"/>
      <c r="AC52" s="824">
        <f>20%*R52</f>
        <v>0</v>
      </c>
      <c r="AD52" s="824"/>
      <c r="AE52" s="823"/>
      <c r="AF52" s="824"/>
      <c r="AG52" s="823"/>
      <c r="AH52" s="824">
        <f t="shared" si="6"/>
        <v>0</v>
      </c>
      <c r="AI52" s="811"/>
      <c r="AJ52" s="811"/>
      <c r="AK52" s="811"/>
      <c r="AL52" s="811"/>
      <c r="AM52" s="811"/>
      <c r="AN52" s="811"/>
      <c r="AO52" s="825"/>
      <c r="AP52" s="825"/>
      <c r="AQ52" s="825"/>
      <c r="AR52" s="825"/>
      <c r="AS52" s="825"/>
      <c r="AT52" s="825"/>
      <c r="AU52" s="825"/>
      <c r="AV52" s="825"/>
      <c r="AW52" s="825"/>
      <c r="AX52" s="826">
        <f t="shared" si="10"/>
        <v>573873.30000000005</v>
      </c>
      <c r="AY52" s="826">
        <v>2730</v>
      </c>
      <c r="AZ52" s="1874"/>
    </row>
    <row r="53" spans="1:52" s="1191" customFormat="1" ht="16.5" customHeight="1" thickBot="1">
      <c r="A53" s="1176">
        <v>52</v>
      </c>
      <c r="B53" s="648" t="s">
        <v>75</v>
      </c>
      <c r="C53" s="1177" t="s">
        <v>93</v>
      </c>
      <c r="D53" s="1178">
        <v>7</v>
      </c>
      <c r="E53" s="1179" t="s">
        <v>17362</v>
      </c>
      <c r="F53" s="651">
        <v>174.2</v>
      </c>
      <c r="G53" s="652"/>
      <c r="H53" s="670">
        <v>55.9</v>
      </c>
      <c r="I53" s="1180">
        <f>F53+0.3*G53+0.3*H53</f>
        <v>190.97</v>
      </c>
      <c r="J53" s="1198" t="s">
        <v>258</v>
      </c>
      <c r="K53" s="1181" t="s">
        <v>17427</v>
      </c>
      <c r="L53" s="1176" t="s">
        <v>17429</v>
      </c>
      <c r="M53" s="1176"/>
      <c r="N53" s="1176"/>
      <c r="O53" s="1397"/>
      <c r="P53" s="1176"/>
      <c r="Q53" s="1176"/>
      <c r="R53" s="1194">
        <v>662400</v>
      </c>
      <c r="S53" s="1184">
        <f t="shared" si="3"/>
        <v>662400</v>
      </c>
      <c r="T53" s="1184">
        <v>690000</v>
      </c>
      <c r="U53" s="1184">
        <v>690000</v>
      </c>
      <c r="V53" s="1185">
        <f t="shared" si="8"/>
        <v>-4.0000000000000036E-2</v>
      </c>
      <c r="W53" s="1183">
        <f t="shared" si="9"/>
        <v>3468.607634707022</v>
      </c>
      <c r="X53" s="1183">
        <f t="shared" si="4"/>
        <v>3468.607634707022</v>
      </c>
      <c r="Y53" s="1183">
        <f t="shared" si="5"/>
        <v>3613.1329528198148</v>
      </c>
      <c r="Z53" s="1183"/>
      <c r="AA53" s="1186">
        <v>45780</v>
      </c>
      <c r="AB53" s="1186">
        <v>45943</v>
      </c>
      <c r="AC53" s="1188">
        <f>20%*S53</f>
        <v>132480</v>
      </c>
      <c r="AD53" s="1200"/>
      <c r="AE53" s="1186"/>
      <c r="AF53" s="1200"/>
      <c r="AG53" s="1186"/>
      <c r="AH53" s="1188">
        <f>80%*S53</f>
        <v>529920</v>
      </c>
      <c r="AI53" s="1176" t="s">
        <v>17320</v>
      </c>
      <c r="AJ53" s="1176"/>
      <c r="AK53" s="1176"/>
      <c r="AL53" s="1176"/>
      <c r="AM53" s="1176"/>
      <c r="AN53" s="1176"/>
      <c r="AO53" s="1176" t="s">
        <v>18372</v>
      </c>
      <c r="AP53" s="1189"/>
      <c r="AQ53" s="1189"/>
      <c r="AR53" s="1189"/>
      <c r="AS53" s="1189"/>
      <c r="AT53" s="1189"/>
      <c r="AU53" s="1189"/>
      <c r="AV53" s="1176"/>
      <c r="AW53" s="1176"/>
      <c r="AX53" s="1190">
        <f t="shared" si="10"/>
        <v>521348.1</v>
      </c>
      <c r="AY53" s="1190">
        <v>2730</v>
      </c>
      <c r="AZ53" s="1873"/>
    </row>
    <row r="54" spans="1:52" s="1191" customFormat="1" ht="16.5" customHeight="1">
      <c r="A54" s="1176">
        <v>53</v>
      </c>
      <c r="B54" s="648" t="s">
        <v>76</v>
      </c>
      <c r="C54" s="1177" t="s">
        <v>93</v>
      </c>
      <c r="D54" s="1178">
        <v>7</v>
      </c>
      <c r="E54" s="1179" t="s">
        <v>17362</v>
      </c>
      <c r="F54" s="651">
        <v>174.2</v>
      </c>
      <c r="G54" s="652"/>
      <c r="H54" s="677">
        <v>55.9</v>
      </c>
      <c r="I54" s="1180">
        <f>F54+0.3*G54+0.3*H54</f>
        <v>190.97</v>
      </c>
      <c r="J54" s="1198" t="s">
        <v>258</v>
      </c>
      <c r="K54" s="1181" t="s">
        <v>17427</v>
      </c>
      <c r="L54" s="1176" t="s">
        <v>17429</v>
      </c>
      <c r="M54" s="1176"/>
      <c r="N54" s="1176"/>
      <c r="O54" s="1269"/>
      <c r="P54" s="1176"/>
      <c r="Q54" s="1176"/>
      <c r="R54" s="1194">
        <v>662400</v>
      </c>
      <c r="S54" s="1184">
        <f t="shared" si="3"/>
        <v>662400</v>
      </c>
      <c r="T54" s="1184">
        <v>690000</v>
      </c>
      <c r="U54" s="1184"/>
      <c r="V54" s="1185">
        <f t="shared" si="8"/>
        <v>-4.0000000000000036E-2</v>
      </c>
      <c r="W54" s="1183">
        <f t="shared" si="9"/>
        <v>3468.607634707022</v>
      </c>
      <c r="X54" s="1183">
        <f t="shared" si="4"/>
        <v>3468.607634707022</v>
      </c>
      <c r="Y54" s="1183">
        <f t="shared" si="5"/>
        <v>3613.1329528198148</v>
      </c>
      <c r="Z54" s="1183"/>
      <c r="AA54" s="1186"/>
      <c r="AB54" s="1187">
        <v>45534</v>
      </c>
      <c r="AC54" s="1188">
        <f>20%*R54</f>
        <v>132480</v>
      </c>
      <c r="AD54" s="1188"/>
      <c r="AE54" s="1187"/>
      <c r="AF54" s="1188"/>
      <c r="AG54" s="1187"/>
      <c r="AH54" s="1188">
        <f t="shared" si="6"/>
        <v>529920</v>
      </c>
      <c r="AI54" s="1176" t="s">
        <v>247</v>
      </c>
      <c r="AJ54" s="1176"/>
      <c r="AK54" s="1176"/>
      <c r="AL54" s="1176"/>
      <c r="AM54" s="1176"/>
      <c r="AN54" s="1176"/>
      <c r="AO54" s="1189" t="s">
        <v>17586</v>
      </c>
      <c r="AP54" s="1189" t="s">
        <v>265</v>
      </c>
      <c r="AQ54" s="1189"/>
      <c r="AR54" s="1189"/>
      <c r="AS54" s="1189"/>
      <c r="AT54" s="1612" t="s">
        <v>18202</v>
      </c>
      <c r="AU54" s="1189">
        <v>966930007</v>
      </c>
      <c r="AV54" s="1189"/>
      <c r="AW54" s="1189"/>
      <c r="AX54" s="1190">
        <f t="shared" si="10"/>
        <v>521348.1</v>
      </c>
      <c r="AY54" s="1190">
        <v>2730</v>
      </c>
      <c r="AZ54" s="1873"/>
    </row>
    <row r="55" spans="1:52" s="1191" customFormat="1" ht="15.75" customHeight="1">
      <c r="A55" s="1176">
        <v>54</v>
      </c>
      <c r="B55" s="648" t="s">
        <v>77</v>
      </c>
      <c r="C55" s="1177" t="s">
        <v>93</v>
      </c>
      <c r="D55" s="1178">
        <v>7</v>
      </c>
      <c r="E55" s="1179" t="s">
        <v>17270</v>
      </c>
      <c r="F55" s="651">
        <v>177</v>
      </c>
      <c r="G55" s="652"/>
      <c r="H55" s="653">
        <v>110.7</v>
      </c>
      <c r="I55" s="1180">
        <f>F55+0.3*G55+0.3*H55</f>
        <v>210.21</v>
      </c>
      <c r="J55" s="1198" t="s">
        <v>258</v>
      </c>
      <c r="K55" s="1181" t="s">
        <v>17427</v>
      </c>
      <c r="L55" s="1176" t="s">
        <v>17428</v>
      </c>
      <c r="M55" s="1176"/>
      <c r="N55" s="1176"/>
      <c r="O55" s="1205"/>
      <c r="P55" s="1193"/>
      <c r="Q55" s="1193"/>
      <c r="R55" s="1194">
        <v>763200</v>
      </c>
      <c r="S55" s="1184">
        <f t="shared" si="3"/>
        <v>763200</v>
      </c>
      <c r="T55" s="1184">
        <v>795000</v>
      </c>
      <c r="U55" s="1184">
        <v>795000</v>
      </c>
      <c r="V55" s="1185">
        <f t="shared" si="8"/>
        <v>-4.0000000000000036E-2</v>
      </c>
      <c r="W55" s="1183">
        <f t="shared" si="9"/>
        <v>3630.6550592264875</v>
      </c>
      <c r="X55" s="1183">
        <f t="shared" si="4"/>
        <v>3630.6550592264875</v>
      </c>
      <c r="Y55" s="1183">
        <f t="shared" si="5"/>
        <v>3781.9323533609245</v>
      </c>
      <c r="Z55" s="1185"/>
      <c r="AA55" s="1186">
        <v>45608</v>
      </c>
      <c r="AB55" s="1187">
        <v>45574</v>
      </c>
      <c r="AC55" s="1188">
        <f>20%*R55+5000</f>
        <v>157640</v>
      </c>
      <c r="AD55" s="1188"/>
      <c r="AE55" s="1187"/>
      <c r="AF55" s="1188"/>
      <c r="AG55" s="1187"/>
      <c r="AH55" s="1188">
        <f>80%*R55-5000</f>
        <v>605560</v>
      </c>
      <c r="AI55" s="1176" t="s">
        <v>17320</v>
      </c>
      <c r="AJ55" s="1176"/>
      <c r="AK55" s="1176"/>
      <c r="AL55" s="1176"/>
      <c r="AM55" s="1176"/>
      <c r="AN55" s="1176"/>
      <c r="AO55" s="1189" t="s">
        <v>17625</v>
      </c>
      <c r="AP55" s="1189" t="s">
        <v>17421</v>
      </c>
      <c r="AQ55" s="1189"/>
      <c r="AR55" s="1189"/>
      <c r="AS55" s="1189"/>
      <c r="AT55" s="1612" t="s">
        <v>18203</v>
      </c>
      <c r="AU55" s="1189">
        <v>967893230</v>
      </c>
      <c r="AV55" s="1189"/>
      <c r="AW55" s="1189"/>
      <c r="AX55" s="1190">
        <f t="shared" si="10"/>
        <v>573873.30000000005</v>
      </c>
      <c r="AY55" s="1190">
        <v>2730</v>
      </c>
      <c r="AZ55" s="1873"/>
    </row>
    <row r="56" spans="1:52" ht="16.5" customHeight="1">
      <c r="F56" s="830">
        <f>SUM(F2:F55)</f>
        <v>5600.7000000000025</v>
      </c>
      <c r="I56" s="831">
        <f>SUM(I2:I55)</f>
        <v>6149.2800000000016</v>
      </c>
      <c r="K56" s="829"/>
      <c r="L56" s="829"/>
      <c r="M56" s="832"/>
      <c r="N56" s="829"/>
      <c r="O56" s="832"/>
      <c r="S56" s="833">
        <f>SUM(S2:S55)</f>
        <v>20125440</v>
      </c>
      <c r="Z56" s="834"/>
      <c r="AC56" s="835"/>
      <c r="AE56" s="834"/>
      <c r="AF56" s="835"/>
      <c r="AG56" s="834"/>
      <c r="AH56" s="835"/>
      <c r="AI56" s="829"/>
    </row>
    <row r="57" spans="1:52" ht="16.5" customHeight="1" thickBot="1">
      <c r="K57" s="829"/>
      <c r="L57" s="829"/>
      <c r="M57" s="832"/>
      <c r="N57" s="829"/>
      <c r="O57" s="832"/>
      <c r="R57" s="832"/>
      <c r="T57" s="832"/>
      <c r="U57" s="832"/>
      <c r="V57" s="832"/>
    </row>
    <row r="58" spans="1:52" ht="16.5" customHeight="1">
      <c r="A58" s="1927"/>
      <c r="B58" s="1928"/>
      <c r="C58" s="836" t="s">
        <v>139</v>
      </c>
      <c r="D58" s="836" t="s">
        <v>140</v>
      </c>
      <c r="E58" s="837" t="s">
        <v>17</v>
      </c>
      <c r="F58" s="838"/>
      <c r="G58" s="1929" t="s">
        <v>17394</v>
      </c>
      <c r="H58" s="1930"/>
      <c r="I58" s="853"/>
      <c r="J58" s="1926" t="s">
        <v>17315</v>
      </c>
      <c r="K58" s="1926"/>
      <c r="L58" s="1926"/>
      <c r="M58" s="1926"/>
      <c r="N58" s="1926"/>
      <c r="O58" s="1926"/>
      <c r="P58" s="1926"/>
      <c r="Q58" s="1926"/>
      <c r="R58" s="1926"/>
      <c r="S58" s="1926"/>
      <c r="T58" s="1926"/>
      <c r="U58" s="1926"/>
      <c r="V58" s="1245"/>
      <c r="W58" s="832"/>
      <c r="AA58" s="829"/>
      <c r="AD58" s="834"/>
      <c r="AF58" s="835"/>
      <c r="AG58" s="834"/>
      <c r="AH58" s="835"/>
      <c r="AI58" s="834"/>
      <c r="AJ58" s="835"/>
    </row>
    <row r="59" spans="1:52" ht="16.5" customHeight="1">
      <c r="A59" s="1931" t="s">
        <v>258</v>
      </c>
      <c r="B59" s="1932"/>
      <c r="C59" s="336">
        <f>COUNTIF(J2:J55,A59)</f>
        <v>53</v>
      </c>
      <c r="D59" s="839">
        <f>SUMIF(J2:J55,A59,R2:R55)</f>
        <v>19448392</v>
      </c>
      <c r="E59" s="840">
        <f>AVERAGEIF(J2:J55,A59,W2:W55)</f>
        <v>3282.694147342464</v>
      </c>
      <c r="F59" s="838"/>
      <c r="G59" s="841">
        <v>2024</v>
      </c>
      <c r="H59" s="842">
        <f>COUNTIFS(AB2:AB55,"&gt;="&amp;DATE(2024,1,1),AB2:AB55,"&lt;="&amp;DATE(2024,12,31))</f>
        <v>46</v>
      </c>
      <c r="I59" s="853"/>
      <c r="J59" s="828" t="s">
        <v>17303</v>
      </c>
      <c r="K59" s="828" t="s">
        <v>17304</v>
      </c>
      <c r="L59" s="992" t="s">
        <v>17305</v>
      </c>
      <c r="M59" s="993" t="s">
        <v>17306</v>
      </c>
      <c r="N59" s="993" t="s">
        <v>17307</v>
      </c>
      <c r="O59" s="993" t="s">
        <v>17308</v>
      </c>
      <c r="P59" s="994" t="s">
        <v>17309</v>
      </c>
      <c r="Q59" s="994" t="s">
        <v>17310</v>
      </c>
      <c r="R59" s="994" t="s">
        <v>17311</v>
      </c>
      <c r="S59" s="994" t="s">
        <v>17312</v>
      </c>
      <c r="T59" s="994" t="s">
        <v>17313</v>
      </c>
      <c r="U59" s="994" t="s">
        <v>17314</v>
      </c>
      <c r="V59" s="1245"/>
      <c r="W59" s="832"/>
      <c r="AA59" s="829"/>
      <c r="AD59" s="834"/>
      <c r="AF59" s="835"/>
      <c r="AG59" s="834"/>
      <c r="AH59" s="835"/>
      <c r="AI59" s="834"/>
      <c r="AJ59" s="835"/>
    </row>
    <row r="60" spans="1:52" ht="16.5" customHeight="1">
      <c r="A60" s="1933" t="s">
        <v>102</v>
      </c>
      <c r="B60" s="1934"/>
      <c r="C60" s="843">
        <f>COUNTIF(J2:J55,A60)</f>
        <v>0</v>
      </c>
      <c r="D60" s="844">
        <f>SUMIF(J2:J55,A60,S2:S55)</f>
        <v>0</v>
      </c>
      <c r="E60" s="845" t="e">
        <f>AVERAGEIF(J2:J55,A60,X2:X55)</f>
        <v>#DIV/0!</v>
      </c>
      <c r="F60" s="838"/>
      <c r="G60" s="841">
        <v>2025</v>
      </c>
      <c r="H60" s="842">
        <f>COUNTIFS(AA2:AA55,"&gt;="&amp;DATE(2025,1,1),AA2:AA55,"&lt;="&amp;DATE(2025,12,31))</f>
        <v>7</v>
      </c>
      <c r="I60" s="853"/>
      <c r="J60" s="995">
        <f>COUNTIFS(AB2:AB55,"&gt;="&amp;DATE(2024,1,1),AB2:AB55,"&lt;="&amp;DATE(2024,1,31))</f>
        <v>0</v>
      </c>
      <c r="K60" s="996">
        <f>COUNTIFS(AB2:AB55,"&gt;="&amp;DATE(2024,2,1),AB2:AB55,"&lt;="&amp;DATE(2024,2,29))</f>
        <v>0</v>
      </c>
      <c r="L60" s="996">
        <f>COUNTIFS(AB2:AB55,"&gt;="&amp;DATE(2024,3,1),AB2:AB55,"&lt;="&amp;DATE(2024,3,31))</f>
        <v>0</v>
      </c>
      <c r="M60" s="996">
        <f>COUNTIFS(AB2:AB55,"&gt;="&amp;DATE(2024,4,1),AB2:AB55,"&lt;="&amp;DATE(2024,4,31))</f>
        <v>0</v>
      </c>
      <c r="N60" s="996">
        <f>COUNTIFS(AB2:AB55,"&gt;="&amp;DATE(2024,5,1),AB2:AB55,"&lt;="&amp;DATE(2024,5,31))</f>
        <v>0</v>
      </c>
      <c r="O60" s="996">
        <f>COUNTIFS(AB2:AB55,"&gt;="&amp;DATE(2024,6,1),AB2:AB55,"&lt;="&amp;DATE(2024,6,31))</f>
        <v>0</v>
      </c>
      <c r="P60" s="996">
        <f>COUNTIFS(AB2:AB55,"&gt;="&amp;DATE(2024,7,1),AB2:AB55,"&lt;="&amp;DATE(2024,7,31))</f>
        <v>10</v>
      </c>
      <c r="Q60" s="996">
        <f>COUNTIFS(AB2:AB55,"&gt;="&amp;DATE(2024,8,1),AB2:AB55,"&lt;="&amp;DATE(2024,8,31))</f>
        <v>22</v>
      </c>
      <c r="R60" s="996">
        <f>COUNTIFS(AB2:AB55,"&gt;="&amp;DATE(2024,9,1),AB2:AB55,"&lt;="&amp;DATE(2024,9,31))</f>
        <v>3</v>
      </c>
      <c r="S60" s="996">
        <f>COUNTIFS(AB2:AB55,"&gt;="&amp;DATE(2024,10,1),AB2:AB55,"&lt;="&amp;DATE(2024,10,31))</f>
        <v>6</v>
      </c>
      <c r="T60" s="996">
        <f>COUNTIFS(AB2:AB55,"&gt;="&amp;DATE(2024,11,1),AB2:AB55,"&lt;="&amp;DATE(2024,11,31))</f>
        <v>4</v>
      </c>
      <c r="U60" s="996">
        <f>COUNTIFS(AB2:AB55,"&gt;="&amp;DATE(2024,12,1),AB2:AB55,"&lt;="&amp;DATE(2024,12,31))</f>
        <v>1</v>
      </c>
      <c r="V60" s="1245"/>
      <c r="W60" s="832"/>
      <c r="AA60" s="829"/>
      <c r="AD60" s="834"/>
      <c r="AF60" s="835"/>
      <c r="AG60" s="834"/>
      <c r="AH60" s="835"/>
      <c r="AI60" s="834"/>
      <c r="AJ60" s="835"/>
    </row>
    <row r="61" spans="1:52" ht="16.5" customHeight="1" thickBot="1">
      <c r="A61" s="1935" t="s">
        <v>138</v>
      </c>
      <c r="B61" s="1936"/>
      <c r="C61" s="812">
        <f>COUNTIF(J2:J55,"")</f>
        <v>1</v>
      </c>
      <c r="D61" s="846">
        <f>SUMIF(J2:J55,"",S2:S55)</f>
        <v>748800</v>
      </c>
      <c r="E61" s="847">
        <f>AVERAGEIF(J2:J55,"",X2:X55)</f>
        <v>3562.1521335807047</v>
      </c>
      <c r="F61" s="838"/>
      <c r="G61" s="848">
        <v>2026</v>
      </c>
      <c r="H61" s="849">
        <f>COUNTIFS(AA2:AA55,"&gt;="&amp;DATE(2026,1,1),AA2:AA55,"&lt;="&amp;DATE(2026,12,31))</f>
        <v>0</v>
      </c>
      <c r="I61" s="853"/>
      <c r="S61" s="832"/>
      <c r="W61" s="832"/>
      <c r="AA61" s="829"/>
      <c r="AD61" s="834"/>
      <c r="AF61" s="835"/>
      <c r="AG61" s="834"/>
      <c r="AH61" s="835"/>
      <c r="AI61" s="834"/>
      <c r="AJ61" s="835"/>
    </row>
    <row r="62" spans="1:52" ht="16.5" customHeight="1" thickBot="1">
      <c r="A62" s="1950" t="s">
        <v>210</v>
      </c>
      <c r="B62" s="1951"/>
      <c r="C62" s="850">
        <f>COUNTIF(J2:J55,A62)</f>
        <v>0</v>
      </c>
      <c r="D62" s="851">
        <f>SUMIF(J2:J55,A62,R2:R55)</f>
        <v>0</v>
      </c>
      <c r="E62" s="852" t="e">
        <f>AVERAGEIF(J2:J55,A62,W2:W55)</f>
        <v>#DIV/0!</v>
      </c>
      <c r="F62" s="838"/>
      <c r="G62" s="838"/>
      <c r="J62" s="1926" t="s">
        <v>17817</v>
      </c>
      <c r="K62" s="1926"/>
      <c r="L62" s="1926"/>
      <c r="M62" s="1926"/>
      <c r="N62" s="1926"/>
      <c r="O62" s="1926"/>
      <c r="P62" s="1926"/>
      <c r="Q62" s="1926"/>
      <c r="R62" s="1926"/>
      <c r="S62" s="1926"/>
      <c r="T62" s="1926"/>
      <c r="U62" s="1926"/>
      <c r="W62" s="832"/>
      <c r="AA62" s="829"/>
      <c r="AD62" s="834"/>
      <c r="AF62" s="835"/>
      <c r="AG62" s="834"/>
      <c r="AH62" s="835"/>
      <c r="AI62" s="834"/>
      <c r="AJ62" s="835"/>
    </row>
    <row r="63" spans="1:52" s="827" customFormat="1" ht="21.75" customHeight="1" thickBot="1">
      <c r="A63" s="1952" t="s">
        <v>269</v>
      </c>
      <c r="B63" s="1953"/>
      <c r="C63" s="989">
        <f>SUBTOTAL(9,C59:C62)</f>
        <v>54</v>
      </c>
      <c r="D63" s="990">
        <f>SUBTOTAL(9,D59:D62)</f>
        <v>20197192</v>
      </c>
      <c r="E63" s="991">
        <f>D63/I56</f>
        <v>3284.480784742278</v>
      </c>
      <c r="F63" s="853"/>
      <c r="G63" s="854" t="s">
        <v>544</v>
      </c>
      <c r="H63" s="855">
        <f>(C62+C59)/C63</f>
        <v>0.98148148148148151</v>
      </c>
      <c r="I63" s="1461"/>
      <c r="J63" s="828" t="s">
        <v>17303</v>
      </c>
      <c r="K63" s="828" t="s">
        <v>17304</v>
      </c>
      <c r="L63" s="992" t="s">
        <v>17305</v>
      </c>
      <c r="M63" s="993" t="s">
        <v>17306</v>
      </c>
      <c r="N63" s="993" t="s">
        <v>17307</v>
      </c>
      <c r="O63" s="993" t="s">
        <v>17308</v>
      </c>
      <c r="P63" s="994" t="s">
        <v>17309</v>
      </c>
      <c r="Q63" s="994" t="s">
        <v>17310</v>
      </c>
      <c r="R63" s="994" t="s">
        <v>17311</v>
      </c>
      <c r="S63" s="994" t="s">
        <v>17312</v>
      </c>
      <c r="T63" s="994" t="s">
        <v>17313</v>
      </c>
      <c r="U63" s="994" t="s">
        <v>17314</v>
      </c>
      <c r="V63" s="829"/>
      <c r="W63" s="829"/>
      <c r="X63" s="829"/>
      <c r="Y63" s="829"/>
      <c r="Z63" s="829"/>
      <c r="AA63" s="829"/>
      <c r="AB63" s="834"/>
      <c r="AC63" s="834"/>
      <c r="AD63" s="834"/>
      <c r="AE63" s="835"/>
      <c r="AF63" s="835"/>
      <c r="AG63" s="834"/>
      <c r="AH63" s="835"/>
      <c r="AI63" s="834"/>
      <c r="AJ63" s="835"/>
      <c r="AK63" s="829"/>
      <c r="AL63" s="829"/>
      <c r="AM63" s="829"/>
      <c r="AN63" s="829"/>
      <c r="AO63" s="829"/>
      <c r="AP63" s="829"/>
      <c r="AQ63" s="829"/>
      <c r="AR63" s="829"/>
      <c r="AS63" s="829"/>
      <c r="AT63" s="829"/>
      <c r="AU63" s="829"/>
      <c r="AV63" s="829"/>
      <c r="AW63" s="829"/>
      <c r="AX63" s="829"/>
      <c r="AY63" s="829"/>
      <c r="AZ63" s="1875"/>
    </row>
    <row r="64" spans="1:52" ht="16.5" customHeight="1" thickBot="1">
      <c r="A64" s="838"/>
      <c r="B64" s="838"/>
      <c r="C64" s="838"/>
      <c r="D64" s="838"/>
      <c r="E64" s="838"/>
      <c r="F64" s="838"/>
      <c r="G64" s="838"/>
      <c r="J64" s="995">
        <f>COUNTIFS(AB2:AB55,"&gt;="&amp;DATE(2025,1,1),AB2:AB55,"&lt;="&amp;DATE(2025,1,31))</f>
        <v>0</v>
      </c>
      <c r="K64" s="996">
        <f>COUNTIFS(AB2:AB55,"&gt;="&amp;DATE(2025,2,1),AB2:AB55,"&lt;="&amp;DATE(2025,2,28))</f>
        <v>0</v>
      </c>
      <c r="L64" s="996">
        <f>COUNTIFS(AB2:AB55,"&gt;="&amp;DATE(2025,3,1),AB2:AB55,"&lt;="&amp;DATE(2025,3,31))</f>
        <v>2</v>
      </c>
      <c r="M64" s="996">
        <f>COUNTIFS(AB2:AB55,"&gt;="&amp;DATE(2025,4,1),AB2:AB55,"&lt;="&amp;DATE(2025,4,31))</f>
        <v>0</v>
      </c>
      <c r="N64" s="996">
        <f>COUNTIFS(AB2:AB55,"&gt;="&amp;DATE(2025,5,1),AB2:AB55,"&lt;="&amp;DATE(2025,5,31))</f>
        <v>0</v>
      </c>
      <c r="O64" s="996">
        <f>COUNTIFS(AB2:AB55,"&gt;="&amp;DATE(2025,6,1),AB2:AB55,"&lt;="&amp;DATE(2025,6,31))</f>
        <v>0</v>
      </c>
      <c r="P64" s="996">
        <f>COUNTIFS(AB2:AB55,"&gt;="&amp;DATE(2025,7,1),AB2:AB55,"&lt;="&amp;DATE(2025,7,31))</f>
        <v>0</v>
      </c>
      <c r="Q64" s="996">
        <f>COUNTIFS(AB2:AB55,"&gt;="&amp;DATE(2025,8,1),AB2:AB55,"&lt;="&amp;DATE(2025,8,31))</f>
        <v>2</v>
      </c>
      <c r="R64" s="996">
        <f>COUNTIFS(AB2:AB55,"&gt;="&amp;DATE(2025,9,1),AB2:AB55,"&lt;="&amp;DATE(2025,9,31))</f>
        <v>2</v>
      </c>
      <c r="S64" s="996">
        <f>COUNTIFS(AB2:AB55,"&gt;="&amp;DATE(2025,10,1),AB2:AB55,"&lt;="&amp;DATE(2025,10,31))</f>
        <v>1</v>
      </c>
      <c r="T64" s="996">
        <f>COUNTIFS(AB2:AB55,"&gt;="&amp;DATE(2025,11,1),AB2:AB55,"&lt;="&amp;DATE(2025,11,31))</f>
        <v>0</v>
      </c>
      <c r="U64" s="996">
        <f>COUNTIFS(AB2:AB55,"&gt;="&amp;DATE(2025,12,1),AB2:AB55,"&lt;="&amp;DATE(2025,12,31))</f>
        <v>0</v>
      </c>
      <c r="AB64" s="829"/>
    </row>
    <row r="65" spans="1:35" ht="16.5" customHeight="1" thickBot="1">
      <c r="A65" s="1954" t="s">
        <v>139</v>
      </c>
      <c r="B65" s="1955"/>
      <c r="C65" s="836" t="s">
        <v>90</v>
      </c>
      <c r="D65" s="836" t="s">
        <v>91</v>
      </c>
      <c r="E65" s="836" t="s">
        <v>89</v>
      </c>
      <c r="F65" s="856" t="s">
        <v>93</v>
      </c>
      <c r="G65" s="837" t="s">
        <v>141</v>
      </c>
      <c r="S65" s="832"/>
      <c r="Z65" s="834"/>
      <c r="AA65" s="829"/>
      <c r="AC65" s="835"/>
      <c r="AE65" s="834"/>
      <c r="AF65" s="835"/>
      <c r="AG65" s="834"/>
      <c r="AH65" s="835"/>
      <c r="AI65" s="829"/>
    </row>
    <row r="66" spans="1:35" ht="16.5" customHeight="1" thickBot="1">
      <c r="A66" s="1931" t="s">
        <v>258</v>
      </c>
      <c r="B66" s="1932"/>
      <c r="C66" s="336">
        <f>COUNTIFS(J2:J55,A66,C2:C55,C65)</f>
        <v>9</v>
      </c>
      <c r="D66" s="336">
        <f>COUNTIFS(J2:J55,A66,C2:C55,D65)</f>
        <v>20</v>
      </c>
      <c r="E66" s="336">
        <f>COUNTIFS(J2:J55,A66,C2:C55,E65)</f>
        <v>21</v>
      </c>
      <c r="F66" s="336">
        <f>COUNTIFS(J2:J55,A66,C2:C55,F65)</f>
        <v>3</v>
      </c>
      <c r="G66" s="857">
        <f>SUM(C66:F66)</f>
        <v>53</v>
      </c>
      <c r="S66" s="832"/>
      <c r="Z66" s="834"/>
      <c r="AA66" s="829"/>
      <c r="AC66" s="835"/>
      <c r="AE66" s="834"/>
      <c r="AF66" s="835"/>
      <c r="AG66" s="834"/>
      <c r="AH66" s="835"/>
      <c r="AI66" s="829"/>
    </row>
    <row r="67" spans="1:35" ht="16.5" customHeight="1" thickBot="1">
      <c r="A67" s="1933" t="s">
        <v>102</v>
      </c>
      <c r="B67" s="1956"/>
      <c r="C67" s="843">
        <f>COUNTIFS(J2:J55,A67,C2:C55,C65)</f>
        <v>0</v>
      </c>
      <c r="D67" s="843">
        <f>COUNTIFS(J2:J55,A67,C2:C55,D65)</f>
        <v>0</v>
      </c>
      <c r="E67" s="843">
        <f>COUNTIFS(J2:J55,A67,C2:C55,E65)</f>
        <v>0</v>
      </c>
      <c r="F67" s="858">
        <f>COUNTIFS(J2:J55,A67,C2:C55,F65)</f>
        <v>0</v>
      </c>
      <c r="G67" s="859">
        <f>SUM(C67:F67)</f>
        <v>0</v>
      </c>
      <c r="J67" s="1890" t="s">
        <v>17437</v>
      </c>
      <c r="K67" s="1891"/>
      <c r="L67" s="1891"/>
      <c r="M67" s="1892"/>
      <c r="N67" s="1"/>
      <c r="O67" s="1890" t="s">
        <v>17441</v>
      </c>
      <c r="P67" s="1891"/>
      <c r="Q67" s="1891"/>
      <c r="R67" s="1892"/>
      <c r="S67" s="832"/>
      <c r="W67" s="832"/>
      <c r="AB67" s="829"/>
    </row>
    <row r="68" spans="1:35" ht="16.5" customHeight="1" thickBot="1">
      <c r="A68" s="1947" t="s">
        <v>138</v>
      </c>
      <c r="B68" s="1949"/>
      <c r="C68" s="812">
        <f>COUNTIFS(J2:J55,"",C2:C55,C65)</f>
        <v>0</v>
      </c>
      <c r="D68" s="812">
        <f>COUNTIFS(J2:J55,"",C2:C55,D65)</f>
        <v>0</v>
      </c>
      <c r="E68" s="812">
        <f>COUNTIFS(J2:J55,"",C2:C55,E65)</f>
        <v>0</v>
      </c>
      <c r="F68" s="860">
        <f>COUNTIFS(J2:J55,"",C2:C55,F65)</f>
        <v>1</v>
      </c>
      <c r="G68" s="861">
        <f>SUM(C68:F68)</f>
        <v>1</v>
      </c>
      <c r="J68" s="1010"/>
      <c r="K68" s="1011" t="s">
        <v>17438</v>
      </c>
      <c r="L68" s="1011">
        <v>2024</v>
      </c>
      <c r="M68" s="1011" t="s">
        <v>17444</v>
      </c>
      <c r="N68" s="1"/>
      <c r="O68" s="1010"/>
      <c r="P68" s="1011" t="s">
        <v>17438</v>
      </c>
      <c r="Q68" s="1011">
        <v>2024</v>
      </c>
      <c r="R68" s="1013" t="s">
        <v>17444</v>
      </c>
      <c r="W68" s="832"/>
      <c r="AB68" s="829"/>
    </row>
    <row r="69" spans="1:35" ht="16.5" customHeight="1" thickBot="1">
      <c r="A69" s="1939" t="s">
        <v>210</v>
      </c>
      <c r="B69" s="1940"/>
      <c r="C69" s="850">
        <f>COUNTIFS(J2:J55,A69,C2:C55,C65)</f>
        <v>0</v>
      </c>
      <c r="D69" s="850">
        <f>COUNTIFS(J2:J55,A69,C2:C55,D65)</f>
        <v>0</v>
      </c>
      <c r="E69" s="850">
        <f>COUNTIFS(J2:J55,A69,C2:C55,E65)</f>
        <v>0</v>
      </c>
      <c r="F69" s="862">
        <f>COUNTIFS(J2:J55,A69,C2:C55,F65)</f>
        <v>0</v>
      </c>
      <c r="G69" s="863">
        <f>SUM(C69:F69)</f>
        <v>0</v>
      </c>
      <c r="J69" s="31" t="s">
        <v>17439</v>
      </c>
      <c r="K69" s="129">
        <f>COUNTIFS(J2:J55,J4,AI2:AI55,J69)</f>
        <v>25</v>
      </c>
      <c r="L69" s="129">
        <f>COUNTIFS(AB2:AB55,"&gt;="&amp;DATE(2024,1,1),AB2:AB55,"&lt;="&amp;DATE(2024,12,31),AI2:AI55,J69)</f>
        <v>20</v>
      </c>
      <c r="M69" s="343">
        <f>K69/(+K69+K70+K71)</f>
        <v>0.47169811320754718</v>
      </c>
      <c r="N69" s="1"/>
      <c r="O69" s="34" t="s">
        <v>265</v>
      </c>
      <c r="P69" s="129">
        <f>COUNTIFS($J$2:$J$55,J4,$AP$2:$AP$55,O69)</f>
        <v>50</v>
      </c>
      <c r="Q69" s="129">
        <f>COUNTIFS(AB2:AB55,"&gt;="&amp;DATE(2024,1,1),AB2:AB55,"&lt;="&amp;DATE(2024,12,31),$AP$2:$AP$55,O69)</f>
        <v>44</v>
      </c>
      <c r="R69" s="1014">
        <f>P69/(+P69+P70+P71)</f>
        <v>0.98039215686274506</v>
      </c>
      <c r="W69" s="832"/>
      <c r="AB69" s="829"/>
    </row>
    <row r="70" spans="1:35" ht="16.5" customHeight="1" thickBot="1">
      <c r="A70" s="1941" t="s">
        <v>141</v>
      </c>
      <c r="B70" s="1942"/>
      <c r="C70" s="864">
        <f>SUM(C66:C69)</f>
        <v>9</v>
      </c>
      <c r="D70" s="864">
        <f>SUM(D66:D69)</f>
        <v>20</v>
      </c>
      <c r="E70" s="864">
        <f>SUM(E66:E69)</f>
        <v>21</v>
      </c>
      <c r="F70" s="864">
        <f>SUM(F66:F69)</f>
        <v>4</v>
      </c>
      <c r="G70" s="865">
        <f>SUM(G66:G69)</f>
        <v>54</v>
      </c>
      <c r="J70" s="31" t="s">
        <v>150</v>
      </c>
      <c r="K70" s="129">
        <f>COUNTIFS(J2:J55,J4,AI2:AI55,J70)</f>
        <v>28</v>
      </c>
      <c r="L70" s="129">
        <f>COUNTIFS(AB2:AB55,"&gt;="&amp;DATE(2024,1,1),AB2:AB55,"&lt;="&amp;DATE(2024,12,31),AI2:AI55,J70)</f>
        <v>26</v>
      </c>
      <c r="M70" s="343">
        <f>K70/(+K69+K70+K71)</f>
        <v>0.52830188679245282</v>
      </c>
      <c r="N70" s="1"/>
      <c r="O70" s="34" t="s">
        <v>517</v>
      </c>
      <c r="P70" s="129">
        <f>COUNTIFS($J$2:$J$55,J55,$AP$2:$AP$55,O70)</f>
        <v>0</v>
      </c>
      <c r="Q70" s="129">
        <f>COUNTIFS(AB2:AB55,"&gt;="&amp;DATE(2024,1,1),AB2:AB55,"&lt;="&amp;DATE(2024,12,31),$AP$2:$AP$55,O70)</f>
        <v>0</v>
      </c>
      <c r="R70" s="1014">
        <f>P70/(+P69+P70+P71)</f>
        <v>0</v>
      </c>
      <c r="W70" s="832"/>
      <c r="AB70" s="829"/>
    </row>
    <row r="71" spans="1:35" ht="16.5" customHeight="1">
      <c r="A71" s="838"/>
      <c r="B71" s="838"/>
      <c r="C71" s="838"/>
      <c r="D71" s="838"/>
      <c r="E71" s="838"/>
      <c r="F71" s="838"/>
      <c r="G71" s="838"/>
      <c r="J71" s="665" t="s">
        <v>17440</v>
      </c>
      <c r="K71" s="129">
        <f>COUNTIFS(J2:J55,J4,AI2:AI55,J71)</f>
        <v>0</v>
      </c>
      <c r="L71" s="129">
        <f>COUNTIFS(AB2:AB55,"&gt;="&amp;DATE(2024,1,1),AB2:AB55,"&lt;="&amp;DATE(2024,12,31),AI2:AI55,J71)</f>
        <v>0</v>
      </c>
      <c r="M71" s="343">
        <f>K71/(+K69+K70+K71)</f>
        <v>0</v>
      </c>
      <c r="N71" s="1"/>
      <c r="O71" s="34" t="s">
        <v>565</v>
      </c>
      <c r="P71" s="129">
        <f>COUNTIFS($J$2:$J$55,J54,$AP$2:$AP$55,O71)</f>
        <v>1</v>
      </c>
      <c r="Q71" s="129">
        <f>COUNTIFS(AB2:AB55,"&gt;="&amp;DATE(2024,1,1),AB2:AB55,"&lt;="&amp;DATE(2024,12,31),$AP$2:$AP$55,O71)</f>
        <v>1</v>
      </c>
      <c r="R71" s="1014">
        <f>P71/(+P69+P70+P71)</f>
        <v>1.9607843137254902E-2</v>
      </c>
      <c r="W71" s="832"/>
      <c r="AB71" s="829"/>
    </row>
    <row r="72" spans="1:35" ht="16.5" customHeight="1" thickBot="1">
      <c r="A72" s="838"/>
      <c r="B72" s="838"/>
      <c r="C72" s="838"/>
      <c r="D72" s="838"/>
      <c r="E72" s="838"/>
      <c r="F72" s="838"/>
      <c r="O72" s="34" t="s">
        <v>17421</v>
      </c>
      <c r="P72" s="129">
        <f>COUNTIFS($J$2:$J$55,J55,$AP$2:$AP$55,O72)</f>
        <v>1</v>
      </c>
      <c r="Q72" s="129">
        <f>COUNTIFS(AB3:AB56,"&gt;="&amp;DATE(2024,1,1),AB3:AB56,"&lt;="&amp;DATE(2024,12,31),$AP$2:$AP$55,O72)</f>
        <v>0</v>
      </c>
      <c r="R72" s="1014">
        <f>P72/(SUM(P69:P72))</f>
        <v>1.9230769230769232E-2</v>
      </c>
      <c r="X72" s="834"/>
      <c r="Y72" s="835"/>
      <c r="Z72" s="835"/>
      <c r="AB72" s="835"/>
    </row>
    <row r="73" spans="1:35" ht="16.5" customHeight="1">
      <c r="A73" s="1943" t="s">
        <v>142</v>
      </c>
      <c r="B73" s="1944"/>
      <c r="C73" s="836" t="s">
        <v>90</v>
      </c>
      <c r="D73" s="836" t="s">
        <v>91</v>
      </c>
      <c r="E73" s="836" t="s">
        <v>89</v>
      </c>
      <c r="F73" s="856" t="s">
        <v>93</v>
      </c>
      <c r="G73" s="837" t="s">
        <v>141</v>
      </c>
      <c r="X73" s="834"/>
      <c r="Y73" s="835"/>
      <c r="Z73" s="835"/>
      <c r="AB73" s="835"/>
    </row>
    <row r="74" spans="1:35" ht="16.5" customHeight="1">
      <c r="A74" s="1931" t="s">
        <v>258</v>
      </c>
      <c r="B74" s="1932"/>
      <c r="C74" s="839">
        <f>AVERAGEIFS(W2:W55,J2:J55,A74,C2:C55,C73)</f>
        <v>3344.1114627701895</v>
      </c>
      <c r="D74" s="839">
        <f>AVERAGEIFS(W2:W55,J2:J55,A74,C2:C55,D73)</f>
        <v>3352.355023935198</v>
      </c>
      <c r="E74" s="839">
        <f>AVERAGEIFS(W2:W55,J2:J55,A74,C2:C55,E73)</f>
        <v>3155.7531350892559</v>
      </c>
      <c r="F74" s="866">
        <f>AVERAGEIFS(W2:W55,J2:J55,A74,C2:C55,F73)</f>
        <v>3522.6234428801777</v>
      </c>
      <c r="G74" s="840">
        <f>AVERAGEIF(J2:J55,A74,W2:W55)</f>
        <v>3282.694147342464</v>
      </c>
      <c r="X74" s="834"/>
      <c r="Y74" s="835"/>
      <c r="Z74" s="835"/>
      <c r="AB74" s="835"/>
    </row>
    <row r="75" spans="1:35" ht="16.5" customHeight="1">
      <c r="A75" s="1933" t="s">
        <v>102</v>
      </c>
      <c r="B75" s="1934"/>
      <c r="C75" s="844" t="e">
        <f>AVERAGEIFS(X2:X55,J2:J55,A75,C2:C55,C73)</f>
        <v>#DIV/0!</v>
      </c>
      <c r="D75" s="844" t="e">
        <f>AVERAGEIFS(X2:X55,J2:J55,A75,C2:C55,D73)</f>
        <v>#DIV/0!</v>
      </c>
      <c r="E75" s="844" t="e">
        <f>AVERAGEIFS(X2:X55,J2:J55,A75,C2:C55,E73)</f>
        <v>#DIV/0!</v>
      </c>
      <c r="F75" s="858" t="e">
        <f>AVERAGEIFS(X2:X55,J2:J55,A75,C2:C55,F73)</f>
        <v>#DIV/0!</v>
      </c>
      <c r="G75" s="845" t="e">
        <f>AVERAGEIF(J2:J55,A75,X2:X55)</f>
        <v>#DIV/0!</v>
      </c>
      <c r="X75" s="834"/>
      <c r="Y75" s="835"/>
      <c r="Z75" s="835"/>
      <c r="AB75" s="835"/>
    </row>
    <row r="76" spans="1:35" ht="16.5" customHeight="1">
      <c r="A76" s="1945" t="s">
        <v>138</v>
      </c>
      <c r="B76" s="1946"/>
      <c r="C76" s="867" t="e">
        <f>AVERAGEIFS(X2:X55,J2:J55,"",C2:C55,C73)</f>
        <v>#DIV/0!</v>
      </c>
      <c r="D76" s="867" t="e">
        <f>AVERAGEIFS(X2:X55,J2:J55,"",C2:C55,D73)</f>
        <v>#DIV/0!</v>
      </c>
      <c r="E76" s="867" t="e">
        <f>AVERAGEIFS(X2:X55,J2:J55,"",C2:C55,E73)</f>
        <v>#DIV/0!</v>
      </c>
      <c r="F76" s="868">
        <f>AVERAGEIFS(X2:X55,J2:J55,"",C2:C55,F73)</f>
        <v>3562.1521335807047</v>
      </c>
      <c r="G76" s="869">
        <f>AVERAGEIF(J2:J55,"",X2:X55)</f>
        <v>3562.1521335807047</v>
      </c>
      <c r="X76" s="834"/>
      <c r="Y76" s="835"/>
      <c r="Z76" s="835"/>
      <c r="AB76" s="835"/>
      <c r="AE76" s="829"/>
      <c r="AF76" s="829"/>
      <c r="AG76" s="829"/>
      <c r="AH76" s="829"/>
      <c r="AI76" s="829"/>
    </row>
    <row r="77" spans="1:35" ht="16.5" customHeight="1" thickBot="1">
      <c r="A77" s="1937" t="s">
        <v>210</v>
      </c>
      <c r="B77" s="1938"/>
      <c r="C77" s="870" t="e">
        <f>AVERAGEIFS(W2:W55,J2:J55,A77,C2:C55,C73)</f>
        <v>#DIV/0!</v>
      </c>
      <c r="D77" s="870" t="e">
        <f>AVERAGEIFS(W2:W55,J2:J55,A77,C2:C55,D73)</f>
        <v>#DIV/0!</v>
      </c>
      <c r="E77" s="870" t="e">
        <f>AVERAGEIFS(W2:W55,J2:J55,A77,C2:C55,E73)</f>
        <v>#DIV/0!</v>
      </c>
      <c r="F77" s="871" t="e">
        <f>AVERAGEIFS(W2:W55,J2:J55,A77,C2:C55,F73)</f>
        <v>#DIV/0!</v>
      </c>
      <c r="G77" s="872" t="e">
        <f>AVERAGEIF(J2:J55,A77,W2:W55)</f>
        <v>#DIV/0!</v>
      </c>
      <c r="X77" s="834"/>
      <c r="Y77" s="835"/>
      <c r="Z77" s="835"/>
      <c r="AB77" s="835"/>
      <c r="AE77" s="829"/>
      <c r="AF77" s="829"/>
      <c r="AG77" s="829"/>
      <c r="AH77" s="829"/>
      <c r="AI77" s="829"/>
    </row>
    <row r="78" spans="1:35" ht="16.5" customHeight="1" thickBot="1"/>
    <row r="79" spans="1:35" ht="16.5" customHeight="1">
      <c r="A79" s="1943" t="s">
        <v>192</v>
      </c>
      <c r="B79" s="1944"/>
      <c r="C79" s="836" t="s">
        <v>90</v>
      </c>
      <c r="D79" s="836" t="s">
        <v>91</v>
      </c>
      <c r="E79" s="836" t="s">
        <v>89</v>
      </c>
      <c r="F79" s="856" t="s">
        <v>93</v>
      </c>
      <c r="G79" s="837" t="s">
        <v>141</v>
      </c>
    </row>
    <row r="80" spans="1:35" ht="16.5" customHeight="1">
      <c r="A80" s="1931" t="s">
        <v>258</v>
      </c>
      <c r="B80" s="1932"/>
      <c r="C80" s="839">
        <f>AVERAGEIFS(R2:R55,J2:J55,A80,C2:C55,C79)</f>
        <v>234967.77777777778</v>
      </c>
      <c r="D80" s="839">
        <f>AVERAGEIFS(R2:R55,J2:J55,A80,C2:C55,D79)</f>
        <v>317928</v>
      </c>
      <c r="E80" s="839">
        <f>AVERAGEIFS(R2:R55,J2:J55,A80,C2:C55,E79)</f>
        <v>423196.28571428574</v>
      </c>
      <c r="F80" s="873">
        <f>AVERAGEIFS(R2:R55,J2:J55,A80,C2:C55,F79)</f>
        <v>696000</v>
      </c>
      <c r="G80" s="840">
        <f>AVERAGEIF(J2:J55,A80,R2:R55)</f>
        <v>366950.79245283018</v>
      </c>
    </row>
    <row r="81" spans="1:37" ht="16.5" customHeight="1">
      <c r="A81" s="1933" t="s">
        <v>102</v>
      </c>
      <c r="B81" s="1934"/>
      <c r="C81" s="844" t="e">
        <f>AVERAGEIFS(T2:T55,J2:J55,A81,C2:C55,C79)</f>
        <v>#DIV/0!</v>
      </c>
      <c r="D81" s="844" t="e">
        <f>AVERAGEIFS(T2:T55,J2:J55,A81,C2:C55,D79)</f>
        <v>#DIV/0!</v>
      </c>
      <c r="E81" s="844" t="e">
        <f>AVERAGEIFS(T2:T55,J2:J55,A81,C2:C55,E79)</f>
        <v>#DIV/0!</v>
      </c>
      <c r="F81" s="874" t="e">
        <f>AVERAGEIFS(T2:T55,J2:J55,A81,C2:C55,F79)</f>
        <v>#DIV/0!</v>
      </c>
      <c r="G81" s="845" t="e">
        <f>AVERAGEIF(J2:J55,A81,R2:R55)</f>
        <v>#DIV/0!</v>
      </c>
    </row>
    <row r="82" spans="1:37" ht="16.5" customHeight="1" thickBot="1">
      <c r="A82" s="1947" t="s">
        <v>138</v>
      </c>
      <c r="B82" s="1948"/>
      <c r="C82" s="875" t="e">
        <f>AVERAGEIFS(S2:S55,J2:J55,"",C2:C55,C79)</f>
        <v>#DIV/0!</v>
      </c>
      <c r="D82" s="875" t="e">
        <f>AVERAGEIFS(T2:T55,J2:J55,"",C2:C55,D79)</f>
        <v>#DIV/0!</v>
      </c>
      <c r="E82" s="875" t="e">
        <f>AVERAGEIFS(S2:S55,J2:J55,"",C2:C55,E79)</f>
        <v>#DIV/0!</v>
      </c>
      <c r="F82" s="876">
        <f>AVERAGEIFS(T2:T55,J2:J55,"",C2:C55,F79)</f>
        <v>780000</v>
      </c>
      <c r="G82" s="877">
        <f>AVERAGEIF(J2:J55,"",S2:S55)</f>
        <v>748800</v>
      </c>
    </row>
    <row r="83" spans="1:37" ht="16.5" customHeight="1" thickBot="1">
      <c r="A83" s="1937" t="s">
        <v>210</v>
      </c>
      <c r="B83" s="1938"/>
      <c r="C83" s="870" t="e">
        <f>AVERAGEIFS(R2:R55,J2:J55,A83,C2:C55,C79)</f>
        <v>#DIV/0!</v>
      </c>
      <c r="D83" s="870" t="e">
        <f>AVERAGEIFS(R2:R55,J2:J55,A83,C2:C55,D79)</f>
        <v>#DIV/0!</v>
      </c>
      <c r="E83" s="870" t="e">
        <f>AVERAGEIFS(R2:R55,J2:J55,A83,C2:C55,E79)</f>
        <v>#DIV/0!</v>
      </c>
      <c r="F83" s="871" t="e">
        <f>AVERAGEIFS(R2:R55,J2:J55,A83,C2:C55,F79)</f>
        <v>#DIV/0!</v>
      </c>
      <c r="G83" s="872" t="e">
        <f>AVERAGEIF(J2:J55,A83,R2:R55)</f>
        <v>#DIV/0!</v>
      </c>
      <c r="AK83" s="1864"/>
    </row>
    <row r="84" spans="1:37" ht="16.5" customHeight="1" thickBot="1">
      <c r="AK84" s="835"/>
    </row>
    <row r="85" spans="1:37" ht="16.5" customHeight="1">
      <c r="A85" s="1943" t="s">
        <v>234</v>
      </c>
      <c r="B85" s="1944"/>
      <c r="C85" s="836" t="s">
        <v>90</v>
      </c>
      <c r="D85" s="836" t="s">
        <v>91</v>
      </c>
      <c r="E85" s="836" t="s">
        <v>89</v>
      </c>
      <c r="F85" s="856" t="s">
        <v>93</v>
      </c>
      <c r="G85" s="837" t="s">
        <v>141</v>
      </c>
      <c r="AK85" s="835"/>
    </row>
    <row r="86" spans="1:37" ht="16.5" customHeight="1">
      <c r="A86" s="1931" t="s">
        <v>258</v>
      </c>
      <c r="B86" s="1932"/>
      <c r="C86" s="878">
        <f>AVERAGEIFS(I2:I55,C2:C55,C85,J2:J55,A86)</f>
        <v>70.253333333333316</v>
      </c>
      <c r="D86" s="878">
        <f>AVERAGEIFS(I2:I55,C2:C55,D85,J2:J55,A86)</f>
        <v>94.984000000000023</v>
      </c>
      <c r="E86" s="878">
        <f>AVERAGEIFS(I2:I55,C2:C55,E85,J2:J55,A86)</f>
        <v>134.0457142857143</v>
      </c>
      <c r="F86" s="879">
        <f>AVERAGEIFS(I2:I55,C2:C55,F85,J2:J55,A86)</f>
        <v>197.38333333333333</v>
      </c>
      <c r="G86" s="880">
        <f>AVERAGEIF(J2:J55,A86,I2:I55)</f>
        <v>112.05792452830191</v>
      </c>
    </row>
    <row r="87" spans="1:37" ht="16.5" customHeight="1">
      <c r="A87" s="1933" t="s">
        <v>102</v>
      </c>
      <c r="B87" s="1934"/>
      <c r="C87" s="881" t="e">
        <f>AVERAGEIFS(I2:I55,C2:C55,C85,J2:J55,A87)</f>
        <v>#DIV/0!</v>
      </c>
      <c r="D87" s="881" t="e">
        <f>AVERAGEIFS(I2:I55,C2:C55,D85,J2:J55,A87)</f>
        <v>#DIV/0!</v>
      </c>
      <c r="E87" s="881" t="e">
        <f>AVERAGEIFS(I2:I55,C2:C55,E85,J2:J55,A87)</f>
        <v>#DIV/0!</v>
      </c>
      <c r="F87" s="882" t="e">
        <f>AVERAGEIFS(I2:I55,C2:C55,F85,J2:J55,A87)</f>
        <v>#DIV/0!</v>
      </c>
      <c r="G87" s="883" t="e">
        <f>AVERAGEIF(J2:J55,A87,I2:I55)</f>
        <v>#DIV/0!</v>
      </c>
    </row>
    <row r="88" spans="1:37" ht="16.5" customHeight="1" thickBot="1">
      <c r="A88" s="1947" t="s">
        <v>138</v>
      </c>
      <c r="B88" s="1948"/>
      <c r="C88" s="884" t="e">
        <f>AVERAGEIFS(I2:I55,C2:C55,C85,J2:J55,"")</f>
        <v>#DIV/0!</v>
      </c>
      <c r="D88" s="884" t="e">
        <f>AVERAGEIFS(I2:I55,C2:C55,D85,J2:J55,"")</f>
        <v>#DIV/0!</v>
      </c>
      <c r="E88" s="884" t="e">
        <f>AVERAGEIFS(I2:I55,C2:C55,E85,J2:J55,"")</f>
        <v>#DIV/0!</v>
      </c>
      <c r="F88" s="885">
        <f>AVERAGEIFS(I2:I55,C2:C55,F85,J2:J55,"")</f>
        <v>210.21</v>
      </c>
      <c r="G88" s="886">
        <f>AVERAGEIF(J2:J55,"",I2:I55)</f>
        <v>210.21</v>
      </c>
      <c r="J88" s="981"/>
      <c r="O88" s="829"/>
    </row>
    <row r="89" spans="1:37" ht="16.5" customHeight="1" thickBot="1">
      <c r="A89" s="1937" t="s">
        <v>210</v>
      </c>
      <c r="B89" s="1938"/>
      <c r="C89" s="887" t="e">
        <f>AVERAGEIFS(I2:I55,C2:C55,C85,J2:J55,A89)</f>
        <v>#DIV/0!</v>
      </c>
      <c r="D89" s="887" t="e">
        <f>AVERAGEIFS(I2:I55,C2:C55,D85,J2:J55,A89)</f>
        <v>#DIV/0!</v>
      </c>
      <c r="E89" s="887" t="e">
        <f>AVERAGEIFS(I2:I55,C2:C55,E85,J2:J55,A89)</f>
        <v>#DIV/0!</v>
      </c>
      <c r="F89" s="888" t="e">
        <f>AVERAGEIFS(I2:I55,C2:C55,F85,J2:J55,A89)</f>
        <v>#DIV/0!</v>
      </c>
      <c r="G89" s="889" t="e">
        <f>AVERAGEIF(J2:J55,A89,I2:I55)</f>
        <v>#DIV/0!</v>
      </c>
      <c r="J89" s="981"/>
      <c r="O89" s="829"/>
    </row>
    <row r="90" spans="1:37" ht="16.5" customHeight="1">
      <c r="Z90" s="834"/>
      <c r="AC90" s="835"/>
      <c r="AE90" s="834"/>
      <c r="AF90" s="835"/>
      <c r="AG90" s="834"/>
      <c r="AH90" s="835"/>
      <c r="AI90" s="829"/>
    </row>
    <row r="91" spans="1:37" ht="16.5" customHeight="1">
      <c r="C91" s="832" t="e">
        <f>1.5*C89</f>
        <v>#DIV/0!</v>
      </c>
      <c r="D91" s="832" t="e">
        <f>1.5*D89</f>
        <v>#DIV/0!</v>
      </c>
      <c r="E91" s="832" t="e">
        <f>1.5*E89</f>
        <v>#DIV/0!</v>
      </c>
      <c r="F91" s="832" t="e">
        <f>1.5*F89</f>
        <v>#DIV/0!</v>
      </c>
      <c r="Z91" s="834"/>
      <c r="AC91" s="835"/>
      <c r="AE91" s="834"/>
      <c r="AF91" s="835"/>
      <c r="AG91" s="834"/>
      <c r="AH91" s="835"/>
      <c r="AI91" s="829"/>
    </row>
  </sheetData>
  <sheetProtection selectLockedCells="1" selectUnlockedCells="1"/>
  <autoFilter ref="A1:AZ56" xr:uid="{83B49C72-6AE1-482F-AABA-17E5EF5553E6}"/>
  <mergeCells count="32">
    <mergeCell ref="J62:U62"/>
    <mergeCell ref="A85:B85"/>
    <mergeCell ref="A86:B86"/>
    <mergeCell ref="A87:B87"/>
    <mergeCell ref="A88:B88"/>
    <mergeCell ref="O67:R67"/>
    <mergeCell ref="A68:B68"/>
    <mergeCell ref="A62:B62"/>
    <mergeCell ref="A63:B63"/>
    <mergeCell ref="A65:B65"/>
    <mergeCell ref="A66:B66"/>
    <mergeCell ref="A67:B67"/>
    <mergeCell ref="J67:M67"/>
    <mergeCell ref="A61:B61"/>
    <mergeCell ref="A89:B89"/>
    <mergeCell ref="A83:B83"/>
    <mergeCell ref="A69:B69"/>
    <mergeCell ref="A70:B70"/>
    <mergeCell ref="A73:B73"/>
    <mergeCell ref="A74:B74"/>
    <mergeCell ref="A75:B75"/>
    <mergeCell ref="A76:B76"/>
    <mergeCell ref="A77:B77"/>
    <mergeCell ref="A79:B79"/>
    <mergeCell ref="A80:B80"/>
    <mergeCell ref="A81:B81"/>
    <mergeCell ref="A82:B82"/>
    <mergeCell ref="J58:U58"/>
    <mergeCell ref="A58:B58"/>
    <mergeCell ref="G58:H58"/>
    <mergeCell ref="A59:B59"/>
    <mergeCell ref="A60:B60"/>
  </mergeCells>
  <conditionalFormatting sqref="Z1:Z56 AA57 AB58:AB63 AA64 Z65:Z66 AA67:AA71 AA78:AA89 Z90:Z91 AA92:AA1048576">
    <cfRule type="cellIs" dxfId="16" priority="1" operator="lessThan">
      <formula>TODAY()-15</formula>
    </cfRule>
  </conditionalFormatting>
  <hyperlinks>
    <hyperlink ref="AT2" r:id="rId1" xr:uid="{7C1C73E5-B6C9-45B4-BFB2-DAC06A690D2D}"/>
    <hyperlink ref="AT3" r:id="rId2" xr:uid="{982FFEFA-898D-4421-B75C-63D7B3778E39}"/>
    <hyperlink ref="AT4" r:id="rId3" xr:uid="{FBA8EA32-D0C5-46A0-8312-2B73C2930284}"/>
    <hyperlink ref="AT6" r:id="rId4" xr:uid="{15B7C76C-1F45-4C32-8932-49279AD5E010}"/>
    <hyperlink ref="AT7" r:id="rId5" xr:uid="{DE8122B8-79DD-47E4-BB0C-F44D567368AC}"/>
    <hyperlink ref="AT8" r:id="rId6" xr:uid="{85990024-F7A4-4329-AD47-06CA8F93EC64}"/>
    <hyperlink ref="AT9" r:id="rId7" xr:uid="{561AFC1A-EDEA-4443-9824-4EC874D26FCA}"/>
    <hyperlink ref="AT10" r:id="rId8" xr:uid="{60EAA696-D010-43E2-8B3E-0D3BC4F55EB1}"/>
    <hyperlink ref="AT11" r:id="rId9" xr:uid="{5B90F12D-4507-4E56-8E4A-1B10F21C8AA3}"/>
    <hyperlink ref="AT12" r:id="rId10" xr:uid="{46043A39-82FE-4CA3-9857-327FE23202C6}"/>
    <hyperlink ref="AT13" r:id="rId11" xr:uid="{64CA22CC-88E9-4620-9176-A70689905618}"/>
    <hyperlink ref="AT14" r:id="rId12" xr:uid="{1ABF722A-8CEB-4C4A-B7EE-408075BA4E5B}"/>
    <hyperlink ref="AT15" r:id="rId13" xr:uid="{B68B2AEB-1040-4770-9F0B-82B2FFE60CC8}"/>
    <hyperlink ref="AT16" r:id="rId14" xr:uid="{12A47ED8-CD4C-4F07-BFDB-3A70E1915E03}"/>
    <hyperlink ref="AT17" r:id="rId15" xr:uid="{7B2A00B3-A8BC-44CF-8160-79237C6265AC}"/>
    <hyperlink ref="AT19" r:id="rId16" xr:uid="{C4A884DC-1620-4973-A5B9-741ECDD61587}"/>
    <hyperlink ref="AT20" r:id="rId17" xr:uid="{62713CDE-D0C7-45C9-852E-279B2D99674B}"/>
    <hyperlink ref="AT21" r:id="rId18" xr:uid="{E91B1B1A-5817-4B8C-95F5-84AF8CB5B196}"/>
    <hyperlink ref="AT22" r:id="rId19" xr:uid="{156E41B2-D580-4174-A545-5D64F52E8417}"/>
    <hyperlink ref="AT24" r:id="rId20" xr:uid="{6EAD81E7-3E6C-476B-A036-2F2039F414FD}"/>
    <hyperlink ref="AT25" r:id="rId21" xr:uid="{FEE098ED-6537-490B-835B-ABDF08767BB3}"/>
    <hyperlink ref="AT26" r:id="rId22" xr:uid="{E0BF90EF-953A-4E02-90F7-D4AFCEA7F2C5}"/>
    <hyperlink ref="AT27" r:id="rId23" xr:uid="{F428D2F0-4C82-4F9E-B138-13D928BDBA79}"/>
    <hyperlink ref="AT28" r:id="rId24" xr:uid="{4A129E99-73CD-4773-9D15-0C71D66FE19D}"/>
    <hyperlink ref="AT31" r:id="rId25" xr:uid="{76B86363-CF6C-4F08-B517-47EC13CDAF91}"/>
    <hyperlink ref="AT33" r:id="rId26" xr:uid="{B7F88A0B-9826-4E3C-8480-7F983DA6E6E5}"/>
    <hyperlink ref="AT34" r:id="rId27" xr:uid="{1E80B232-FC70-466E-ABAF-2095CBE7ADCB}"/>
    <hyperlink ref="AT35" r:id="rId28" xr:uid="{E9904413-4ED3-41B4-B529-EBC96E133EB1}"/>
    <hyperlink ref="AT36" r:id="rId29" xr:uid="{E8BCDCAA-E280-4795-8BE6-A6390C7CCD08}"/>
    <hyperlink ref="AT39" r:id="rId30" xr:uid="{9DC90DD4-FE39-4B61-8554-98C236600B44}"/>
    <hyperlink ref="AT40" r:id="rId31" xr:uid="{34D03B54-E7DD-402A-916D-EDE4894339E3}"/>
    <hyperlink ref="AT41" r:id="rId32" xr:uid="{20F92411-7918-4950-9946-641690EEF455}"/>
    <hyperlink ref="AT42" r:id="rId33" xr:uid="{A93FBF76-961E-4AF9-9286-7A3AB6F0C02E}"/>
    <hyperlink ref="AT43" r:id="rId34" xr:uid="{A0974965-54E9-4550-9DD7-6AA17DFAC09B}"/>
    <hyperlink ref="AT44" r:id="rId35" xr:uid="{EAE31D98-A270-4EE2-8BF1-17E7FAE8F633}"/>
    <hyperlink ref="AT45" r:id="rId36" xr:uid="{D09B17E4-5156-4F26-A985-05EDA5A5B346}"/>
    <hyperlink ref="AT46" r:id="rId37" xr:uid="{0B27A925-043B-45E2-9C28-10B59C742B62}"/>
    <hyperlink ref="AT47" r:id="rId38" xr:uid="{64EE537C-6CB7-4A10-B10C-47522D202CE9}"/>
    <hyperlink ref="AT48" r:id="rId39" xr:uid="{0A3F0132-90B8-4C80-9915-02B71E602ED1}"/>
    <hyperlink ref="AT50" r:id="rId40" xr:uid="{7D1BABC5-5D54-4C43-97A7-273BE3954127}"/>
    <hyperlink ref="AT51" r:id="rId41" xr:uid="{BA61ABCD-A2FF-4495-9157-7E7DCB710A9A}"/>
    <hyperlink ref="AT54" r:id="rId42" xr:uid="{6B99883C-940F-4C3C-85BD-0F3D7C473687}"/>
    <hyperlink ref="AT55" r:id="rId43" xr:uid="{2747D8D3-8EF3-4E97-A9F5-F9610C62D254}"/>
  </hyperlinks>
  <pageMargins left="0.7" right="0.7" top="0.75" bottom="0.75" header="0.3" footer="0.3"/>
  <pageSetup paperSize="9" orientation="portrait" r:id="rId44"/>
  <legacyDrawing r:id="rId4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E61E-472E-4398-AB2D-666467AF2384}">
  <sheetPr>
    <tabColor theme="9" tint="-0.249977111117893"/>
  </sheetPr>
  <dimension ref="A1:AZ129"/>
  <sheetViews>
    <sheetView tabSelected="1" topLeftCell="A37" zoomScale="110" zoomScaleNormal="110" workbookViewId="0">
      <pane xSplit="3" topLeftCell="D1" activePane="topRight" state="frozen"/>
      <selection activeCell="A27" sqref="A27"/>
      <selection pane="topRight" activeCell="L18" sqref="L18"/>
    </sheetView>
  </sheetViews>
  <sheetFormatPr defaultColWidth="9.140625" defaultRowHeight="12"/>
  <cols>
    <col min="1" max="1" width="8.5703125" style="893" bestFit="1" customWidth="1"/>
    <col min="2" max="2" width="11" style="893" bestFit="1" customWidth="1"/>
    <col min="3" max="3" width="11.7109375" style="893" customWidth="1"/>
    <col min="4" max="4" width="11.28515625" style="893" customWidth="1"/>
    <col min="5" max="5" width="9.5703125" style="893" customWidth="1"/>
    <col min="6" max="6" width="13.85546875" style="893" customWidth="1"/>
    <col min="7" max="7" width="11.28515625" style="893" customWidth="1"/>
    <col min="8" max="8" width="11.42578125" style="893" customWidth="1"/>
    <col min="9" max="9" width="10" style="893" customWidth="1"/>
    <col min="10" max="10" width="18.7109375" style="893" customWidth="1"/>
    <col min="11" max="11" width="12.28515625" style="893" customWidth="1"/>
    <col min="12" max="12" width="28.7109375" style="893" customWidth="1"/>
    <col min="13" max="13" width="22" style="893" customWidth="1"/>
    <col min="14" max="14" width="12.5703125" style="893" customWidth="1"/>
    <col min="15" max="15" width="11.5703125" style="893" customWidth="1"/>
    <col min="16" max="16" width="10.28515625" style="893" customWidth="1"/>
    <col min="17" max="17" width="11.42578125" style="893" customWidth="1"/>
    <col min="18" max="18" width="19" style="893" customWidth="1"/>
    <col min="19" max="19" width="12.5703125" style="893" customWidth="1"/>
    <col min="20" max="20" width="13.7109375" style="893" customWidth="1"/>
    <col min="21" max="22" width="12.85546875" style="893" customWidth="1"/>
    <col min="23" max="23" width="12.140625" style="893" customWidth="1"/>
    <col min="24" max="25" width="13.42578125" style="893" customWidth="1"/>
    <col min="26" max="27" width="13.42578125" style="933" customWidth="1"/>
    <col min="28" max="29" width="14.140625" style="933" customWidth="1"/>
    <col min="30" max="30" width="14.140625" style="1244" customWidth="1"/>
    <col min="31" max="31" width="12.5703125" style="933" customWidth="1"/>
    <col min="32" max="32" width="14.140625" style="933" customWidth="1"/>
    <col min="33" max="33" width="11.85546875" style="933" customWidth="1"/>
    <col min="34" max="34" width="14.140625" style="934" customWidth="1"/>
    <col min="35" max="35" width="16.85546875" style="1244" customWidth="1"/>
    <col min="36" max="36" width="14.140625" style="893" customWidth="1"/>
    <col min="37" max="40" width="15" style="893" hidden="1" customWidth="1"/>
    <col min="41" max="41" width="44.85546875" style="893" hidden="1" customWidth="1"/>
    <col min="42" max="42" width="43.42578125" style="893" customWidth="1"/>
    <col min="43" max="43" width="12.85546875" style="893" bestFit="1" customWidth="1"/>
    <col min="44" max="47" width="12.85546875" style="893" customWidth="1"/>
    <col min="48" max="48" width="20.140625" style="893" bestFit="1" customWidth="1"/>
    <col min="49" max="49" width="12.85546875" style="893" bestFit="1" customWidth="1"/>
    <col min="50" max="51" width="18.28515625" style="893" bestFit="1" customWidth="1"/>
    <col min="52" max="16384" width="9.140625" style="893"/>
  </cols>
  <sheetData>
    <row r="1" spans="1:52" ht="16.5" customHeight="1">
      <c r="A1" s="815" t="s">
        <v>23</v>
      </c>
      <c r="B1" s="815" t="s">
        <v>569</v>
      </c>
      <c r="C1" s="815" t="s">
        <v>5</v>
      </c>
      <c r="D1" s="815" t="s">
        <v>1</v>
      </c>
      <c r="E1" s="816" t="s">
        <v>0</v>
      </c>
      <c r="F1" s="816" t="s">
        <v>3</v>
      </c>
      <c r="G1" s="815" t="s">
        <v>6</v>
      </c>
      <c r="H1" s="815" t="s">
        <v>2</v>
      </c>
      <c r="I1" s="815" t="s">
        <v>212</v>
      </c>
      <c r="J1" s="815" t="s">
        <v>11</v>
      </c>
      <c r="K1" s="815" t="s">
        <v>12</v>
      </c>
      <c r="L1" s="815" t="s">
        <v>216</v>
      </c>
      <c r="M1" s="815" t="s">
        <v>17323</v>
      </c>
      <c r="N1" s="815" t="s">
        <v>22</v>
      </c>
      <c r="O1" s="815" t="s">
        <v>219</v>
      </c>
      <c r="P1" s="815" t="s">
        <v>22</v>
      </c>
      <c r="Q1" s="815" t="s">
        <v>246</v>
      </c>
      <c r="R1" s="815" t="s">
        <v>251</v>
      </c>
      <c r="S1" s="1314" t="s">
        <v>221</v>
      </c>
      <c r="T1" s="815" t="s">
        <v>14</v>
      </c>
      <c r="U1" s="890" t="s">
        <v>17435</v>
      </c>
      <c r="V1" s="890" t="s">
        <v>17649</v>
      </c>
      <c r="W1" s="815" t="s">
        <v>16</v>
      </c>
      <c r="X1" s="815" t="s">
        <v>227</v>
      </c>
      <c r="Y1" s="815" t="s">
        <v>522</v>
      </c>
      <c r="Z1" s="815" t="s">
        <v>228</v>
      </c>
      <c r="AA1" s="891" t="s">
        <v>17210</v>
      </c>
      <c r="AB1" s="891" t="s">
        <v>300</v>
      </c>
      <c r="AC1" s="891" t="s">
        <v>4</v>
      </c>
      <c r="AD1" s="1312" t="s">
        <v>545</v>
      </c>
      <c r="AE1" s="892" t="s">
        <v>546</v>
      </c>
      <c r="AF1" s="891" t="s">
        <v>553</v>
      </c>
      <c r="AG1" s="892" t="s">
        <v>547</v>
      </c>
      <c r="AH1" s="891" t="s">
        <v>554</v>
      </c>
      <c r="AI1" s="1312" t="s">
        <v>548</v>
      </c>
      <c r="AJ1" s="815" t="s">
        <v>8</v>
      </c>
      <c r="AK1" s="815" t="s">
        <v>255</v>
      </c>
      <c r="AL1" s="815" t="s">
        <v>18</v>
      </c>
      <c r="AM1" s="815" t="s">
        <v>17302</v>
      </c>
      <c r="AN1" s="815" t="s">
        <v>17341</v>
      </c>
      <c r="AO1" s="815" t="s">
        <v>543</v>
      </c>
      <c r="AP1" s="815" t="s">
        <v>19</v>
      </c>
      <c r="AQ1" s="815" t="s">
        <v>261</v>
      </c>
      <c r="AR1" s="815" t="s">
        <v>17891</v>
      </c>
      <c r="AS1" s="815" t="s">
        <v>17892</v>
      </c>
      <c r="AT1" s="815" t="s">
        <v>17893</v>
      </c>
      <c r="AU1" s="815" t="s">
        <v>17599</v>
      </c>
      <c r="AV1" s="815" t="s">
        <v>17601</v>
      </c>
      <c r="AW1" s="815" t="s">
        <v>262</v>
      </c>
      <c r="AX1" s="815" t="s">
        <v>263</v>
      </c>
      <c r="AY1" s="815" t="s">
        <v>20</v>
      </c>
      <c r="AZ1" s="815" t="s">
        <v>21</v>
      </c>
    </row>
    <row r="2" spans="1:52" s="1563" customFormat="1" ht="16.5" customHeight="1">
      <c r="A2" s="1433" t="s">
        <v>24</v>
      </c>
      <c r="B2" s="1433" t="s">
        <v>17888</v>
      </c>
      <c r="C2" s="1433" t="s">
        <v>17889</v>
      </c>
      <c r="D2" s="1433"/>
      <c r="E2" s="1564"/>
      <c r="F2" s="1564"/>
      <c r="G2" s="1433">
        <v>225</v>
      </c>
      <c r="H2" s="1433">
        <v>225</v>
      </c>
      <c r="I2" s="1565"/>
      <c r="J2" s="1433">
        <f>G2+0.3*H2</f>
        <v>292.5</v>
      </c>
      <c r="K2" s="1433"/>
      <c r="L2" s="1433">
        <v>4</v>
      </c>
      <c r="M2" s="1433" t="s">
        <v>17890</v>
      </c>
      <c r="N2" s="1433"/>
      <c r="O2" s="1433"/>
      <c r="P2" s="1433"/>
      <c r="Q2" s="1566"/>
      <c r="R2" s="1566"/>
      <c r="S2" s="1562"/>
      <c r="T2" s="1562">
        <f>0.96*U2</f>
        <v>576000</v>
      </c>
      <c r="U2" s="1562">
        <v>600000</v>
      </c>
      <c r="V2" s="1562"/>
      <c r="W2" s="1433"/>
      <c r="X2" s="1433"/>
      <c r="Y2" s="1433"/>
      <c r="Z2" s="1570">
        <f t="shared" ref="Z2:Z33" si="0">U2/J2</f>
        <v>2051.2820512820513</v>
      </c>
      <c r="AA2" s="1567"/>
      <c r="AB2" s="1567"/>
      <c r="AC2" s="1567"/>
      <c r="AD2" s="1568"/>
      <c r="AE2" s="1569"/>
      <c r="AF2" s="1567"/>
      <c r="AG2" s="1569"/>
      <c r="AH2" s="1567"/>
      <c r="AI2" s="1568"/>
      <c r="AJ2" s="1433"/>
      <c r="AK2" s="1433"/>
      <c r="AL2" s="1433"/>
      <c r="AM2" s="1433"/>
      <c r="AN2" s="1433"/>
      <c r="AO2" s="1433"/>
      <c r="AP2" s="1433"/>
      <c r="AQ2" s="1433"/>
      <c r="AR2" s="1433"/>
      <c r="AS2" s="1433"/>
      <c r="AT2" s="1433"/>
      <c r="AU2" s="1433"/>
      <c r="AV2" s="1433"/>
      <c r="AW2" s="1433"/>
      <c r="AX2" s="1433"/>
      <c r="AY2" s="1433"/>
      <c r="AZ2" s="1433"/>
    </row>
    <row r="3" spans="1:52" s="1563" customFormat="1" ht="16.5" customHeight="1" thickBot="1">
      <c r="A3" s="1433" t="s">
        <v>25</v>
      </c>
      <c r="B3" s="1433" t="s">
        <v>17888</v>
      </c>
      <c r="C3" s="1433" t="s">
        <v>17889</v>
      </c>
      <c r="D3" s="1433"/>
      <c r="E3" s="1564"/>
      <c r="F3" s="1564"/>
      <c r="G3" s="1433">
        <f>225+60.4</f>
        <v>285.39999999999998</v>
      </c>
      <c r="H3" s="1433">
        <v>152.69999999999999</v>
      </c>
      <c r="I3" s="1565"/>
      <c r="J3" s="1433">
        <f>G3+0.3*H3</f>
        <v>331.21</v>
      </c>
      <c r="K3" s="1433"/>
      <c r="L3" s="1433">
        <v>6</v>
      </c>
      <c r="M3" s="1433" t="s">
        <v>17890</v>
      </c>
      <c r="N3" s="1433"/>
      <c r="O3" s="1433"/>
      <c r="P3" s="1433"/>
      <c r="Q3" s="1566"/>
      <c r="R3" s="1566"/>
      <c r="S3" s="1562"/>
      <c r="T3" s="1562">
        <f>0.96*U3</f>
        <v>768000</v>
      </c>
      <c r="U3" s="1562">
        <v>800000</v>
      </c>
      <c r="V3" s="1562"/>
      <c r="W3" s="1433"/>
      <c r="X3" s="1433"/>
      <c r="Y3" s="1433"/>
      <c r="Z3" s="1570">
        <f t="shared" si="0"/>
        <v>2415.3860088765437</v>
      </c>
      <c r="AA3" s="1567"/>
      <c r="AB3" s="1567"/>
      <c r="AC3" s="1567"/>
      <c r="AD3" s="1568"/>
      <c r="AE3" s="1569"/>
      <c r="AF3" s="1567"/>
      <c r="AG3" s="1569"/>
      <c r="AH3" s="1567"/>
      <c r="AI3" s="1568"/>
      <c r="AJ3" s="1433"/>
      <c r="AK3" s="1433"/>
      <c r="AL3" s="1433"/>
      <c r="AM3" s="1433"/>
      <c r="AN3" s="1433"/>
      <c r="AO3" s="1433"/>
      <c r="AP3" s="1433"/>
      <c r="AQ3" s="1433"/>
      <c r="AR3" s="1433"/>
      <c r="AS3" s="1433"/>
      <c r="AT3" s="1433"/>
      <c r="AU3" s="1433"/>
      <c r="AV3" s="1433"/>
      <c r="AW3" s="1433"/>
      <c r="AX3" s="1433"/>
      <c r="AY3" s="1433"/>
      <c r="AZ3" s="1433"/>
    </row>
    <row r="4" spans="1:52" s="1379" customFormat="1" ht="16.5" customHeight="1">
      <c r="A4" s="1356">
        <v>1</v>
      </c>
      <c r="B4" s="1356" t="s">
        <v>17474</v>
      </c>
      <c r="C4" s="546" t="s">
        <v>24</v>
      </c>
      <c r="D4" s="1366" t="s">
        <v>90</v>
      </c>
      <c r="E4" s="1366">
        <v>1</v>
      </c>
      <c r="F4" s="1366" t="s">
        <v>28</v>
      </c>
      <c r="G4" s="1362">
        <v>64.599999999999994</v>
      </c>
      <c r="H4" s="1363"/>
      <c r="I4" s="1767">
        <v>19.399999999999999</v>
      </c>
      <c r="J4" s="1365">
        <f>G4+0.3*H4+0.3*I4</f>
        <v>70.419999999999987</v>
      </c>
      <c r="K4" s="1371" t="s">
        <v>258</v>
      </c>
      <c r="L4" s="1366" t="s">
        <v>17430</v>
      </c>
      <c r="M4" s="1356">
        <v>-1</v>
      </c>
      <c r="N4" s="1356" t="s">
        <v>312</v>
      </c>
      <c r="O4" s="1356"/>
      <c r="P4" s="1382"/>
      <c r="Q4" s="1368"/>
      <c r="R4" s="1368"/>
      <c r="S4" s="1369">
        <v>254400</v>
      </c>
      <c r="T4" s="1369">
        <f>0.96*U4</f>
        <v>254400</v>
      </c>
      <c r="U4" s="1369">
        <v>265000</v>
      </c>
      <c r="V4" s="1369"/>
      <c r="W4" s="1370">
        <f t="shared" ref="W4:W35" si="1">S4/U4-1</f>
        <v>-4.0000000000000036E-2</v>
      </c>
      <c r="X4" s="1371">
        <f t="shared" ref="X4:X35" si="2">S4/J4</f>
        <v>3612.6100539619433</v>
      </c>
      <c r="Y4" s="1371">
        <f t="shared" ref="Y4:Y35" si="3">T4/J4</f>
        <v>3612.6100539619433</v>
      </c>
      <c r="Z4" s="1371">
        <f t="shared" si="0"/>
        <v>3763.1354728770243</v>
      </c>
      <c r="AA4" s="1372"/>
      <c r="AB4" s="1372">
        <v>45839</v>
      </c>
      <c r="AC4" s="1373">
        <v>45870</v>
      </c>
      <c r="AD4" s="1374">
        <f>5000+45880</f>
        <v>50880</v>
      </c>
      <c r="AE4" s="1375"/>
      <c r="AF4" s="1373"/>
      <c r="AG4" s="1375"/>
      <c r="AH4" s="1373"/>
      <c r="AI4" s="1374">
        <v>203520</v>
      </c>
      <c r="AJ4" s="1356" t="s">
        <v>17647</v>
      </c>
      <c r="AK4" s="1356"/>
      <c r="AL4" s="1356"/>
      <c r="AM4" s="1356"/>
      <c r="AN4" s="1356"/>
      <c r="AO4" s="1356"/>
      <c r="AP4" s="1377" t="s">
        <v>18054</v>
      </c>
      <c r="AQ4" s="1377" t="s">
        <v>265</v>
      </c>
      <c r="AR4" s="1377"/>
      <c r="AS4" s="1377"/>
      <c r="AT4" s="1377"/>
      <c r="AU4" s="1377"/>
      <c r="AV4" s="1377"/>
      <c r="AW4" s="1377"/>
      <c r="AX4" s="1377"/>
      <c r="AY4" s="1378">
        <f t="shared" ref="AY4:AY35" si="4">AZ4*J4</f>
        <v>192246.59999999998</v>
      </c>
      <c r="AZ4" s="1378">
        <v>2730</v>
      </c>
    </row>
    <row r="5" spans="1:52" s="1379" customFormat="1" ht="16.5" customHeight="1">
      <c r="A5" s="1356">
        <v>2</v>
      </c>
      <c r="B5" s="1356" t="s">
        <v>17474</v>
      </c>
      <c r="C5" s="546" t="s">
        <v>25</v>
      </c>
      <c r="D5" s="1366" t="s">
        <v>90</v>
      </c>
      <c r="E5" s="1366">
        <v>1</v>
      </c>
      <c r="F5" s="1366" t="s">
        <v>28</v>
      </c>
      <c r="G5" s="1362">
        <v>60.9</v>
      </c>
      <c r="H5" s="1363"/>
      <c r="I5" s="1380">
        <v>19.2</v>
      </c>
      <c r="J5" s="1365">
        <f>G5+0.3*H5+0.2*I5</f>
        <v>64.739999999999995</v>
      </c>
      <c r="K5" s="1371" t="s">
        <v>258</v>
      </c>
      <c r="L5" s="1366" t="s">
        <v>17430</v>
      </c>
      <c r="M5" s="1356">
        <v>-2</v>
      </c>
      <c r="N5" s="1356" t="s">
        <v>215</v>
      </c>
      <c r="O5" s="1356"/>
      <c r="P5" s="293"/>
      <c r="Q5" s="1356"/>
      <c r="R5" s="1356"/>
      <c r="S5" s="1371">
        <f>0.96*U5</f>
        <v>244800</v>
      </c>
      <c r="T5" s="1369">
        <f t="shared" ref="T5:T68" si="5">0.96*U5</f>
        <v>244800</v>
      </c>
      <c r="U5" s="1369">
        <v>255000</v>
      </c>
      <c r="V5" s="1369"/>
      <c r="W5" s="1370">
        <f t="shared" si="1"/>
        <v>-4.0000000000000036E-2</v>
      </c>
      <c r="X5" s="1371">
        <f t="shared" si="2"/>
        <v>3781.2789620018539</v>
      </c>
      <c r="Y5" s="1371">
        <f t="shared" si="3"/>
        <v>3781.2789620018539</v>
      </c>
      <c r="Z5" s="1371">
        <f t="shared" si="0"/>
        <v>3938.8322520852644</v>
      </c>
      <c r="AA5" s="1371"/>
      <c r="AB5" s="1372">
        <v>45563</v>
      </c>
      <c r="AC5" s="1373">
        <v>45575</v>
      </c>
      <c r="AD5" s="1374">
        <f>20%*S5+5000</f>
        <v>53960</v>
      </c>
      <c r="AE5" s="1375"/>
      <c r="AF5" s="1373"/>
      <c r="AG5" s="1375"/>
      <c r="AH5" s="1373"/>
      <c r="AI5" s="1374">
        <f>80%*S5-5000</f>
        <v>190840</v>
      </c>
      <c r="AJ5" s="1376" t="s">
        <v>17647</v>
      </c>
      <c r="AK5" s="1356"/>
      <c r="AL5" s="1356"/>
      <c r="AM5" s="1356"/>
      <c r="AN5" s="1356"/>
      <c r="AO5" s="1356"/>
      <c r="AP5" s="1377" t="s">
        <v>17658</v>
      </c>
      <c r="AQ5" s="1377" t="s">
        <v>265</v>
      </c>
      <c r="AR5" s="1377"/>
      <c r="AS5" s="1377"/>
      <c r="AT5" s="1377"/>
      <c r="AU5" s="1377"/>
      <c r="AV5" s="1377"/>
      <c r="AW5" s="1377"/>
      <c r="AX5" s="1377"/>
      <c r="AY5" s="1378">
        <f t="shared" si="4"/>
        <v>176740.19999999998</v>
      </c>
      <c r="AZ5" s="1378">
        <v>2730</v>
      </c>
    </row>
    <row r="6" spans="1:52" s="1379" customFormat="1" ht="16.5" customHeight="1">
      <c r="A6" s="1356">
        <v>3</v>
      </c>
      <c r="B6" s="1356" t="s">
        <v>17474</v>
      </c>
      <c r="C6" s="1358" t="s">
        <v>26</v>
      </c>
      <c r="D6" s="1366" t="s">
        <v>90</v>
      </c>
      <c r="E6" s="1366">
        <v>1</v>
      </c>
      <c r="F6" s="1366" t="s">
        <v>28</v>
      </c>
      <c r="G6" s="1362">
        <v>60.9</v>
      </c>
      <c r="H6" s="1363"/>
      <c r="I6" s="1380">
        <v>19.2</v>
      </c>
      <c r="J6" s="1365">
        <f>G6+0.3*H6+0.2*I6</f>
        <v>64.739999999999995</v>
      </c>
      <c r="K6" s="1371" t="s">
        <v>258</v>
      </c>
      <c r="L6" s="1366" t="s">
        <v>17430</v>
      </c>
      <c r="M6" s="1356">
        <v>-2</v>
      </c>
      <c r="N6" s="1356" t="s">
        <v>312</v>
      </c>
      <c r="O6" s="1356"/>
      <c r="P6" s="1382"/>
      <c r="Q6" s="1371"/>
      <c r="R6" s="1370"/>
      <c r="S6" s="1371">
        <v>244800</v>
      </c>
      <c r="T6" s="1369">
        <f t="shared" si="5"/>
        <v>244800</v>
      </c>
      <c r="U6" s="1369">
        <v>255000</v>
      </c>
      <c r="V6" s="1369"/>
      <c r="W6" s="1370">
        <f t="shared" si="1"/>
        <v>-4.0000000000000036E-2</v>
      </c>
      <c r="X6" s="1371">
        <f t="shared" si="2"/>
        <v>3781.2789620018539</v>
      </c>
      <c r="Y6" s="1371">
        <f t="shared" si="3"/>
        <v>3781.2789620018539</v>
      </c>
      <c r="Z6" s="1371">
        <f t="shared" si="0"/>
        <v>3938.8322520852644</v>
      </c>
      <c r="AA6" s="1371"/>
      <c r="AB6" s="1372">
        <v>45649</v>
      </c>
      <c r="AC6" s="1373">
        <v>45688</v>
      </c>
      <c r="AD6" s="1374">
        <v>35000</v>
      </c>
      <c r="AE6" s="1375">
        <v>13960</v>
      </c>
      <c r="AF6" s="1373"/>
      <c r="AG6" s="1375"/>
      <c r="AH6" s="1373"/>
      <c r="AI6" s="1374">
        <f>80%*S6</f>
        <v>195840</v>
      </c>
      <c r="AJ6" s="1356" t="s">
        <v>17647</v>
      </c>
      <c r="AK6" s="1356"/>
      <c r="AL6" s="1356"/>
      <c r="AM6" s="1356"/>
      <c r="AN6" s="1356"/>
      <c r="AO6" s="1356"/>
      <c r="AP6" s="1377" t="s">
        <v>17857</v>
      </c>
      <c r="AQ6" s="1377" t="s">
        <v>265</v>
      </c>
      <c r="AR6" s="1377"/>
      <c r="AS6" s="1377"/>
      <c r="AT6" s="1377"/>
      <c r="AU6" s="1377" t="s">
        <v>18204</v>
      </c>
      <c r="AV6" s="1377">
        <v>912469329</v>
      </c>
      <c r="AW6" s="1377"/>
      <c r="AX6" s="1377"/>
      <c r="AY6" s="1378">
        <f t="shared" si="4"/>
        <v>176740.19999999998</v>
      </c>
      <c r="AZ6" s="1378">
        <v>2730</v>
      </c>
    </row>
    <row r="7" spans="1:52" s="1379" customFormat="1" ht="16.5" customHeight="1">
      <c r="A7" s="1356">
        <v>4</v>
      </c>
      <c r="B7" s="1356" t="s">
        <v>17474</v>
      </c>
      <c r="C7" s="1358" t="s">
        <v>27</v>
      </c>
      <c r="D7" s="1366" t="s">
        <v>89</v>
      </c>
      <c r="E7" s="1366">
        <v>1</v>
      </c>
      <c r="F7" s="1366" t="s">
        <v>17268</v>
      </c>
      <c r="G7" s="1362">
        <v>109.7</v>
      </c>
      <c r="H7" s="1363"/>
      <c r="I7" s="1380">
        <v>25.2</v>
      </c>
      <c r="J7" s="1365">
        <f>G7+0.3*H7+0.3*I7</f>
        <v>117.26</v>
      </c>
      <c r="K7" s="1356" t="s">
        <v>258</v>
      </c>
      <c r="L7" s="1366" t="s">
        <v>17477</v>
      </c>
      <c r="M7" s="1356">
        <v>-2</v>
      </c>
      <c r="N7" s="1356" t="s">
        <v>215</v>
      </c>
      <c r="O7" s="1356"/>
      <c r="P7" s="293"/>
      <c r="Q7" s="1356"/>
      <c r="R7" s="1356"/>
      <c r="S7" s="1369">
        <v>384000</v>
      </c>
      <c r="T7" s="1369">
        <f t="shared" si="5"/>
        <v>384000</v>
      </c>
      <c r="U7" s="1369">
        <v>400000</v>
      </c>
      <c r="V7" s="1369"/>
      <c r="W7" s="1370">
        <f t="shared" si="1"/>
        <v>-4.0000000000000036E-2</v>
      </c>
      <c r="X7" s="1371">
        <f t="shared" si="2"/>
        <v>3274.7740064813233</v>
      </c>
      <c r="Y7" s="1371">
        <f t="shared" si="3"/>
        <v>3274.7740064813233</v>
      </c>
      <c r="Z7" s="1371">
        <f t="shared" si="0"/>
        <v>3411.2229234180454</v>
      </c>
      <c r="AA7" s="1371"/>
      <c r="AB7" s="1372">
        <v>45713</v>
      </c>
      <c r="AC7" s="1373">
        <v>45730</v>
      </c>
      <c r="AD7" s="1374">
        <f>5000+71800</f>
        <v>76800</v>
      </c>
      <c r="AE7" s="1540"/>
      <c r="AF7" s="1373"/>
      <c r="AG7" s="1375"/>
      <c r="AH7" s="1373"/>
      <c r="AI7" s="1374">
        <f>80%*S7</f>
        <v>307200</v>
      </c>
      <c r="AJ7" s="1356" t="s">
        <v>17647</v>
      </c>
      <c r="AK7" s="1356"/>
      <c r="AL7" s="1356"/>
      <c r="AM7" s="1356"/>
      <c r="AN7" s="1356"/>
      <c r="AO7" s="1356"/>
      <c r="AP7" s="1377" t="s">
        <v>17882</v>
      </c>
      <c r="AQ7" s="1377" t="s">
        <v>265</v>
      </c>
      <c r="AR7" s="1377"/>
      <c r="AS7" s="1377"/>
      <c r="AT7" s="1377"/>
      <c r="AU7" s="1377" t="s">
        <v>18205</v>
      </c>
      <c r="AV7" s="1377">
        <v>935167167</v>
      </c>
      <c r="AW7" s="1377"/>
      <c r="AX7" s="1377"/>
      <c r="AY7" s="1378">
        <f t="shared" si="4"/>
        <v>320119.8</v>
      </c>
      <c r="AZ7" s="1378">
        <v>2730</v>
      </c>
    </row>
    <row r="8" spans="1:52" s="1379" customFormat="1" ht="16.5" customHeight="1">
      <c r="A8" s="1356">
        <v>5</v>
      </c>
      <c r="B8" s="1356" t="s">
        <v>17474</v>
      </c>
      <c r="C8" s="1358" t="s">
        <v>28</v>
      </c>
      <c r="D8" s="1366" t="s">
        <v>91</v>
      </c>
      <c r="E8" s="1366">
        <v>1</v>
      </c>
      <c r="F8" s="1366" t="s">
        <v>17269</v>
      </c>
      <c r="G8" s="1362">
        <v>87.3</v>
      </c>
      <c r="H8" s="1363"/>
      <c r="I8" s="1380">
        <v>62.7</v>
      </c>
      <c r="J8" s="1365">
        <f t="shared" ref="J8:J13" si="6">G8+0.3*H8+0.2*I8</f>
        <v>99.84</v>
      </c>
      <c r="K8" s="1356" t="s">
        <v>258</v>
      </c>
      <c r="L8" s="1366" t="s">
        <v>17430</v>
      </c>
      <c r="M8" s="1381">
        <v>-1</v>
      </c>
      <c r="N8" s="1356" t="s">
        <v>215</v>
      </c>
      <c r="O8" s="1356"/>
      <c r="P8" s="1382"/>
      <c r="Q8" s="1356"/>
      <c r="R8" s="1356"/>
      <c r="S8" s="1371">
        <f>0.96*U8</f>
        <v>297600</v>
      </c>
      <c r="T8" s="1369">
        <f t="shared" si="5"/>
        <v>297600</v>
      </c>
      <c r="U8" s="1369">
        <v>310000</v>
      </c>
      <c r="V8" s="1369"/>
      <c r="W8" s="1370">
        <f t="shared" si="1"/>
        <v>-4.0000000000000036E-2</v>
      </c>
      <c r="X8" s="1371">
        <f t="shared" si="2"/>
        <v>2980.7692307692305</v>
      </c>
      <c r="Y8" s="1371">
        <f t="shared" si="3"/>
        <v>2980.7692307692305</v>
      </c>
      <c r="Z8" s="1371">
        <f t="shared" si="0"/>
        <v>3104.9679487179487</v>
      </c>
      <c r="AA8" s="1371"/>
      <c r="AB8" s="1372">
        <v>45563</v>
      </c>
      <c r="AC8" s="1373">
        <v>45575</v>
      </c>
      <c r="AD8" s="1374">
        <f>20%*S8</f>
        <v>59520</v>
      </c>
      <c r="AE8" s="1375"/>
      <c r="AF8" s="1373"/>
      <c r="AG8" s="1375"/>
      <c r="AH8" s="1373"/>
      <c r="AI8" s="1374">
        <f>80%*S8</f>
        <v>238080</v>
      </c>
      <c r="AJ8" s="1376" t="s">
        <v>17647</v>
      </c>
      <c r="AK8" s="1356"/>
      <c r="AL8" s="1356"/>
      <c r="AM8" s="1356"/>
      <c r="AN8" s="1356"/>
      <c r="AO8" s="1356"/>
      <c r="AP8" s="1377" t="s">
        <v>17653</v>
      </c>
      <c r="AQ8" s="1377" t="s">
        <v>265</v>
      </c>
      <c r="AR8" s="1377"/>
      <c r="AS8" s="1377"/>
      <c r="AT8" s="1377"/>
      <c r="AU8" s="1377" t="s">
        <v>18191</v>
      </c>
      <c r="AV8" s="1377">
        <v>937565124</v>
      </c>
      <c r="AW8" s="1377"/>
      <c r="AX8" s="1377"/>
      <c r="AY8" s="1378">
        <f t="shared" si="4"/>
        <v>272563.20000000001</v>
      </c>
      <c r="AZ8" s="1378">
        <v>2730</v>
      </c>
    </row>
    <row r="9" spans="1:52" s="1379" customFormat="1" ht="16.5" customHeight="1">
      <c r="A9" s="1356">
        <v>6</v>
      </c>
      <c r="B9" s="1356" t="s">
        <v>17474</v>
      </c>
      <c r="C9" s="1358" t="s">
        <v>29</v>
      </c>
      <c r="D9" s="1366" t="s">
        <v>90</v>
      </c>
      <c r="E9" s="1366">
        <v>1</v>
      </c>
      <c r="F9" s="1366" t="s">
        <v>46</v>
      </c>
      <c r="G9" s="1362">
        <v>62.3</v>
      </c>
      <c r="H9" s="1363"/>
      <c r="I9" s="1380">
        <v>46.2</v>
      </c>
      <c r="J9" s="1365">
        <f t="shared" si="6"/>
        <v>71.539999999999992</v>
      </c>
      <c r="K9" s="1356" t="s">
        <v>258</v>
      </c>
      <c r="L9" s="1366" t="s">
        <v>17430</v>
      </c>
      <c r="M9" s="1356">
        <v>-2</v>
      </c>
      <c r="N9" s="1356" t="s">
        <v>312</v>
      </c>
      <c r="O9" s="1356"/>
      <c r="P9" s="293"/>
      <c r="Q9" s="1356"/>
      <c r="R9" s="1356"/>
      <c r="S9" s="1369">
        <f>0.96*U9</f>
        <v>256320</v>
      </c>
      <c r="T9" s="1369">
        <f t="shared" si="5"/>
        <v>256320</v>
      </c>
      <c r="U9" s="1369">
        <v>267000</v>
      </c>
      <c r="V9" s="1369"/>
      <c r="W9" s="1370">
        <f t="shared" si="1"/>
        <v>-4.0000000000000036E-2</v>
      </c>
      <c r="X9" s="1371">
        <f t="shared" si="2"/>
        <v>3582.890690522785</v>
      </c>
      <c r="Y9" s="1371">
        <f t="shared" si="3"/>
        <v>3582.890690522785</v>
      </c>
      <c r="Z9" s="1371">
        <f t="shared" si="0"/>
        <v>3732.1778026279007</v>
      </c>
      <c r="AA9" s="1371"/>
      <c r="AB9" s="1372"/>
      <c r="AC9" s="1372">
        <v>45589</v>
      </c>
      <c r="AD9" s="1374">
        <f>20%*S9</f>
        <v>51264</v>
      </c>
      <c r="AE9" s="1395"/>
      <c r="AF9" s="1372"/>
      <c r="AG9" s="1395"/>
      <c r="AH9" s="1372"/>
      <c r="AI9" s="1374">
        <f>80%*S9</f>
        <v>205056</v>
      </c>
      <c r="AJ9" s="1356" t="s">
        <v>17556</v>
      </c>
      <c r="AK9" s="1356"/>
      <c r="AL9" s="1356"/>
      <c r="AM9" s="1356"/>
      <c r="AN9" s="1356"/>
      <c r="AO9" s="1356"/>
      <c r="AP9" s="1356" t="s">
        <v>17698</v>
      </c>
      <c r="AQ9" s="1356" t="s">
        <v>565</v>
      </c>
      <c r="AR9" s="1356"/>
      <c r="AS9" s="1356"/>
      <c r="AT9" s="1356"/>
      <c r="AU9" s="1356" t="s">
        <v>18206</v>
      </c>
      <c r="AV9" s="1356">
        <v>912625055</v>
      </c>
      <c r="AW9" s="1356"/>
      <c r="AX9" s="1356"/>
      <c r="AY9" s="1378">
        <f t="shared" si="4"/>
        <v>195304.19999999998</v>
      </c>
      <c r="AZ9" s="1378">
        <v>2730</v>
      </c>
    </row>
    <row r="10" spans="1:52" s="1379" customFormat="1" ht="16.5" customHeight="1">
      <c r="A10" s="1356">
        <v>7</v>
      </c>
      <c r="B10" s="1356" t="s">
        <v>17474</v>
      </c>
      <c r="C10" s="1358" t="s">
        <v>30</v>
      </c>
      <c r="D10" s="1366" t="s">
        <v>90</v>
      </c>
      <c r="E10" s="1366">
        <v>1</v>
      </c>
      <c r="F10" s="1366" t="s">
        <v>46</v>
      </c>
      <c r="G10" s="1362">
        <v>62.4</v>
      </c>
      <c r="H10" s="1363"/>
      <c r="I10" s="1380">
        <v>47</v>
      </c>
      <c r="J10" s="1365">
        <f t="shared" si="6"/>
        <v>71.8</v>
      </c>
      <c r="K10" s="1371" t="s">
        <v>258</v>
      </c>
      <c r="L10" s="1366" t="s">
        <v>17430</v>
      </c>
      <c r="M10" s="1356">
        <v>-2</v>
      </c>
      <c r="N10" s="1356" t="s">
        <v>312</v>
      </c>
      <c r="O10" s="1356"/>
      <c r="P10" s="1382"/>
      <c r="Q10" s="1504"/>
      <c r="R10" s="1368"/>
      <c r="S10" s="1369">
        <v>262000</v>
      </c>
      <c r="T10" s="1369">
        <f t="shared" si="5"/>
        <v>256320</v>
      </c>
      <c r="U10" s="1369">
        <v>267000</v>
      </c>
      <c r="V10" s="1369"/>
      <c r="W10" s="1370">
        <f t="shared" si="1"/>
        <v>-1.8726591760299671E-2</v>
      </c>
      <c r="X10" s="1371">
        <f t="shared" si="2"/>
        <v>3649.025069637883</v>
      </c>
      <c r="Y10" s="1371">
        <f t="shared" si="3"/>
        <v>3569.9164345403901</v>
      </c>
      <c r="Z10" s="1371">
        <f t="shared" si="0"/>
        <v>3718.6629526462398</v>
      </c>
      <c r="AA10" s="1371"/>
      <c r="AB10" s="1372">
        <v>45602</v>
      </c>
      <c r="AC10" s="1372">
        <v>45677</v>
      </c>
      <c r="AD10" s="1374">
        <f>5000+47400</f>
        <v>52400</v>
      </c>
      <c r="AE10" s="1395"/>
      <c r="AF10" s="1372"/>
      <c r="AG10" s="1395"/>
      <c r="AH10" s="1372"/>
      <c r="AI10" s="1374">
        <f>80%*S10</f>
        <v>209600</v>
      </c>
      <c r="AJ10" s="1356" t="s">
        <v>17556</v>
      </c>
      <c r="AK10" s="1356"/>
      <c r="AL10" s="1356"/>
      <c r="AM10" s="1356"/>
      <c r="AN10" s="1356"/>
      <c r="AO10" s="1356"/>
      <c r="AP10" s="1356" t="s">
        <v>17720</v>
      </c>
      <c r="AQ10" s="1356" t="s">
        <v>517</v>
      </c>
      <c r="AR10" s="1356"/>
      <c r="AS10" s="1356"/>
      <c r="AT10" s="1356"/>
      <c r="AU10" s="1356"/>
      <c r="AV10" s="1800"/>
      <c r="AW10" s="1356"/>
      <c r="AX10" s="1356"/>
      <c r="AY10" s="1378">
        <f t="shared" si="4"/>
        <v>196014</v>
      </c>
      <c r="AZ10" s="1378">
        <v>2730</v>
      </c>
    </row>
    <row r="11" spans="1:52" s="1379" customFormat="1" ht="16.5" customHeight="1">
      <c r="A11" s="1356">
        <v>8</v>
      </c>
      <c r="B11" s="1356" t="s">
        <v>17474</v>
      </c>
      <c r="C11" s="1358" t="s">
        <v>31</v>
      </c>
      <c r="D11" s="1366" t="s">
        <v>90</v>
      </c>
      <c r="E11" s="1366">
        <v>1</v>
      </c>
      <c r="F11" s="1366" t="s">
        <v>46</v>
      </c>
      <c r="G11" s="1362">
        <v>62.4</v>
      </c>
      <c r="H11" s="1363"/>
      <c r="I11" s="1380">
        <v>47</v>
      </c>
      <c r="J11" s="1365">
        <f t="shared" si="6"/>
        <v>71.8</v>
      </c>
      <c r="K11" s="1371" t="s">
        <v>258</v>
      </c>
      <c r="L11" s="1366" t="s">
        <v>17430</v>
      </c>
      <c r="M11" s="1356">
        <v>-2</v>
      </c>
      <c r="N11" s="1356" t="s">
        <v>312</v>
      </c>
      <c r="O11" s="1356"/>
      <c r="P11" s="293"/>
      <c r="Q11" s="1504"/>
      <c r="R11" s="1369">
        <f>4%*S11</f>
        <v>10600</v>
      </c>
      <c r="S11" s="1369">
        <v>265000</v>
      </c>
      <c r="T11" s="1369">
        <f t="shared" si="5"/>
        <v>259200</v>
      </c>
      <c r="U11" s="1369">
        <v>270000</v>
      </c>
      <c r="V11" s="1369"/>
      <c r="W11" s="1370">
        <f t="shared" si="1"/>
        <v>-1.851851851851849E-2</v>
      </c>
      <c r="X11" s="1371">
        <f t="shared" si="2"/>
        <v>3690.8077994428972</v>
      </c>
      <c r="Y11" s="1371">
        <f t="shared" si="3"/>
        <v>3610.0278551532033</v>
      </c>
      <c r="Z11" s="1371">
        <f t="shared" si="0"/>
        <v>3760.4456824512536</v>
      </c>
      <c r="AA11" s="1371"/>
      <c r="AB11" s="1372">
        <v>45706</v>
      </c>
      <c r="AC11" s="1398">
        <v>45722</v>
      </c>
      <c r="AD11" s="1374">
        <f>5000+48000</f>
        <v>53000</v>
      </c>
      <c r="AE11" s="1399"/>
      <c r="AF11" s="1398"/>
      <c r="AG11" s="1399"/>
      <c r="AH11" s="1398"/>
      <c r="AI11" s="1374">
        <v>212000</v>
      </c>
      <c r="AJ11" s="1356" t="s">
        <v>17556</v>
      </c>
      <c r="AK11" s="1356"/>
      <c r="AL11" s="1356"/>
      <c r="AM11" s="1356"/>
      <c r="AN11" s="1356"/>
      <c r="AO11" s="1356"/>
      <c r="AP11" s="1400" t="s">
        <v>17868</v>
      </c>
      <c r="AQ11" s="1377" t="s">
        <v>565</v>
      </c>
      <c r="AR11" s="1377"/>
      <c r="AS11" s="1377"/>
      <c r="AT11" s="1377"/>
      <c r="AU11" s="1377" t="s">
        <v>18207</v>
      </c>
      <c r="AV11" s="1377">
        <v>961697819</v>
      </c>
      <c r="AW11" s="1400"/>
      <c r="AX11" s="1400"/>
      <c r="AY11" s="1378">
        <f t="shared" si="4"/>
        <v>196014</v>
      </c>
      <c r="AZ11" s="1378">
        <v>2730</v>
      </c>
    </row>
    <row r="12" spans="1:52" s="1379" customFormat="1" ht="16.5" customHeight="1">
      <c r="A12" s="1356">
        <v>9</v>
      </c>
      <c r="B12" s="1356" t="s">
        <v>17474</v>
      </c>
      <c r="C12" s="1358" t="s">
        <v>32</v>
      </c>
      <c r="D12" s="1366" t="s">
        <v>90</v>
      </c>
      <c r="E12" s="1366">
        <v>1</v>
      </c>
      <c r="F12" s="1366" t="s">
        <v>46</v>
      </c>
      <c r="G12" s="1362">
        <v>62.3</v>
      </c>
      <c r="H12" s="1363"/>
      <c r="I12" s="1380">
        <v>46.2</v>
      </c>
      <c r="J12" s="1365">
        <f t="shared" si="6"/>
        <v>71.539999999999992</v>
      </c>
      <c r="K12" s="1371" t="s">
        <v>258</v>
      </c>
      <c r="L12" s="1366" t="s">
        <v>17430</v>
      </c>
      <c r="M12" s="1356">
        <v>-1</v>
      </c>
      <c r="N12" s="1356" t="s">
        <v>312</v>
      </c>
      <c r="O12" s="1356"/>
      <c r="P12" s="1382"/>
      <c r="Q12" s="1356"/>
      <c r="R12" s="1356"/>
      <c r="S12" s="1371">
        <v>270000</v>
      </c>
      <c r="T12" s="1369">
        <f t="shared" si="5"/>
        <v>259200</v>
      </c>
      <c r="U12" s="1369">
        <v>270000</v>
      </c>
      <c r="V12" s="1369"/>
      <c r="W12" s="1370">
        <f t="shared" si="1"/>
        <v>0</v>
      </c>
      <c r="X12" s="1371">
        <f t="shared" si="2"/>
        <v>3774.1123846798996</v>
      </c>
      <c r="Y12" s="1371">
        <f t="shared" si="3"/>
        <v>3623.1478892927039</v>
      </c>
      <c r="Z12" s="1371">
        <f t="shared" si="0"/>
        <v>3774.1123846798996</v>
      </c>
      <c r="AA12" s="1371"/>
      <c r="AB12" s="1372">
        <v>45563</v>
      </c>
      <c r="AC12" s="1373">
        <v>45575</v>
      </c>
      <c r="AD12" s="1374">
        <f>20%*S12</f>
        <v>54000</v>
      </c>
      <c r="AE12" s="1375"/>
      <c r="AF12" s="1373"/>
      <c r="AG12" s="1375"/>
      <c r="AH12" s="1373"/>
      <c r="AI12" s="1374">
        <f>80%*S12</f>
        <v>216000</v>
      </c>
      <c r="AJ12" s="1376" t="s">
        <v>17647</v>
      </c>
      <c r="AK12" s="1356"/>
      <c r="AL12" s="1356"/>
      <c r="AM12" s="1356"/>
      <c r="AN12" s="1356"/>
      <c r="AO12" s="1356"/>
      <c r="AP12" s="1377" t="s">
        <v>17654</v>
      </c>
      <c r="AQ12" s="1377" t="s">
        <v>265</v>
      </c>
      <c r="AR12" s="1377"/>
      <c r="AS12" s="1377"/>
      <c r="AT12" s="1377"/>
      <c r="AU12" s="1377" t="s">
        <v>18208</v>
      </c>
      <c r="AV12" s="1377">
        <v>936422183</v>
      </c>
      <c r="AW12" s="1377"/>
      <c r="AX12" s="1377"/>
      <c r="AY12" s="1378">
        <f t="shared" si="4"/>
        <v>195304.19999999998</v>
      </c>
      <c r="AZ12" s="1378">
        <v>2730</v>
      </c>
    </row>
    <row r="13" spans="1:52" s="1379" customFormat="1" ht="16.5" customHeight="1">
      <c r="A13" s="1356">
        <v>10</v>
      </c>
      <c r="B13" s="1356" t="s">
        <v>17474</v>
      </c>
      <c r="C13" s="1358" t="s">
        <v>33</v>
      </c>
      <c r="D13" s="1366" t="s">
        <v>91</v>
      </c>
      <c r="E13" s="1366">
        <v>1</v>
      </c>
      <c r="F13" s="1366" t="s">
        <v>146</v>
      </c>
      <c r="G13" s="1362">
        <v>87.3</v>
      </c>
      <c r="H13" s="1363"/>
      <c r="I13" s="1380">
        <v>62.7</v>
      </c>
      <c r="J13" s="1365">
        <f t="shared" si="6"/>
        <v>99.84</v>
      </c>
      <c r="K13" s="1356" t="s">
        <v>258</v>
      </c>
      <c r="L13" s="1366" t="s">
        <v>17430</v>
      </c>
      <c r="M13" s="1356">
        <v>-1</v>
      </c>
      <c r="N13" s="1356" t="s">
        <v>215</v>
      </c>
      <c r="O13" s="1356"/>
      <c r="P13" s="293"/>
      <c r="Q13" s="1356"/>
      <c r="R13" s="1356"/>
      <c r="S13" s="1371">
        <v>319680</v>
      </c>
      <c r="T13" s="1369">
        <f t="shared" si="5"/>
        <v>319680</v>
      </c>
      <c r="U13" s="1369">
        <v>333000</v>
      </c>
      <c r="V13" s="1369">
        <v>320000</v>
      </c>
      <c r="W13" s="1370">
        <f t="shared" si="1"/>
        <v>-4.0000000000000036E-2</v>
      </c>
      <c r="X13" s="1371">
        <f t="shared" si="2"/>
        <v>3201.9230769230767</v>
      </c>
      <c r="Y13" s="1371">
        <f t="shared" si="3"/>
        <v>3201.9230769230767</v>
      </c>
      <c r="Z13" s="1371">
        <f t="shared" si="0"/>
        <v>3335.3365384615386</v>
      </c>
      <c r="AA13" s="1372"/>
      <c r="AB13" s="1372">
        <v>45590</v>
      </c>
      <c r="AC13" s="1373">
        <v>45601</v>
      </c>
      <c r="AD13" s="1374">
        <f>20%*S13</f>
        <v>63936</v>
      </c>
      <c r="AE13" s="1375"/>
      <c r="AF13" s="1373"/>
      <c r="AG13" s="1375"/>
      <c r="AH13" s="1373"/>
      <c r="AI13" s="1374">
        <f>80%*S13</f>
        <v>255744</v>
      </c>
      <c r="AJ13" s="1356" t="s">
        <v>17556</v>
      </c>
      <c r="AK13" s="1356"/>
      <c r="AL13" s="1356"/>
      <c r="AM13" s="1356"/>
      <c r="AN13" s="1356"/>
      <c r="AO13" s="1356"/>
      <c r="AP13" s="1377" t="s">
        <v>17702</v>
      </c>
      <c r="AQ13" s="1377" t="s">
        <v>265</v>
      </c>
      <c r="AR13" s="1377"/>
      <c r="AS13" s="1377"/>
      <c r="AT13" s="1377"/>
      <c r="AU13" s="1377" t="s">
        <v>18209</v>
      </c>
      <c r="AV13" s="1377">
        <v>912373654</v>
      </c>
      <c r="AW13" s="1377"/>
      <c r="AX13" s="1377"/>
      <c r="AY13" s="1378">
        <f t="shared" si="4"/>
        <v>272563.20000000001</v>
      </c>
      <c r="AZ13" s="1378">
        <v>2730</v>
      </c>
    </row>
    <row r="14" spans="1:52" s="1379" customFormat="1" ht="16.5" customHeight="1">
      <c r="A14" s="1356">
        <v>11</v>
      </c>
      <c r="B14" s="1356" t="s">
        <v>17474</v>
      </c>
      <c r="C14" s="1358" t="s">
        <v>34</v>
      </c>
      <c r="D14" s="1359" t="s">
        <v>89</v>
      </c>
      <c r="E14" s="1388">
        <v>2</v>
      </c>
      <c r="F14" s="1360" t="s">
        <v>145</v>
      </c>
      <c r="G14" s="1362">
        <v>116.6</v>
      </c>
      <c r="H14" s="1363">
        <v>47.5</v>
      </c>
      <c r="I14" s="1380"/>
      <c r="J14" s="1365">
        <f t="shared" ref="J14:J21" si="7">G14+0.2*H14+0.3*I14</f>
        <v>126.1</v>
      </c>
      <c r="K14" s="1356" t="s">
        <v>258</v>
      </c>
      <c r="L14" s="1366" t="s">
        <v>17523</v>
      </c>
      <c r="M14" s="1356">
        <v>-2</v>
      </c>
      <c r="N14" s="1356" t="s">
        <v>215</v>
      </c>
      <c r="O14" s="1356"/>
      <c r="P14" s="1382"/>
      <c r="Q14" s="1368"/>
      <c r="R14" s="1368"/>
      <c r="S14" s="1369">
        <v>408000</v>
      </c>
      <c r="T14" s="1369">
        <f t="shared" si="5"/>
        <v>412800</v>
      </c>
      <c r="U14" s="1369">
        <v>430000</v>
      </c>
      <c r="V14" s="1369"/>
      <c r="W14" s="1370">
        <f t="shared" si="1"/>
        <v>-5.1162790697674376E-2</v>
      </c>
      <c r="X14" s="1371">
        <f t="shared" si="2"/>
        <v>3235.5273592386998</v>
      </c>
      <c r="Y14" s="1371">
        <f t="shared" si="3"/>
        <v>3273.592386994449</v>
      </c>
      <c r="Z14" s="1371">
        <f t="shared" si="0"/>
        <v>3409.9920697858843</v>
      </c>
      <c r="AA14" s="1372"/>
      <c r="AB14" s="1372">
        <v>45860</v>
      </c>
      <c r="AC14" s="1373">
        <v>45868</v>
      </c>
      <c r="AD14" s="1374">
        <f>5000+76600</f>
        <v>81600</v>
      </c>
      <c r="AE14" s="1375"/>
      <c r="AF14" s="1373"/>
      <c r="AG14" s="1375"/>
      <c r="AH14" s="1373"/>
      <c r="AI14" s="1374">
        <f>80%*S14</f>
        <v>326400</v>
      </c>
      <c r="AJ14" s="1356" t="s">
        <v>17647</v>
      </c>
      <c r="AK14" s="1356"/>
      <c r="AL14" s="1356"/>
      <c r="AM14" s="1356"/>
      <c r="AN14" s="1356"/>
      <c r="AO14" s="1356"/>
      <c r="AP14" s="1377" t="s">
        <v>18060</v>
      </c>
      <c r="AQ14" s="1377" t="s">
        <v>265</v>
      </c>
      <c r="AR14" s="1377"/>
      <c r="AS14" s="1377"/>
      <c r="AT14" s="1377"/>
      <c r="AU14" s="1377"/>
      <c r="AV14" s="1377"/>
      <c r="AW14" s="1377"/>
      <c r="AX14" s="1377"/>
      <c r="AY14" s="1378">
        <f t="shared" si="4"/>
        <v>344253</v>
      </c>
      <c r="AZ14" s="1378">
        <v>2730</v>
      </c>
    </row>
    <row r="15" spans="1:52" s="1379" customFormat="1" ht="16.5" customHeight="1">
      <c r="A15" s="1356">
        <v>12</v>
      </c>
      <c r="B15" s="1356" t="s">
        <v>17474</v>
      </c>
      <c r="C15" s="1358" t="s">
        <v>35</v>
      </c>
      <c r="D15" s="1359" t="s">
        <v>89</v>
      </c>
      <c r="E15" s="1388">
        <v>2</v>
      </c>
      <c r="F15" s="1360" t="s">
        <v>17362</v>
      </c>
      <c r="G15" s="1362">
        <v>135.19999999999999</v>
      </c>
      <c r="H15" s="1363">
        <f>36+20</f>
        <v>56</v>
      </c>
      <c r="I15" s="1380"/>
      <c r="J15" s="1365">
        <f t="shared" si="7"/>
        <v>146.39999999999998</v>
      </c>
      <c r="K15" s="1356" t="s">
        <v>258</v>
      </c>
      <c r="L15" s="1366" t="s">
        <v>17477</v>
      </c>
      <c r="M15" s="1356">
        <v>-1</v>
      </c>
      <c r="N15" s="1356" t="s">
        <v>215</v>
      </c>
      <c r="O15" s="1356"/>
      <c r="P15" s="293"/>
      <c r="Q15" s="1356"/>
      <c r="R15" s="1356"/>
      <c r="S15" s="1369">
        <v>451200</v>
      </c>
      <c r="T15" s="1369">
        <f t="shared" si="5"/>
        <v>451200</v>
      </c>
      <c r="U15" s="1369">
        <v>470000</v>
      </c>
      <c r="V15" s="1369"/>
      <c r="W15" s="1370">
        <f t="shared" si="1"/>
        <v>-4.0000000000000036E-2</v>
      </c>
      <c r="X15" s="1371">
        <f t="shared" si="2"/>
        <v>3081.9672131147545</v>
      </c>
      <c r="Y15" s="1371">
        <f t="shared" si="3"/>
        <v>3081.9672131147545</v>
      </c>
      <c r="Z15" s="1371">
        <f t="shared" si="0"/>
        <v>3210.3825136612027</v>
      </c>
      <c r="AA15" s="1371"/>
      <c r="AB15" s="1372">
        <v>45729</v>
      </c>
      <c r="AC15" s="1373">
        <v>45764</v>
      </c>
      <c r="AD15" s="1374">
        <f>5000+85240</f>
        <v>90240</v>
      </c>
      <c r="AE15" s="1375"/>
      <c r="AF15" s="1373"/>
      <c r="AG15" s="1375"/>
      <c r="AH15" s="1373"/>
      <c r="AI15" s="1374">
        <f>80%*S15</f>
        <v>360960</v>
      </c>
      <c r="AJ15" s="1356" t="s">
        <v>17556</v>
      </c>
      <c r="AK15" s="1356"/>
      <c r="AL15" s="1356"/>
      <c r="AM15" s="1356"/>
      <c r="AN15" s="1356"/>
      <c r="AO15" s="1356"/>
      <c r="AP15" s="1377" t="s">
        <v>17906</v>
      </c>
      <c r="AQ15" s="1377" t="s">
        <v>265</v>
      </c>
      <c r="AR15" s="1377"/>
      <c r="AS15" s="1377"/>
      <c r="AT15" s="1377"/>
      <c r="AU15" s="1377"/>
      <c r="AV15" s="1377"/>
      <c r="AW15" s="1377"/>
      <c r="AX15" s="1377"/>
      <c r="AY15" s="1378">
        <f t="shared" si="4"/>
        <v>399671.99999999994</v>
      </c>
      <c r="AZ15" s="1378">
        <v>2730</v>
      </c>
    </row>
    <row r="16" spans="1:52" s="1379" customFormat="1" ht="16.5" customHeight="1">
      <c r="A16" s="1356">
        <v>13</v>
      </c>
      <c r="B16" s="1356" t="s">
        <v>17474</v>
      </c>
      <c r="C16" s="1358" t="s">
        <v>36</v>
      </c>
      <c r="D16" s="1359" t="s">
        <v>89</v>
      </c>
      <c r="E16" s="1388">
        <v>2</v>
      </c>
      <c r="F16" s="1360" t="s">
        <v>17362</v>
      </c>
      <c r="G16" s="1362">
        <v>135.19999999999999</v>
      </c>
      <c r="H16" s="1363">
        <f>36+20</f>
        <v>56</v>
      </c>
      <c r="I16" s="1380"/>
      <c r="J16" s="1365">
        <f t="shared" si="7"/>
        <v>146.39999999999998</v>
      </c>
      <c r="K16" s="1356" t="s">
        <v>258</v>
      </c>
      <c r="L16" s="1366" t="s">
        <v>17477</v>
      </c>
      <c r="M16" s="1356">
        <v>-1</v>
      </c>
      <c r="N16" s="1356" t="s">
        <v>215</v>
      </c>
      <c r="O16" s="1356"/>
      <c r="P16" s="1382"/>
      <c r="Q16" s="1356"/>
      <c r="R16" s="1356"/>
      <c r="S16" s="1371">
        <v>466000</v>
      </c>
      <c r="T16" s="1369">
        <f t="shared" si="5"/>
        <v>465600</v>
      </c>
      <c r="U16" s="1369">
        <v>485000</v>
      </c>
      <c r="V16" s="1369"/>
      <c r="W16" s="1370">
        <f t="shared" si="1"/>
        <v>-3.9175257731958735E-2</v>
      </c>
      <c r="X16" s="1371">
        <f t="shared" si="2"/>
        <v>3183.0601092896181</v>
      </c>
      <c r="Y16" s="1371">
        <f t="shared" si="3"/>
        <v>3180.3278688524597</v>
      </c>
      <c r="Z16" s="1371">
        <f t="shared" si="0"/>
        <v>3312.8415300546453</v>
      </c>
      <c r="AA16" s="1371"/>
      <c r="AB16" s="1372">
        <v>45706</v>
      </c>
      <c r="AC16" s="1398">
        <v>45792</v>
      </c>
      <c r="AD16" s="1374">
        <f>5000+36000</f>
        <v>41000</v>
      </c>
      <c r="AE16" s="1375">
        <v>20500</v>
      </c>
      <c r="AF16" s="1373">
        <f>120+AC16</f>
        <v>45912</v>
      </c>
      <c r="AG16" s="1375">
        <v>20500</v>
      </c>
      <c r="AH16" s="1373">
        <f>120+AF16</f>
        <v>46032</v>
      </c>
      <c r="AI16" s="1374">
        <v>384000</v>
      </c>
      <c r="AJ16" s="1356" t="s">
        <v>17556</v>
      </c>
      <c r="AK16" s="1356"/>
      <c r="AL16" s="1356"/>
      <c r="AM16" s="1356"/>
      <c r="AN16" s="1356"/>
      <c r="AO16" s="1356"/>
      <c r="AP16" s="1400" t="s">
        <v>17899</v>
      </c>
      <c r="AQ16" s="1377" t="s">
        <v>565</v>
      </c>
      <c r="AR16" s="1377"/>
      <c r="AS16" s="1377"/>
      <c r="AT16" s="1377"/>
      <c r="AU16" s="1377" t="s">
        <v>18210</v>
      </c>
      <c r="AV16" s="1377">
        <v>918852877</v>
      </c>
      <c r="AW16" s="1377"/>
      <c r="AX16" s="1377"/>
      <c r="AY16" s="1378">
        <f t="shared" si="4"/>
        <v>399671.99999999994</v>
      </c>
      <c r="AZ16" s="1378">
        <v>2730</v>
      </c>
    </row>
    <row r="17" spans="1:52" s="1379" customFormat="1" ht="16.5" customHeight="1" thickBot="1">
      <c r="A17" s="1356">
        <v>14</v>
      </c>
      <c r="B17" s="1356" t="s">
        <v>17474</v>
      </c>
      <c r="C17" s="1358" t="s">
        <v>37</v>
      </c>
      <c r="D17" s="1359" t="s">
        <v>89</v>
      </c>
      <c r="E17" s="1388">
        <v>2</v>
      </c>
      <c r="F17" s="1360" t="s">
        <v>17268</v>
      </c>
      <c r="G17" s="1362">
        <v>116.6</v>
      </c>
      <c r="H17" s="1363">
        <v>47.5</v>
      </c>
      <c r="I17" s="1364"/>
      <c r="J17" s="1365">
        <f t="shared" si="7"/>
        <v>126.1</v>
      </c>
      <c r="K17" s="1356" t="s">
        <v>258</v>
      </c>
      <c r="L17" s="1366" t="s">
        <v>17477</v>
      </c>
      <c r="M17" s="1356">
        <v>-2</v>
      </c>
      <c r="N17" s="1356" t="s">
        <v>215</v>
      </c>
      <c r="O17" s="1356"/>
      <c r="P17" s="1621"/>
      <c r="Q17" s="1356"/>
      <c r="R17" s="1356"/>
      <c r="S17" s="1371">
        <v>422400</v>
      </c>
      <c r="T17" s="1369">
        <f t="shared" si="5"/>
        <v>422400</v>
      </c>
      <c r="U17" s="1369">
        <v>440000</v>
      </c>
      <c r="V17" s="1369"/>
      <c r="W17" s="1370">
        <f t="shared" si="1"/>
        <v>-4.0000000000000036E-2</v>
      </c>
      <c r="X17" s="1371">
        <f t="shared" si="2"/>
        <v>3349.722442505948</v>
      </c>
      <c r="Y17" s="1371">
        <f t="shared" si="3"/>
        <v>3349.722442505948</v>
      </c>
      <c r="Z17" s="1371">
        <f t="shared" si="0"/>
        <v>3489.2942109436958</v>
      </c>
      <c r="AA17" s="1371"/>
      <c r="AB17" s="1372">
        <v>45744</v>
      </c>
      <c r="AC17" s="1373">
        <v>45782</v>
      </c>
      <c r="AD17" s="1374">
        <f>5000+79480</f>
        <v>84480</v>
      </c>
      <c r="AE17" s="1375"/>
      <c r="AF17" s="1373"/>
      <c r="AG17" s="1375"/>
      <c r="AH17" s="1373"/>
      <c r="AI17" s="1374">
        <f t="shared" ref="AI17:AI22" si="8">80%*S17</f>
        <v>337920</v>
      </c>
      <c r="AJ17" s="1356" t="s">
        <v>17556</v>
      </c>
      <c r="AK17" s="1356"/>
      <c r="AL17" s="1356"/>
      <c r="AM17" s="1356"/>
      <c r="AN17" s="1356"/>
      <c r="AO17" s="1356"/>
      <c r="AP17" s="1377" t="s">
        <v>17996</v>
      </c>
      <c r="AQ17" s="1377" t="s">
        <v>17997</v>
      </c>
      <c r="AR17" s="1377"/>
      <c r="AS17" s="1377"/>
      <c r="AT17" s="1377"/>
      <c r="AU17" s="1377"/>
      <c r="AV17" s="1377"/>
      <c r="AW17" s="1377"/>
      <c r="AX17" s="1377"/>
      <c r="AY17" s="1378">
        <f t="shared" si="4"/>
        <v>344253</v>
      </c>
      <c r="AZ17" s="1378">
        <v>2730</v>
      </c>
    </row>
    <row r="18" spans="1:52" s="1379" customFormat="1" ht="16.5" customHeight="1">
      <c r="A18" s="1523">
        <v>15</v>
      </c>
      <c r="B18" s="1356" t="s">
        <v>17474</v>
      </c>
      <c r="C18" s="1592" t="s">
        <v>38</v>
      </c>
      <c r="D18" s="1593" t="s">
        <v>91</v>
      </c>
      <c r="E18" s="1594">
        <v>2</v>
      </c>
      <c r="F18" s="1595" t="s">
        <v>17269</v>
      </c>
      <c r="G18" s="1596">
        <v>86.7</v>
      </c>
      <c r="H18" s="1597">
        <v>60.3</v>
      </c>
      <c r="I18" s="1598"/>
      <c r="J18" s="1365">
        <f t="shared" si="7"/>
        <v>98.76</v>
      </c>
      <c r="K18" s="1523" t="s">
        <v>258</v>
      </c>
      <c r="L18" s="1366" t="s">
        <v>17430</v>
      </c>
      <c r="M18" s="1356">
        <v>-1</v>
      </c>
      <c r="N18" s="1356" t="s">
        <v>215</v>
      </c>
      <c r="O18" s="1523"/>
      <c r="P18" s="1599"/>
      <c r="Q18" s="1523"/>
      <c r="R18" s="1523"/>
      <c r="S18" s="1600">
        <v>340800</v>
      </c>
      <c r="T18" s="1369">
        <f t="shared" si="5"/>
        <v>340800</v>
      </c>
      <c r="U18" s="1601">
        <v>355000</v>
      </c>
      <c r="V18" s="1601">
        <v>335000</v>
      </c>
      <c r="W18" s="1370">
        <f t="shared" si="1"/>
        <v>-4.0000000000000036E-2</v>
      </c>
      <c r="X18" s="1371">
        <f t="shared" si="2"/>
        <v>3450.7897934386388</v>
      </c>
      <c r="Y18" s="1371">
        <f t="shared" si="3"/>
        <v>3450.7897934386388</v>
      </c>
      <c r="Z18" s="1371">
        <f t="shared" si="0"/>
        <v>3594.5727014985823</v>
      </c>
      <c r="AA18" s="1600"/>
      <c r="AB18" s="1602">
        <v>45742</v>
      </c>
      <c r="AC18" s="1603">
        <v>45762</v>
      </c>
      <c r="AD18" s="1604">
        <f>20%*S18</f>
        <v>68160</v>
      </c>
      <c r="AE18" s="1605"/>
      <c r="AF18" s="1603"/>
      <c r="AG18" s="1605"/>
      <c r="AH18" s="1603"/>
      <c r="AI18" s="1604">
        <f t="shared" si="8"/>
        <v>272640</v>
      </c>
      <c r="AJ18" s="1523" t="s">
        <v>17556</v>
      </c>
      <c r="AK18" s="1523"/>
      <c r="AL18" s="1523"/>
      <c r="AM18" s="1523"/>
      <c r="AN18" s="1523"/>
      <c r="AO18" s="1523"/>
      <c r="AP18" s="1606" t="s">
        <v>17905</v>
      </c>
      <c r="AQ18" s="1606" t="s">
        <v>265</v>
      </c>
      <c r="AR18" s="1606"/>
      <c r="AS18" s="1606"/>
      <c r="AT18" s="1606"/>
      <c r="AU18" s="1606"/>
      <c r="AV18" s="1606"/>
      <c r="AW18" s="1606"/>
      <c r="AX18" s="1606"/>
      <c r="AY18" s="1378">
        <f t="shared" si="4"/>
        <v>269614.8</v>
      </c>
      <c r="AZ18" s="1378">
        <v>2730</v>
      </c>
    </row>
    <row r="19" spans="1:52" s="1356" customFormat="1" ht="16.5" customHeight="1">
      <c r="A19" s="1356">
        <v>16</v>
      </c>
      <c r="B19" s="1356" t="s">
        <v>17474</v>
      </c>
      <c r="C19" s="1358" t="s">
        <v>39</v>
      </c>
      <c r="D19" s="1359" t="s">
        <v>90</v>
      </c>
      <c r="E19" s="1388">
        <v>2</v>
      </c>
      <c r="F19" s="1360" t="s">
        <v>46</v>
      </c>
      <c r="G19" s="1362">
        <v>63.4</v>
      </c>
      <c r="H19" s="1363">
        <v>25.1</v>
      </c>
      <c r="I19" s="1380"/>
      <c r="J19" s="1365">
        <f t="shared" si="7"/>
        <v>68.42</v>
      </c>
      <c r="K19" s="1371" t="s">
        <v>258</v>
      </c>
      <c r="L19" s="1366" t="s">
        <v>17430</v>
      </c>
      <c r="M19" s="1356">
        <v>-1</v>
      </c>
      <c r="N19" s="1356" t="s">
        <v>312</v>
      </c>
      <c r="P19" s="293"/>
      <c r="S19" s="1371">
        <v>264000</v>
      </c>
      <c r="T19" s="1369">
        <f t="shared" si="5"/>
        <v>264000</v>
      </c>
      <c r="U19" s="1371">
        <v>275000</v>
      </c>
      <c r="V19" s="1371"/>
      <c r="W19" s="1370">
        <f t="shared" si="1"/>
        <v>-4.0000000000000036E-2</v>
      </c>
      <c r="X19" s="1371">
        <f t="shared" si="2"/>
        <v>3858.5209003215432</v>
      </c>
      <c r="Y19" s="1371">
        <f t="shared" si="3"/>
        <v>3858.5209003215432</v>
      </c>
      <c r="Z19" s="1371">
        <f t="shared" si="0"/>
        <v>4019.2926045016075</v>
      </c>
      <c r="AA19" s="1371"/>
      <c r="AB19" s="1372">
        <v>45568</v>
      </c>
      <c r="AC19" s="1373">
        <v>45625</v>
      </c>
      <c r="AD19" s="1374">
        <f>20%*S19</f>
        <v>52800</v>
      </c>
      <c r="AE19" s="1375"/>
      <c r="AF19" s="1373"/>
      <c r="AG19" s="1375"/>
      <c r="AH19" s="1373"/>
      <c r="AI19" s="1374">
        <f t="shared" si="8"/>
        <v>211200</v>
      </c>
      <c r="AJ19" s="1356" t="s">
        <v>17556</v>
      </c>
      <c r="AP19" s="1377" t="s">
        <v>17710</v>
      </c>
      <c r="AQ19" s="1377" t="s">
        <v>265</v>
      </c>
      <c r="AR19" s="1377"/>
      <c r="AS19" s="1377"/>
      <c r="AT19" s="1377"/>
      <c r="AU19" s="1377" t="s">
        <v>18211</v>
      </c>
      <c r="AV19" s="1377">
        <v>273098336</v>
      </c>
      <c r="AW19" s="1377"/>
      <c r="AX19" s="1377"/>
      <c r="AY19" s="1378">
        <f t="shared" si="4"/>
        <v>186786.6</v>
      </c>
      <c r="AZ19" s="1378">
        <v>2730</v>
      </c>
    </row>
    <row r="20" spans="1:52" s="1356" customFormat="1" ht="16.5" customHeight="1">
      <c r="A20" s="1356">
        <v>17</v>
      </c>
      <c r="B20" s="1356" t="s">
        <v>17474</v>
      </c>
      <c r="C20" s="1358" t="s">
        <v>40</v>
      </c>
      <c r="D20" s="1359" t="s">
        <v>90</v>
      </c>
      <c r="E20" s="1388">
        <v>2</v>
      </c>
      <c r="F20" s="1388" t="s">
        <v>46</v>
      </c>
      <c r="G20" s="1362">
        <v>63.4</v>
      </c>
      <c r="H20" s="1363">
        <v>25.1</v>
      </c>
      <c r="I20" s="1380"/>
      <c r="J20" s="1365">
        <f t="shared" si="7"/>
        <v>68.42</v>
      </c>
      <c r="K20" s="1371" t="s">
        <v>258</v>
      </c>
      <c r="L20" s="1366" t="s">
        <v>17430</v>
      </c>
      <c r="M20" s="1356">
        <v>-1</v>
      </c>
      <c r="N20" s="1356" t="s">
        <v>312</v>
      </c>
      <c r="P20" s="1382"/>
      <c r="S20" s="1371">
        <v>264000</v>
      </c>
      <c r="T20" s="1369">
        <f t="shared" si="5"/>
        <v>264000</v>
      </c>
      <c r="U20" s="1371">
        <v>275000</v>
      </c>
      <c r="V20" s="1371"/>
      <c r="W20" s="1370">
        <f t="shared" si="1"/>
        <v>-4.0000000000000036E-2</v>
      </c>
      <c r="X20" s="1371">
        <f t="shared" si="2"/>
        <v>3858.5209003215432</v>
      </c>
      <c r="Y20" s="1371">
        <f t="shared" si="3"/>
        <v>3858.5209003215432</v>
      </c>
      <c r="Z20" s="1371">
        <f t="shared" si="0"/>
        <v>4019.2926045016075</v>
      </c>
      <c r="AA20" s="1371"/>
      <c r="AB20" s="1372"/>
      <c r="AC20" s="1372">
        <v>45594</v>
      </c>
      <c r="AD20" s="1374">
        <f>20%*S20</f>
        <v>52800</v>
      </c>
      <c r="AE20" s="1395"/>
      <c r="AF20" s="1372"/>
      <c r="AG20" s="1395"/>
      <c r="AH20" s="1372"/>
      <c r="AI20" s="1374">
        <f t="shared" si="8"/>
        <v>211200</v>
      </c>
      <c r="AJ20" s="1356" t="s">
        <v>274</v>
      </c>
      <c r="AP20" s="1356" t="s">
        <v>17703</v>
      </c>
      <c r="AQ20" s="1377" t="s">
        <v>517</v>
      </c>
      <c r="AR20" s="1377"/>
      <c r="AS20" s="1377"/>
      <c r="AT20" s="1377"/>
      <c r="AU20" s="1377" t="s">
        <v>17929</v>
      </c>
      <c r="AV20" s="1801"/>
      <c r="AY20" s="1378">
        <f t="shared" si="4"/>
        <v>186786.6</v>
      </c>
      <c r="AZ20" s="1378">
        <v>2730</v>
      </c>
    </row>
    <row r="21" spans="1:52" s="1356" customFormat="1" ht="16.5" customHeight="1">
      <c r="A21" s="1356">
        <v>18</v>
      </c>
      <c r="B21" s="1356" t="s">
        <v>17474</v>
      </c>
      <c r="C21" s="1358" t="s">
        <v>41</v>
      </c>
      <c r="D21" s="1359" t="s">
        <v>91</v>
      </c>
      <c r="E21" s="1388">
        <v>2</v>
      </c>
      <c r="F21" s="1360" t="s">
        <v>146</v>
      </c>
      <c r="G21" s="1362">
        <v>86.7</v>
      </c>
      <c r="H21" s="1363">
        <v>60.3</v>
      </c>
      <c r="I21" s="1380"/>
      <c r="J21" s="1365">
        <f t="shared" si="7"/>
        <v>98.76</v>
      </c>
      <c r="K21" s="1356" t="s">
        <v>258</v>
      </c>
      <c r="L21" s="1366" t="s">
        <v>17430</v>
      </c>
      <c r="M21" s="1356">
        <v>-1</v>
      </c>
      <c r="N21" s="1356" t="s">
        <v>215</v>
      </c>
      <c r="P21" s="293"/>
      <c r="S21" s="1371">
        <f>0.96*U21</f>
        <v>340800</v>
      </c>
      <c r="T21" s="1369">
        <f t="shared" si="5"/>
        <v>340800</v>
      </c>
      <c r="U21" s="1371">
        <v>355000</v>
      </c>
      <c r="V21" s="1371"/>
      <c r="W21" s="1370">
        <f t="shared" si="1"/>
        <v>-4.0000000000000036E-2</v>
      </c>
      <c r="X21" s="1371">
        <f t="shared" si="2"/>
        <v>3450.7897934386388</v>
      </c>
      <c r="Y21" s="1371">
        <f t="shared" si="3"/>
        <v>3450.7897934386388</v>
      </c>
      <c r="Z21" s="1371">
        <f t="shared" si="0"/>
        <v>3594.5727014985823</v>
      </c>
      <c r="AA21" s="1371"/>
      <c r="AB21" s="1372">
        <v>45563</v>
      </c>
      <c r="AC21" s="1373">
        <v>45647</v>
      </c>
      <c r="AD21" s="1374">
        <f>20%*S21</f>
        <v>68160</v>
      </c>
      <c r="AE21" s="1375"/>
      <c r="AF21" s="1373"/>
      <c r="AG21" s="1375"/>
      <c r="AH21" s="1373"/>
      <c r="AI21" s="1374">
        <f t="shared" si="8"/>
        <v>272640</v>
      </c>
      <c r="AJ21" s="1376" t="s">
        <v>17647</v>
      </c>
      <c r="AP21" s="1377" t="s">
        <v>17666</v>
      </c>
      <c r="AQ21" s="1377" t="s">
        <v>265</v>
      </c>
      <c r="AR21" s="1377"/>
      <c r="AS21" s="1377"/>
      <c r="AT21" s="1377"/>
      <c r="AU21" s="1377" t="s">
        <v>18212</v>
      </c>
      <c r="AV21" s="1377">
        <v>916442592</v>
      </c>
      <c r="AW21" s="1377"/>
      <c r="AX21" s="1377"/>
      <c r="AY21" s="1378">
        <f t="shared" si="4"/>
        <v>269614.8</v>
      </c>
      <c r="AZ21" s="1378">
        <v>2730</v>
      </c>
    </row>
    <row r="22" spans="1:52" s="1379" customFormat="1" ht="16.5" customHeight="1">
      <c r="A22" s="1384">
        <v>19</v>
      </c>
      <c r="B22" s="1356" t="s">
        <v>17474</v>
      </c>
      <c r="C22" s="1833" t="s">
        <v>42</v>
      </c>
      <c r="D22" s="1834" t="s">
        <v>89</v>
      </c>
      <c r="E22" s="1835">
        <v>3</v>
      </c>
      <c r="F22" s="1835" t="s">
        <v>145</v>
      </c>
      <c r="G22" s="1836">
        <v>116.6</v>
      </c>
      <c r="H22" s="1837">
        <v>21.1</v>
      </c>
      <c r="I22" s="1838"/>
      <c r="J22" s="1365">
        <f>G22+0.3*H22+0.3*I22</f>
        <v>122.92999999999999</v>
      </c>
      <c r="K22" s="1384" t="s">
        <v>258</v>
      </c>
      <c r="L22" s="1366" t="s">
        <v>17523</v>
      </c>
      <c r="M22" s="1356">
        <v>-2</v>
      </c>
      <c r="N22" s="1356" t="s">
        <v>215</v>
      </c>
      <c r="O22" s="1384"/>
      <c r="P22" s="1839"/>
      <c r="Q22" s="1384"/>
      <c r="R22" s="1840"/>
      <c r="S22" s="1841">
        <v>417600</v>
      </c>
      <c r="T22" s="1369">
        <f t="shared" si="5"/>
        <v>417600</v>
      </c>
      <c r="U22" s="1841">
        <v>435000</v>
      </c>
      <c r="V22" s="1841"/>
      <c r="W22" s="1370">
        <f t="shared" si="1"/>
        <v>-4.0000000000000036E-2</v>
      </c>
      <c r="X22" s="1371">
        <f t="shared" si="2"/>
        <v>3397.0552346864069</v>
      </c>
      <c r="Y22" s="1371">
        <f t="shared" si="3"/>
        <v>3397.0552346864069</v>
      </c>
      <c r="Z22" s="1371">
        <f t="shared" si="0"/>
        <v>3538.5992027983407</v>
      </c>
      <c r="AA22" s="1842"/>
      <c r="AB22" s="1843">
        <v>45892</v>
      </c>
      <c r="AC22" s="1844">
        <v>45947</v>
      </c>
      <c r="AD22" s="1845">
        <f>20%*S22</f>
        <v>83520</v>
      </c>
      <c r="AE22" s="1846"/>
      <c r="AF22" s="1844"/>
      <c r="AG22" s="1846"/>
      <c r="AH22" s="1844"/>
      <c r="AI22" s="1845">
        <f t="shared" si="8"/>
        <v>334080</v>
      </c>
      <c r="AJ22" s="1384" t="s">
        <v>17556</v>
      </c>
      <c r="AK22" s="1384"/>
      <c r="AL22" s="1384"/>
      <c r="AM22" s="1384"/>
      <c r="AN22" s="1384"/>
      <c r="AO22" s="1384"/>
      <c r="AP22" s="1847" t="s">
        <v>18364</v>
      </c>
      <c r="AQ22" s="1847" t="s">
        <v>265</v>
      </c>
      <c r="AR22" s="1847"/>
      <c r="AS22" s="1847"/>
      <c r="AT22" s="1847"/>
      <c r="AU22" s="1847"/>
      <c r="AV22" s="1847"/>
      <c r="AW22" s="1847"/>
      <c r="AX22" s="1847"/>
      <c r="AY22" s="1378">
        <f t="shared" si="4"/>
        <v>335598.89999999997</v>
      </c>
      <c r="AZ22" s="1378">
        <v>2730</v>
      </c>
    </row>
    <row r="23" spans="1:52" s="1379" customFormat="1" ht="16.5" customHeight="1">
      <c r="A23" s="1356">
        <v>20</v>
      </c>
      <c r="B23" s="1356" t="s">
        <v>17474</v>
      </c>
      <c r="C23" s="1358" t="s">
        <v>43</v>
      </c>
      <c r="D23" s="1359" t="s">
        <v>89</v>
      </c>
      <c r="E23" s="1360">
        <v>3</v>
      </c>
      <c r="F23" s="1360" t="s">
        <v>17362</v>
      </c>
      <c r="G23" s="1362">
        <v>134.6</v>
      </c>
      <c r="H23" s="1363">
        <f>7.6+24.6</f>
        <v>32.200000000000003</v>
      </c>
      <c r="I23" s="1380"/>
      <c r="J23" s="1365">
        <f>G23+0.3*H23+0.3*I23</f>
        <v>144.26</v>
      </c>
      <c r="K23" s="1356" t="s">
        <v>258</v>
      </c>
      <c r="L23" s="1366" t="s">
        <v>17477</v>
      </c>
      <c r="M23" s="1356">
        <v>-2</v>
      </c>
      <c r="N23" s="1356" t="s">
        <v>215</v>
      </c>
      <c r="O23" s="1356"/>
      <c r="P23" s="293"/>
      <c r="Q23" s="1356"/>
      <c r="R23" s="1356"/>
      <c r="S23" s="1371">
        <v>456000</v>
      </c>
      <c r="T23" s="1369">
        <f t="shared" si="5"/>
        <v>456000</v>
      </c>
      <c r="U23" s="1369">
        <v>475000</v>
      </c>
      <c r="V23" s="1369"/>
      <c r="W23" s="1370">
        <f t="shared" si="1"/>
        <v>-4.0000000000000036E-2</v>
      </c>
      <c r="X23" s="1371">
        <f t="shared" si="2"/>
        <v>3160.9593788992102</v>
      </c>
      <c r="Y23" s="1371">
        <f t="shared" si="3"/>
        <v>3160.9593788992102</v>
      </c>
      <c r="Z23" s="1371">
        <f t="shared" si="0"/>
        <v>3292.6660196866769</v>
      </c>
      <c r="AA23" s="1371"/>
      <c r="AB23" s="1372">
        <v>45747</v>
      </c>
      <c r="AC23" s="1398">
        <v>45764</v>
      </c>
      <c r="AD23" s="1374">
        <f>5000+86200</f>
        <v>91200</v>
      </c>
      <c r="AE23" s="1375"/>
      <c r="AF23" s="1373"/>
      <c r="AG23" s="1375"/>
      <c r="AH23" s="1373"/>
      <c r="AI23" s="1374">
        <v>364800</v>
      </c>
      <c r="AJ23" s="1356" t="s">
        <v>17556</v>
      </c>
      <c r="AK23" s="1356"/>
      <c r="AL23" s="1356"/>
      <c r="AM23" s="1356"/>
      <c r="AN23" s="1356"/>
      <c r="AO23" s="1356"/>
      <c r="AP23" s="1400" t="s">
        <v>17924</v>
      </c>
      <c r="AQ23" s="1377" t="s">
        <v>17721</v>
      </c>
      <c r="AR23" s="1377"/>
      <c r="AS23" s="1377"/>
      <c r="AT23" s="1377"/>
      <c r="AU23" s="1377"/>
      <c r="AV23" s="1377"/>
      <c r="AW23" s="1377"/>
      <c r="AX23" s="1377"/>
      <c r="AY23" s="1378">
        <f t="shared" si="4"/>
        <v>393829.8</v>
      </c>
      <c r="AZ23" s="1378">
        <v>2730</v>
      </c>
    </row>
    <row r="24" spans="1:52" s="1379" customFormat="1" ht="16.5" customHeight="1">
      <c r="A24" s="1356">
        <v>21</v>
      </c>
      <c r="B24" s="1356" t="s">
        <v>17474</v>
      </c>
      <c r="C24" s="1358" t="s">
        <v>44</v>
      </c>
      <c r="D24" s="1359" t="s">
        <v>89</v>
      </c>
      <c r="E24" s="1360">
        <v>3</v>
      </c>
      <c r="F24" s="1360" t="s">
        <v>17362</v>
      </c>
      <c r="G24" s="1362">
        <v>134.6</v>
      </c>
      <c r="H24" s="1363">
        <f>7.6+24.6</f>
        <v>32.200000000000003</v>
      </c>
      <c r="I24" s="1380"/>
      <c r="J24" s="1365">
        <f>G24+0.3*H24+0.3*I24</f>
        <v>144.26</v>
      </c>
      <c r="K24" s="1356" t="s">
        <v>258</v>
      </c>
      <c r="L24" s="1366" t="s">
        <v>17477</v>
      </c>
      <c r="M24" s="1356">
        <v>-2</v>
      </c>
      <c r="N24" s="1356" t="s">
        <v>215</v>
      </c>
      <c r="O24" s="1356"/>
      <c r="P24" s="1382"/>
      <c r="Q24" s="1368"/>
      <c r="R24" s="1368"/>
      <c r="S24" s="1369">
        <v>471000</v>
      </c>
      <c r="T24" s="1369">
        <f t="shared" si="5"/>
        <v>470400</v>
      </c>
      <c r="U24" s="1369">
        <v>490000</v>
      </c>
      <c r="V24" s="1369"/>
      <c r="W24" s="1370">
        <f t="shared" si="1"/>
        <v>-3.8775510204081653E-2</v>
      </c>
      <c r="X24" s="1371">
        <f t="shared" si="2"/>
        <v>3264.9383058366839</v>
      </c>
      <c r="Y24" s="1371">
        <f t="shared" si="3"/>
        <v>3260.7791487591849</v>
      </c>
      <c r="Z24" s="1371">
        <f t="shared" si="0"/>
        <v>3396.6449466241511</v>
      </c>
      <c r="AA24" s="1372"/>
      <c r="AB24" s="1372">
        <v>45814</v>
      </c>
      <c r="AC24" s="1373">
        <v>45863</v>
      </c>
      <c r="AD24" s="1374">
        <f>5000+89200</f>
        <v>94200</v>
      </c>
      <c r="AE24" s="1375"/>
      <c r="AF24" s="1373"/>
      <c r="AG24" s="1375"/>
      <c r="AH24" s="1373"/>
      <c r="AI24" s="1374">
        <f>80%*S24</f>
        <v>376800</v>
      </c>
      <c r="AJ24" s="1356" t="s">
        <v>17556</v>
      </c>
      <c r="AK24" s="1356"/>
      <c r="AL24" s="1356"/>
      <c r="AM24" s="1356"/>
      <c r="AN24" s="1356"/>
      <c r="AO24" s="1356"/>
      <c r="AP24" s="1377" t="s">
        <v>18046</v>
      </c>
      <c r="AQ24" s="1377" t="s">
        <v>265</v>
      </c>
      <c r="AR24" s="1377"/>
      <c r="AS24" s="1377"/>
      <c r="AT24" s="1377"/>
      <c r="AU24" s="1377"/>
      <c r="AV24" s="1377"/>
      <c r="AW24" s="1377"/>
      <c r="AX24" s="1377"/>
      <c r="AY24" s="1378">
        <f t="shared" si="4"/>
        <v>393829.8</v>
      </c>
      <c r="AZ24" s="1378">
        <v>2730</v>
      </c>
    </row>
    <row r="25" spans="1:52" s="1379" customFormat="1" ht="16.5" customHeight="1">
      <c r="A25" s="1356">
        <v>22</v>
      </c>
      <c r="B25" s="1356" t="s">
        <v>17474</v>
      </c>
      <c r="C25" s="1358" t="s">
        <v>45</v>
      </c>
      <c r="D25" s="1359" t="s">
        <v>89</v>
      </c>
      <c r="E25" s="1360">
        <v>3</v>
      </c>
      <c r="F25" s="1360" t="s">
        <v>17268</v>
      </c>
      <c r="G25" s="1362">
        <v>116.6</v>
      </c>
      <c r="H25" s="1363">
        <v>16.5</v>
      </c>
      <c r="I25" s="1380"/>
      <c r="J25" s="1365">
        <f>G25+0.3*H25+0.3*I25</f>
        <v>121.55</v>
      </c>
      <c r="K25" s="1356" t="s">
        <v>258</v>
      </c>
      <c r="L25" s="1366" t="s">
        <v>17477</v>
      </c>
      <c r="M25" s="1356">
        <v>-2</v>
      </c>
      <c r="N25" s="1356" t="s">
        <v>215</v>
      </c>
      <c r="O25" s="1356"/>
      <c r="P25" s="293"/>
      <c r="Q25" s="1356"/>
      <c r="R25" s="1356"/>
      <c r="S25" s="1371">
        <v>427200</v>
      </c>
      <c r="T25" s="1369">
        <f t="shared" si="5"/>
        <v>436800</v>
      </c>
      <c r="U25" s="1369">
        <v>455000</v>
      </c>
      <c r="V25" s="1369"/>
      <c r="W25" s="1370">
        <f t="shared" si="1"/>
        <v>-6.1098901098901148E-2</v>
      </c>
      <c r="X25" s="1371">
        <f t="shared" si="2"/>
        <v>3514.6030440148088</v>
      </c>
      <c r="Y25" s="1371">
        <f t="shared" si="3"/>
        <v>3593.5828877005347</v>
      </c>
      <c r="Z25" s="1371">
        <f t="shared" si="0"/>
        <v>3743.3155080213905</v>
      </c>
      <c r="AA25" s="1371"/>
      <c r="AB25" s="1372">
        <v>45895</v>
      </c>
      <c r="AC25" s="1373">
        <v>45972</v>
      </c>
      <c r="AD25" s="1374">
        <f>5000+80440</f>
        <v>85440</v>
      </c>
      <c r="AE25" s="1375"/>
      <c r="AF25" s="1373"/>
      <c r="AG25" s="1375"/>
      <c r="AH25" s="1373"/>
      <c r="AI25" s="1374">
        <f>80%*S25</f>
        <v>341760</v>
      </c>
      <c r="AJ25" s="1356" t="s">
        <v>17556</v>
      </c>
      <c r="AK25" s="1356"/>
      <c r="AL25" s="1356"/>
      <c r="AM25" s="1356"/>
      <c r="AN25" s="1356"/>
      <c r="AO25" s="1356"/>
      <c r="AP25" s="1377" t="s">
        <v>18074</v>
      </c>
      <c r="AQ25" s="1377" t="s">
        <v>265</v>
      </c>
      <c r="AR25" s="1377"/>
      <c r="AS25" s="1377"/>
      <c r="AT25" s="1377"/>
      <c r="AU25" s="1428"/>
      <c r="AV25" s="1377"/>
      <c r="AW25" s="1377"/>
      <c r="AX25" s="1377"/>
      <c r="AY25" s="1378">
        <f t="shared" si="4"/>
        <v>331831.5</v>
      </c>
      <c r="AZ25" s="1378">
        <v>2730</v>
      </c>
    </row>
    <row r="26" spans="1:52" s="1379" customFormat="1" ht="16.5" customHeight="1">
      <c r="A26" s="1356">
        <v>23</v>
      </c>
      <c r="B26" s="1356" t="s">
        <v>17474</v>
      </c>
      <c r="C26" s="1358" t="s">
        <v>46</v>
      </c>
      <c r="D26" s="1359" t="s">
        <v>91</v>
      </c>
      <c r="E26" s="1360">
        <v>3</v>
      </c>
      <c r="F26" s="1360" t="s">
        <v>17269</v>
      </c>
      <c r="G26" s="1362">
        <v>85.8</v>
      </c>
      <c r="H26" s="1363">
        <v>54.9</v>
      </c>
      <c r="I26" s="1380"/>
      <c r="J26" s="1365">
        <f>G26+0.2*H26+0.3*I26</f>
        <v>96.78</v>
      </c>
      <c r="K26" s="1356" t="s">
        <v>258</v>
      </c>
      <c r="L26" s="1366" t="s">
        <v>17430</v>
      </c>
      <c r="M26" s="1356">
        <v>-1</v>
      </c>
      <c r="N26" s="1356" t="s">
        <v>215</v>
      </c>
      <c r="O26" s="1356"/>
      <c r="P26" s="1382"/>
      <c r="Q26" s="1368"/>
      <c r="R26" s="1368"/>
      <c r="S26" s="1369">
        <v>345600</v>
      </c>
      <c r="T26" s="1369">
        <f t="shared" si="5"/>
        <v>345600</v>
      </c>
      <c r="U26" s="1369">
        <v>360000</v>
      </c>
      <c r="V26" s="1369">
        <v>340000</v>
      </c>
      <c r="W26" s="1370">
        <f t="shared" si="1"/>
        <v>-4.0000000000000036E-2</v>
      </c>
      <c r="X26" s="1371">
        <f t="shared" si="2"/>
        <v>3570.9857408555486</v>
      </c>
      <c r="Y26" s="1371">
        <f t="shared" si="3"/>
        <v>3570.9857408555486</v>
      </c>
      <c r="Z26" s="1371">
        <f t="shared" si="0"/>
        <v>3719.7768133911964</v>
      </c>
      <c r="AA26" s="1371"/>
      <c r="AB26" s="1372">
        <v>45697</v>
      </c>
      <c r="AC26" s="1373">
        <v>45750</v>
      </c>
      <c r="AD26" s="1374">
        <f>20%*S26</f>
        <v>69120</v>
      </c>
      <c r="AE26" s="1375"/>
      <c r="AF26" s="1373"/>
      <c r="AG26" s="1375"/>
      <c r="AH26" s="1373"/>
      <c r="AI26" s="1374">
        <f>80%*S26</f>
        <v>276480</v>
      </c>
      <c r="AJ26" s="1356" t="s">
        <v>17556</v>
      </c>
      <c r="AK26" s="1356"/>
      <c r="AL26" s="1356"/>
      <c r="AM26" s="1356"/>
      <c r="AN26" s="1356"/>
      <c r="AO26" s="1356"/>
      <c r="AP26" s="1377" t="s">
        <v>17913</v>
      </c>
      <c r="AQ26" s="1377" t="s">
        <v>265</v>
      </c>
      <c r="AR26" s="1377"/>
      <c r="AS26" s="1377"/>
      <c r="AT26" s="1377"/>
      <c r="AU26" s="1377"/>
      <c r="AV26" s="1377"/>
      <c r="AW26" s="1377"/>
      <c r="AX26" s="1377"/>
      <c r="AY26" s="1378">
        <f t="shared" si="4"/>
        <v>264209.40000000002</v>
      </c>
      <c r="AZ26" s="1378">
        <v>2730</v>
      </c>
    </row>
    <row r="27" spans="1:52" s="1379" customFormat="1" ht="16.5" customHeight="1">
      <c r="A27" s="1356">
        <v>24</v>
      </c>
      <c r="B27" s="1356" t="s">
        <v>17474</v>
      </c>
      <c r="C27" s="1358" t="s">
        <v>47</v>
      </c>
      <c r="D27" s="1359" t="s">
        <v>91</v>
      </c>
      <c r="E27" s="1360">
        <v>3</v>
      </c>
      <c r="F27" s="1360" t="s">
        <v>46</v>
      </c>
      <c r="G27" s="1362">
        <v>84.8</v>
      </c>
      <c r="H27" s="1363">
        <v>33.200000000000003</v>
      </c>
      <c r="I27" s="1380"/>
      <c r="J27" s="1365">
        <f>G27+0.2*H27+0.3*I27</f>
        <v>91.44</v>
      </c>
      <c r="K27" s="1356" t="s">
        <v>258</v>
      </c>
      <c r="L27" s="1366" t="s">
        <v>17430</v>
      </c>
      <c r="M27" s="1356">
        <v>-1</v>
      </c>
      <c r="N27" s="1356" t="s">
        <v>312</v>
      </c>
      <c r="O27" s="1356"/>
      <c r="P27" s="293"/>
      <c r="Q27" s="1356"/>
      <c r="R27" s="1368"/>
      <c r="S27" s="1371">
        <f>0.96*U27</f>
        <v>316800</v>
      </c>
      <c r="T27" s="1369">
        <f t="shared" si="5"/>
        <v>316800</v>
      </c>
      <c r="U27" s="1369">
        <v>330000</v>
      </c>
      <c r="V27" s="1369"/>
      <c r="W27" s="1370">
        <f t="shared" si="1"/>
        <v>-4.0000000000000036E-2</v>
      </c>
      <c r="X27" s="1371">
        <f t="shared" si="2"/>
        <v>3464.5669291338581</v>
      </c>
      <c r="Y27" s="1371">
        <f t="shared" si="3"/>
        <v>3464.5669291338581</v>
      </c>
      <c r="Z27" s="1371">
        <f t="shared" si="0"/>
        <v>3608.9238845144359</v>
      </c>
      <c r="AA27" s="1371"/>
      <c r="AB27" s="1372">
        <v>45563</v>
      </c>
      <c r="AC27" s="1373">
        <v>45576</v>
      </c>
      <c r="AD27" s="1374">
        <f>63360+5000</f>
        <v>68360</v>
      </c>
      <c r="AE27" s="1375"/>
      <c r="AF27" s="1373"/>
      <c r="AG27" s="1375"/>
      <c r="AH27" s="1373"/>
      <c r="AI27" s="1374">
        <f>248440</f>
        <v>248440</v>
      </c>
      <c r="AJ27" s="1376" t="s">
        <v>17647</v>
      </c>
      <c r="AK27" s="1356"/>
      <c r="AL27" s="1356"/>
      <c r="AM27" s="1356"/>
      <c r="AN27" s="1356"/>
      <c r="AO27" s="1356"/>
      <c r="AP27" s="1377" t="s">
        <v>17662</v>
      </c>
      <c r="AQ27" s="1377" t="s">
        <v>265</v>
      </c>
      <c r="AR27" s="1377"/>
      <c r="AS27" s="1377"/>
      <c r="AT27" s="1377"/>
      <c r="AU27" s="1377" t="s">
        <v>18213</v>
      </c>
      <c r="AV27" s="1377">
        <v>916632767</v>
      </c>
      <c r="AW27" s="1377"/>
      <c r="AX27" s="1377"/>
      <c r="AY27" s="1378">
        <f t="shared" si="4"/>
        <v>249631.19999999998</v>
      </c>
      <c r="AZ27" s="1378">
        <v>2730</v>
      </c>
    </row>
    <row r="28" spans="1:52" s="1379" customFormat="1" ht="16.5" customHeight="1">
      <c r="A28" s="1356">
        <v>25</v>
      </c>
      <c r="B28" s="1356" t="s">
        <v>17474</v>
      </c>
      <c r="C28" s="1358" t="s">
        <v>48</v>
      </c>
      <c r="D28" s="1359" t="s">
        <v>91</v>
      </c>
      <c r="E28" s="1360">
        <v>3</v>
      </c>
      <c r="F28" s="1360" t="s">
        <v>46</v>
      </c>
      <c r="G28" s="1362">
        <v>84.8</v>
      </c>
      <c r="H28" s="1363">
        <v>33.200000000000003</v>
      </c>
      <c r="I28" s="1380"/>
      <c r="J28" s="1365">
        <f>G28+0.2*H28+0.3*I28</f>
        <v>91.44</v>
      </c>
      <c r="K28" s="1356" t="s">
        <v>258</v>
      </c>
      <c r="L28" s="1366" t="s">
        <v>17430</v>
      </c>
      <c r="M28" s="1356">
        <v>-1</v>
      </c>
      <c r="N28" s="1356" t="s">
        <v>312</v>
      </c>
      <c r="O28" s="1356"/>
      <c r="P28" s="1382"/>
      <c r="Q28" s="1356"/>
      <c r="R28" s="1368"/>
      <c r="S28" s="1371">
        <f>0.96*U28</f>
        <v>336000</v>
      </c>
      <c r="T28" s="1369">
        <f t="shared" si="5"/>
        <v>336000</v>
      </c>
      <c r="U28" s="1369">
        <v>350000</v>
      </c>
      <c r="V28" s="1369"/>
      <c r="W28" s="1370">
        <f t="shared" si="1"/>
        <v>-4.0000000000000036E-2</v>
      </c>
      <c r="X28" s="1371">
        <f t="shared" si="2"/>
        <v>3674.540682414698</v>
      </c>
      <c r="Y28" s="1371">
        <f t="shared" si="3"/>
        <v>3674.540682414698</v>
      </c>
      <c r="Z28" s="1371">
        <f t="shared" si="0"/>
        <v>3827.6465441819773</v>
      </c>
      <c r="AA28" s="1371"/>
      <c r="AB28" s="1372">
        <v>45563</v>
      </c>
      <c r="AC28" s="1373">
        <v>45588</v>
      </c>
      <c r="AD28" s="1374">
        <f>20%*S28</f>
        <v>67200</v>
      </c>
      <c r="AE28" s="1375"/>
      <c r="AF28" s="1373"/>
      <c r="AG28" s="1375"/>
      <c r="AH28" s="1373"/>
      <c r="AI28" s="1374">
        <f>80%*S28</f>
        <v>268800</v>
      </c>
      <c r="AJ28" s="1376" t="s">
        <v>17647</v>
      </c>
      <c r="AK28" s="1356"/>
      <c r="AL28" s="1356"/>
      <c r="AP28" s="1379" t="s">
        <v>17652</v>
      </c>
      <c r="AQ28" s="1377" t="s">
        <v>265</v>
      </c>
      <c r="AR28" s="1377"/>
      <c r="AS28" s="1377"/>
      <c r="AT28" s="1377"/>
      <c r="AU28" s="1377" t="s">
        <v>18214</v>
      </c>
      <c r="AV28" s="1377">
        <v>966032143</v>
      </c>
      <c r="AW28" s="1377"/>
      <c r="AX28" s="1377"/>
      <c r="AY28" s="1378">
        <f t="shared" si="4"/>
        <v>249631.19999999998</v>
      </c>
      <c r="AZ28" s="1378">
        <v>2730</v>
      </c>
    </row>
    <row r="29" spans="1:52" s="1379" customFormat="1" ht="16.5" customHeight="1">
      <c r="A29" s="1356">
        <v>26</v>
      </c>
      <c r="B29" s="1356" t="s">
        <v>17474</v>
      </c>
      <c r="C29" s="1358" t="s">
        <v>49</v>
      </c>
      <c r="D29" s="1359" t="s">
        <v>91</v>
      </c>
      <c r="E29" s="1360">
        <v>3</v>
      </c>
      <c r="F29" s="1360" t="s">
        <v>146</v>
      </c>
      <c r="G29" s="1362">
        <v>85.8</v>
      </c>
      <c r="H29" s="1363">
        <v>50.8</v>
      </c>
      <c r="I29" s="1380"/>
      <c r="J29" s="1365">
        <f>G29+0.2*H29+0.3*I29</f>
        <v>95.96</v>
      </c>
      <c r="K29" s="1356" t="s">
        <v>258</v>
      </c>
      <c r="L29" s="1366" t="s">
        <v>17430</v>
      </c>
      <c r="M29" s="1356">
        <v>-1</v>
      </c>
      <c r="N29" s="1356" t="s">
        <v>215</v>
      </c>
      <c r="O29" s="1371"/>
      <c r="P29" s="1383"/>
      <c r="Q29" s="1356"/>
      <c r="R29" s="1368"/>
      <c r="S29" s="1369">
        <v>360000</v>
      </c>
      <c r="T29" s="1369">
        <f t="shared" si="5"/>
        <v>360000</v>
      </c>
      <c r="U29" s="1369">
        <v>375000</v>
      </c>
      <c r="V29" s="1369">
        <v>360000</v>
      </c>
      <c r="W29" s="1370">
        <f t="shared" si="1"/>
        <v>-4.0000000000000036E-2</v>
      </c>
      <c r="X29" s="1371">
        <f t="shared" si="2"/>
        <v>3751.5631513130475</v>
      </c>
      <c r="Y29" s="1371">
        <f t="shared" si="3"/>
        <v>3751.5631513130475</v>
      </c>
      <c r="Z29" s="1371">
        <f t="shared" si="0"/>
        <v>3907.8782826177576</v>
      </c>
      <c r="AA29" s="1372"/>
      <c r="AB29" s="1372">
        <v>45575</v>
      </c>
      <c r="AC29" s="1373">
        <v>45677</v>
      </c>
      <c r="AD29" s="1374">
        <f>20%*S29</f>
        <v>72000</v>
      </c>
      <c r="AE29" s="1375"/>
      <c r="AF29" s="1373"/>
      <c r="AG29" s="1375"/>
      <c r="AH29" s="1373"/>
      <c r="AI29" s="1374">
        <f>80%*S29</f>
        <v>288000</v>
      </c>
      <c r="AJ29" s="1503" t="s">
        <v>17556</v>
      </c>
      <c r="AK29" s="1356"/>
      <c r="AL29" s="1356"/>
      <c r="AM29" s="1356"/>
      <c r="AN29" s="1356"/>
      <c r="AO29" s="1356"/>
      <c r="AP29" s="1377" t="s">
        <v>17837</v>
      </c>
      <c r="AQ29" s="1377" t="s">
        <v>517</v>
      </c>
      <c r="AR29" s="1377"/>
      <c r="AS29" s="1377"/>
      <c r="AT29" s="1377"/>
      <c r="AU29" s="1377" t="s">
        <v>18215</v>
      </c>
      <c r="AV29" s="1801">
        <v>972542000000</v>
      </c>
      <c r="AW29" s="1377"/>
      <c r="AX29" s="1377"/>
      <c r="AY29" s="1378">
        <f t="shared" si="4"/>
        <v>261970.8</v>
      </c>
      <c r="AZ29" s="1378">
        <v>2730</v>
      </c>
    </row>
    <row r="30" spans="1:52" s="1379" customFormat="1" ht="16.5" customHeight="1">
      <c r="A30" s="1356">
        <v>27</v>
      </c>
      <c r="B30" s="1356" t="s">
        <v>17474</v>
      </c>
      <c r="C30" s="1358" t="s">
        <v>50</v>
      </c>
      <c r="D30" s="1359" t="s">
        <v>89</v>
      </c>
      <c r="E30" s="1388">
        <v>4</v>
      </c>
      <c r="F30" s="1360" t="s">
        <v>145</v>
      </c>
      <c r="G30" s="1362">
        <v>116.6</v>
      </c>
      <c r="H30" s="1363">
        <v>21.1</v>
      </c>
      <c r="I30" s="1380"/>
      <c r="J30" s="1365">
        <f>G30+0.3*H30+0.3*I30</f>
        <v>122.92999999999999</v>
      </c>
      <c r="K30" s="1356" t="s">
        <v>258</v>
      </c>
      <c r="L30" s="1366" t="s">
        <v>17523</v>
      </c>
      <c r="M30" s="1356">
        <v>-2</v>
      </c>
      <c r="N30" s="1356" t="s">
        <v>215</v>
      </c>
      <c r="O30" s="1371"/>
      <c r="P30" s="1383"/>
      <c r="Q30" s="1356"/>
      <c r="R30" s="1368"/>
      <c r="S30" s="1371">
        <v>440000</v>
      </c>
      <c r="T30" s="1369">
        <f t="shared" si="5"/>
        <v>422400</v>
      </c>
      <c r="U30" s="1369">
        <v>440000</v>
      </c>
      <c r="V30" s="1369"/>
      <c r="W30" s="1370">
        <f t="shared" si="1"/>
        <v>0</v>
      </c>
      <c r="X30" s="1371">
        <f t="shared" si="2"/>
        <v>3579.2727568534942</v>
      </c>
      <c r="Y30" s="1371">
        <f t="shared" si="3"/>
        <v>3436.1018465793545</v>
      </c>
      <c r="Z30" s="1371">
        <f t="shared" si="0"/>
        <v>3579.2727568534942</v>
      </c>
      <c r="AA30" s="1371"/>
      <c r="AB30" s="1372">
        <v>45922</v>
      </c>
      <c r="AC30" s="1373">
        <v>45987</v>
      </c>
      <c r="AD30" s="1374">
        <f>20%*S30</f>
        <v>88000</v>
      </c>
      <c r="AE30" s="1375"/>
      <c r="AF30" s="1373"/>
      <c r="AG30" s="1375"/>
      <c r="AH30" s="1373"/>
      <c r="AI30" s="1374">
        <f>80%*S30</f>
        <v>352000</v>
      </c>
      <c r="AJ30" s="1356" t="s">
        <v>17556</v>
      </c>
      <c r="AK30" s="1356"/>
      <c r="AL30" s="1356"/>
      <c r="AM30" s="1356"/>
      <c r="AN30" s="1356"/>
      <c r="AO30" s="1356"/>
      <c r="AP30" s="1377" t="s">
        <v>18388</v>
      </c>
      <c r="AQ30" s="1377" t="s">
        <v>565</v>
      </c>
      <c r="AR30" s="1377"/>
      <c r="AS30" s="1377"/>
      <c r="AT30" s="1377"/>
      <c r="AU30" s="1377"/>
      <c r="AV30" s="1377"/>
      <c r="AW30" s="1377"/>
      <c r="AX30" s="1377"/>
      <c r="AY30" s="1378">
        <f t="shared" si="4"/>
        <v>335598.89999999997</v>
      </c>
      <c r="AZ30" s="1378">
        <v>2730</v>
      </c>
    </row>
    <row r="31" spans="1:52" s="1379" customFormat="1" ht="16.5" customHeight="1">
      <c r="A31" s="1356">
        <v>28</v>
      </c>
      <c r="B31" s="1356" t="s">
        <v>17474</v>
      </c>
      <c r="C31" s="1358" t="s">
        <v>51</v>
      </c>
      <c r="D31" s="1359" t="s">
        <v>89</v>
      </c>
      <c r="E31" s="1388">
        <v>4</v>
      </c>
      <c r="F31" s="1360" t="s">
        <v>17362</v>
      </c>
      <c r="G31" s="1362">
        <v>134.6</v>
      </c>
      <c r="H31" s="1363">
        <f>7.6+24.6</f>
        <v>32.200000000000003</v>
      </c>
      <c r="I31" s="1380"/>
      <c r="J31" s="1365">
        <f>G31+0.3*H31+0.3*I31</f>
        <v>144.26</v>
      </c>
      <c r="K31" s="1356" t="s">
        <v>258</v>
      </c>
      <c r="L31" s="1366" t="s">
        <v>17477</v>
      </c>
      <c r="M31" s="1356">
        <v>-2</v>
      </c>
      <c r="N31" s="1356" t="s">
        <v>215</v>
      </c>
      <c r="O31" s="1371"/>
      <c r="P31" s="1383"/>
      <c r="Q31" s="1356"/>
      <c r="R31" s="1356"/>
      <c r="S31" s="1371">
        <v>460800</v>
      </c>
      <c r="T31" s="1369">
        <f t="shared" si="5"/>
        <v>460800</v>
      </c>
      <c r="U31" s="1369">
        <v>480000</v>
      </c>
      <c r="V31" s="1369"/>
      <c r="W31" s="1370">
        <f t="shared" si="1"/>
        <v>-4.0000000000000036E-2</v>
      </c>
      <c r="X31" s="1371">
        <f t="shared" si="2"/>
        <v>3194.2326355192017</v>
      </c>
      <c r="Y31" s="1371">
        <f t="shared" si="3"/>
        <v>3194.2326355192017</v>
      </c>
      <c r="Z31" s="1371">
        <f t="shared" si="0"/>
        <v>3327.3256619991685</v>
      </c>
      <c r="AA31" s="1371"/>
      <c r="AB31" s="1372">
        <v>45797</v>
      </c>
      <c r="AC31" s="1373">
        <v>45813</v>
      </c>
      <c r="AD31" s="1374">
        <f>5000+87160</f>
        <v>92160</v>
      </c>
      <c r="AE31" s="1375"/>
      <c r="AF31" s="1373"/>
      <c r="AG31" s="1375"/>
      <c r="AH31" s="1373"/>
      <c r="AI31" s="1374">
        <v>368640</v>
      </c>
      <c r="AJ31" s="1356" t="s">
        <v>17556</v>
      </c>
      <c r="AK31" s="1356"/>
      <c r="AL31" s="1356"/>
      <c r="AM31" s="1356"/>
      <c r="AN31" s="1356"/>
      <c r="AO31" s="1356"/>
      <c r="AP31" s="1377" t="s">
        <v>18019</v>
      </c>
      <c r="AQ31" s="1377" t="s">
        <v>265</v>
      </c>
      <c r="AR31" s="1377"/>
      <c r="AS31" s="1377"/>
      <c r="AT31" s="1377"/>
      <c r="AU31" s="1377"/>
      <c r="AV31" s="1377"/>
      <c r="AW31" s="1377"/>
      <c r="AX31" s="1377"/>
      <c r="AY31" s="1378">
        <f t="shared" si="4"/>
        <v>393829.8</v>
      </c>
      <c r="AZ31" s="1378">
        <v>2730</v>
      </c>
    </row>
    <row r="32" spans="1:52" s="1379" customFormat="1" ht="16.5" customHeight="1">
      <c r="A32" s="1356">
        <v>29</v>
      </c>
      <c r="B32" s="1356" t="s">
        <v>17474</v>
      </c>
      <c r="C32" s="1358" t="s">
        <v>52</v>
      </c>
      <c r="D32" s="1359" t="s">
        <v>89</v>
      </c>
      <c r="E32" s="1388">
        <v>4</v>
      </c>
      <c r="F32" s="1360" t="s">
        <v>17362</v>
      </c>
      <c r="G32" s="1362">
        <v>134.6</v>
      </c>
      <c r="H32" s="1363">
        <f>7.6+24.6</f>
        <v>32.200000000000003</v>
      </c>
      <c r="I32" s="1380"/>
      <c r="J32" s="1365">
        <f>G32+0.3*H32+0.3*I32</f>
        <v>144.26</v>
      </c>
      <c r="K32" s="1356" t="s">
        <v>258</v>
      </c>
      <c r="L32" s="1366" t="s">
        <v>17477</v>
      </c>
      <c r="M32" s="1356">
        <v>-2</v>
      </c>
      <c r="N32" s="1356" t="s">
        <v>215</v>
      </c>
      <c r="O32" s="1371"/>
      <c r="P32" s="1383"/>
      <c r="Q32" s="1356"/>
      <c r="R32" s="1356"/>
      <c r="S32" s="1369">
        <v>475200</v>
      </c>
      <c r="T32" s="1369">
        <f t="shared" si="5"/>
        <v>475200</v>
      </c>
      <c r="U32" s="1369">
        <v>495000</v>
      </c>
      <c r="V32" s="1369"/>
      <c r="W32" s="1370">
        <f t="shared" si="1"/>
        <v>-4.0000000000000036E-2</v>
      </c>
      <c r="X32" s="1371">
        <f t="shared" si="2"/>
        <v>3294.0524053791769</v>
      </c>
      <c r="Y32" s="1371">
        <f t="shared" si="3"/>
        <v>3294.0524053791769</v>
      </c>
      <c r="Z32" s="1371">
        <f t="shared" si="0"/>
        <v>3431.3045889366422</v>
      </c>
      <c r="AA32" s="1371"/>
      <c r="AB32" s="1372"/>
      <c r="AC32" s="1373">
        <v>45629</v>
      </c>
      <c r="AD32" s="1374">
        <f>5000+66280+23760</f>
        <v>95040</v>
      </c>
      <c r="AE32" s="1375"/>
      <c r="AF32" s="1373"/>
      <c r="AG32" s="1375"/>
      <c r="AH32" s="1373"/>
      <c r="AI32" s="1374">
        <f>80%*S32</f>
        <v>380160</v>
      </c>
      <c r="AJ32" s="1356" t="s">
        <v>17556</v>
      </c>
      <c r="AK32" s="1356"/>
      <c r="AL32" s="1356"/>
      <c r="AM32" s="1356"/>
      <c r="AN32" s="1356"/>
      <c r="AO32" s="1356"/>
      <c r="AP32" s="1377" t="s">
        <v>17711</v>
      </c>
      <c r="AQ32" s="1377" t="s">
        <v>265</v>
      </c>
      <c r="AR32" s="1377"/>
      <c r="AS32" s="1377"/>
      <c r="AT32" s="1377"/>
      <c r="AU32" s="1377" t="s">
        <v>18216</v>
      </c>
      <c r="AV32" s="1377">
        <v>918420563</v>
      </c>
      <c r="AW32" s="1377"/>
      <c r="AX32" s="1377"/>
      <c r="AY32" s="1378">
        <f t="shared" si="4"/>
        <v>393829.8</v>
      </c>
      <c r="AZ32" s="1378">
        <v>2730</v>
      </c>
    </row>
    <row r="33" spans="1:52" s="1379" customFormat="1" ht="16.5" customHeight="1">
      <c r="A33" s="1356">
        <v>30</v>
      </c>
      <c r="B33" s="1356" t="s">
        <v>17474</v>
      </c>
      <c r="C33" s="1387" t="s">
        <v>53</v>
      </c>
      <c r="D33" s="1359" t="s">
        <v>89</v>
      </c>
      <c r="E33" s="1388">
        <v>4</v>
      </c>
      <c r="F33" s="1360" t="s">
        <v>17268</v>
      </c>
      <c r="G33" s="1362">
        <v>116.6</v>
      </c>
      <c r="H33" s="1363">
        <v>16.5</v>
      </c>
      <c r="I33" s="1380"/>
      <c r="J33" s="1365">
        <f>G33+0.3*H33+0.3*I33</f>
        <v>121.55</v>
      </c>
      <c r="K33" s="1356" t="s">
        <v>258</v>
      </c>
      <c r="L33" s="1366" t="s">
        <v>17477</v>
      </c>
      <c r="M33" s="1356">
        <v>-2</v>
      </c>
      <c r="N33" s="1356" t="s">
        <v>215</v>
      </c>
      <c r="O33" s="1371"/>
      <c r="P33" s="1383"/>
      <c r="Q33" s="1356"/>
      <c r="R33" s="1356"/>
      <c r="S33" s="1369">
        <v>450000</v>
      </c>
      <c r="T33" s="1369">
        <f t="shared" si="5"/>
        <v>432000</v>
      </c>
      <c r="U33" s="1369">
        <v>450000</v>
      </c>
      <c r="V33" s="1369"/>
      <c r="W33" s="1370">
        <f t="shared" si="1"/>
        <v>0</v>
      </c>
      <c r="X33" s="1371">
        <f t="shared" si="2"/>
        <v>3702.1801727684083</v>
      </c>
      <c r="Y33" s="1371">
        <f t="shared" si="3"/>
        <v>3554.092965857672</v>
      </c>
      <c r="Z33" s="1371">
        <f t="shared" si="0"/>
        <v>3702.1801727684083</v>
      </c>
      <c r="AA33" s="1371"/>
      <c r="AB33" s="1372">
        <v>45781</v>
      </c>
      <c r="AC33" s="1373">
        <v>45806</v>
      </c>
      <c r="AD33" s="1374">
        <f>20%*S33</f>
        <v>90000</v>
      </c>
      <c r="AE33" s="1375"/>
      <c r="AF33" s="1373"/>
      <c r="AG33" s="1375"/>
      <c r="AH33" s="1373"/>
      <c r="AI33" s="1374">
        <f>80%*S33</f>
        <v>360000</v>
      </c>
      <c r="AJ33" s="1356" t="s">
        <v>17556</v>
      </c>
      <c r="AK33" s="1356"/>
      <c r="AL33" s="1356"/>
      <c r="AM33" s="1356"/>
      <c r="AN33" s="1356"/>
      <c r="AO33" s="1356"/>
      <c r="AP33" s="1377" t="s">
        <v>18001</v>
      </c>
      <c r="AQ33" s="1377" t="s">
        <v>17721</v>
      </c>
      <c r="AR33" s="1377"/>
      <c r="AS33" s="1377"/>
      <c r="AT33" s="1377"/>
      <c r="AU33" s="1377"/>
      <c r="AV33" s="1377"/>
      <c r="AW33" s="1377"/>
      <c r="AX33" s="1377"/>
      <c r="AY33" s="1378">
        <f t="shared" si="4"/>
        <v>331831.5</v>
      </c>
      <c r="AZ33" s="1378">
        <v>2730</v>
      </c>
    </row>
    <row r="34" spans="1:52" s="1379" customFormat="1" ht="16.5" customHeight="1">
      <c r="A34" s="1356">
        <v>31</v>
      </c>
      <c r="B34" s="1356" t="s">
        <v>17474</v>
      </c>
      <c r="C34" s="1358" t="s">
        <v>54</v>
      </c>
      <c r="D34" s="1359" t="s">
        <v>91</v>
      </c>
      <c r="E34" s="1388">
        <v>4</v>
      </c>
      <c r="F34" s="1360" t="s">
        <v>17269</v>
      </c>
      <c r="G34" s="1362">
        <v>85.8</v>
      </c>
      <c r="H34" s="1363">
        <v>54.9</v>
      </c>
      <c r="I34" s="1380"/>
      <c r="J34" s="1365">
        <f>G34+0.2*H34+0.3*I34</f>
        <v>96.78</v>
      </c>
      <c r="K34" s="1356" t="s">
        <v>258</v>
      </c>
      <c r="L34" s="1366" t="s">
        <v>17430</v>
      </c>
      <c r="M34" s="1356">
        <v>-1</v>
      </c>
      <c r="N34" s="1356" t="s">
        <v>215</v>
      </c>
      <c r="O34" s="1371"/>
      <c r="P34" s="1383"/>
      <c r="Q34" s="1356"/>
      <c r="R34" s="1356"/>
      <c r="S34" s="1369">
        <v>338100</v>
      </c>
      <c r="T34" s="1369">
        <f t="shared" si="5"/>
        <v>331200</v>
      </c>
      <c r="U34" s="1369">
        <v>345000</v>
      </c>
      <c r="V34" s="1369"/>
      <c r="W34" s="1370">
        <f t="shared" si="1"/>
        <v>-2.0000000000000018E-2</v>
      </c>
      <c r="X34" s="1371">
        <f t="shared" si="2"/>
        <v>3493.4903905765655</v>
      </c>
      <c r="Y34" s="1371">
        <f t="shared" si="3"/>
        <v>3422.1946683199008</v>
      </c>
      <c r="Z34" s="1371">
        <f t="shared" ref="Z34:Z65" si="9">U34/J34</f>
        <v>3564.7861128332302</v>
      </c>
      <c r="AA34" s="1371"/>
      <c r="AB34" s="1372">
        <v>45563</v>
      </c>
      <c r="AC34" s="1373">
        <v>45581</v>
      </c>
      <c r="AD34" s="1374">
        <f>5000+64000</f>
        <v>69000</v>
      </c>
      <c r="AE34" s="1375"/>
      <c r="AF34" s="1373"/>
      <c r="AG34" s="1375"/>
      <c r="AH34" s="1373"/>
      <c r="AI34" s="1374">
        <v>276000</v>
      </c>
      <c r="AJ34" s="1376" t="s">
        <v>17647</v>
      </c>
      <c r="AK34" s="1356"/>
      <c r="AL34" s="1356"/>
      <c r="AM34" s="1356"/>
      <c r="AN34" s="1356"/>
      <c r="AO34" s="1356"/>
      <c r="AP34" s="1377" t="s">
        <v>17664</v>
      </c>
      <c r="AQ34" s="1377" t="s">
        <v>265</v>
      </c>
      <c r="AR34" s="1377"/>
      <c r="AS34" s="1377"/>
      <c r="AT34" s="1377"/>
      <c r="AU34" s="1377" t="s">
        <v>18217</v>
      </c>
      <c r="AV34" s="1377">
        <v>933305270</v>
      </c>
      <c r="AW34" s="1377"/>
      <c r="AX34" s="1377"/>
      <c r="AY34" s="1378">
        <f t="shared" si="4"/>
        <v>264209.40000000002</v>
      </c>
      <c r="AZ34" s="1378">
        <v>2730</v>
      </c>
    </row>
    <row r="35" spans="1:52" s="1379" customFormat="1" ht="16.5" customHeight="1">
      <c r="A35" s="1356">
        <v>32</v>
      </c>
      <c r="B35" s="1356" t="s">
        <v>17474</v>
      </c>
      <c r="C35" s="1358" t="s">
        <v>55</v>
      </c>
      <c r="D35" s="1359" t="s">
        <v>91</v>
      </c>
      <c r="E35" s="1388">
        <v>4</v>
      </c>
      <c r="F35" s="1360" t="s">
        <v>46</v>
      </c>
      <c r="G35" s="1362">
        <v>84.8</v>
      </c>
      <c r="H35" s="1363">
        <v>33.200000000000003</v>
      </c>
      <c r="I35" s="1380"/>
      <c r="J35" s="1365">
        <f>G35+0.2*H35+0.3*I35</f>
        <v>91.44</v>
      </c>
      <c r="K35" s="1356" t="s">
        <v>258</v>
      </c>
      <c r="L35" s="1366" t="s">
        <v>17430</v>
      </c>
      <c r="M35" s="1356">
        <v>-1</v>
      </c>
      <c r="N35" s="1356" t="s">
        <v>215</v>
      </c>
      <c r="O35" s="1371"/>
      <c r="P35" s="1383"/>
      <c r="Q35" s="1371"/>
      <c r="R35" s="1371"/>
      <c r="S35" s="1369">
        <v>345600</v>
      </c>
      <c r="T35" s="1369">
        <f t="shared" si="5"/>
        <v>345600</v>
      </c>
      <c r="U35" s="1369">
        <v>360000</v>
      </c>
      <c r="V35" s="1369">
        <v>335000</v>
      </c>
      <c r="W35" s="1370">
        <f t="shared" si="1"/>
        <v>-4.0000000000000036E-2</v>
      </c>
      <c r="X35" s="1371">
        <f t="shared" si="2"/>
        <v>3779.5275590551182</v>
      </c>
      <c r="Y35" s="1371">
        <f t="shared" si="3"/>
        <v>3779.5275590551182</v>
      </c>
      <c r="Z35" s="1371">
        <f t="shared" si="9"/>
        <v>3937.0078740157483</v>
      </c>
      <c r="AA35" s="1371"/>
      <c r="AB35" s="1372">
        <v>45757</v>
      </c>
      <c r="AC35" s="1373">
        <v>45777</v>
      </c>
      <c r="AD35" s="1374">
        <f>5000+64120</f>
        <v>69120</v>
      </c>
      <c r="AE35" s="1375"/>
      <c r="AF35" s="1373"/>
      <c r="AG35" s="1375"/>
      <c r="AH35" s="1373"/>
      <c r="AI35" s="1374">
        <f t="shared" ref="AI35:AI45" si="10">80%*S35</f>
        <v>276480</v>
      </c>
      <c r="AJ35" s="1356" t="s">
        <v>17647</v>
      </c>
      <c r="AK35" s="1356"/>
      <c r="AL35" s="1356"/>
      <c r="AM35" s="1356"/>
      <c r="AN35" s="1356"/>
      <c r="AO35" s="1356"/>
      <c r="AP35" s="1377" t="s">
        <v>17915</v>
      </c>
      <c r="AQ35" s="1377" t="s">
        <v>265</v>
      </c>
      <c r="AR35" s="1377"/>
      <c r="AS35" s="1377"/>
      <c r="AT35" s="1377"/>
      <c r="AU35" s="1377"/>
      <c r="AV35" s="1377"/>
      <c r="AW35" s="1377"/>
      <c r="AX35" s="1377"/>
      <c r="AY35" s="1378">
        <f t="shared" si="4"/>
        <v>249631.19999999998</v>
      </c>
      <c r="AZ35" s="1378">
        <v>2730</v>
      </c>
    </row>
    <row r="36" spans="1:52" s="1379" customFormat="1" ht="16.5" customHeight="1">
      <c r="A36" s="1356">
        <v>33</v>
      </c>
      <c r="B36" s="1356" t="s">
        <v>17474</v>
      </c>
      <c r="C36" s="1358" t="s">
        <v>56</v>
      </c>
      <c r="D36" s="1359" t="s">
        <v>91</v>
      </c>
      <c r="E36" s="1388">
        <v>4</v>
      </c>
      <c r="F36" s="1360" t="s">
        <v>46</v>
      </c>
      <c r="G36" s="1362">
        <v>84.8</v>
      </c>
      <c r="H36" s="1363">
        <v>33.200000000000003</v>
      </c>
      <c r="I36" s="1380"/>
      <c r="J36" s="1365">
        <f>G36+0.2*H36+0.3*I36</f>
        <v>91.44</v>
      </c>
      <c r="K36" s="1356" t="s">
        <v>258</v>
      </c>
      <c r="L36" s="1366" t="s">
        <v>17430</v>
      </c>
      <c r="M36" s="1356">
        <v>-2</v>
      </c>
      <c r="N36" s="1356" t="s">
        <v>215</v>
      </c>
      <c r="O36" s="1371"/>
      <c r="P36" s="1383"/>
      <c r="Q36" s="1356"/>
      <c r="R36" s="1371"/>
      <c r="S36" s="1369">
        <v>360960</v>
      </c>
      <c r="T36" s="1369">
        <f t="shared" si="5"/>
        <v>360960</v>
      </c>
      <c r="U36" s="1369">
        <v>376000</v>
      </c>
      <c r="V36" s="1369">
        <v>355000</v>
      </c>
      <c r="W36" s="1370">
        <f t="shared" ref="W36:W67" si="11">S36/U36-1</f>
        <v>-4.0000000000000036E-2</v>
      </c>
      <c r="X36" s="1371">
        <f t="shared" ref="X36:X67" si="12">S36/J36</f>
        <v>3947.5065616797901</v>
      </c>
      <c r="Y36" s="1371">
        <f t="shared" ref="Y36:Y67" si="13">T36/J36</f>
        <v>3947.5065616797901</v>
      </c>
      <c r="Z36" s="1371">
        <f t="shared" si="9"/>
        <v>4111.9860017497813</v>
      </c>
      <c r="AA36" s="1371"/>
      <c r="AB36" s="1372">
        <v>45589</v>
      </c>
      <c r="AC36" s="1373">
        <v>45615</v>
      </c>
      <c r="AD36" s="1374">
        <f>20%*S36</f>
        <v>72192</v>
      </c>
      <c r="AE36" s="1375"/>
      <c r="AF36" s="1373"/>
      <c r="AG36" s="1375"/>
      <c r="AH36" s="1373"/>
      <c r="AI36" s="1374">
        <f t="shared" si="10"/>
        <v>288768</v>
      </c>
      <c r="AJ36" s="1356" t="s">
        <v>17556</v>
      </c>
      <c r="AK36" s="1356" t="s">
        <v>17697</v>
      </c>
      <c r="AL36" s="1356"/>
      <c r="AM36" s="1356"/>
      <c r="AN36" s="1356"/>
      <c r="AO36" s="1356"/>
      <c r="AP36" s="1377" t="s">
        <v>17696</v>
      </c>
      <c r="AQ36" s="1377" t="s">
        <v>265</v>
      </c>
      <c r="AR36" s="1377"/>
      <c r="AS36" s="1377"/>
      <c r="AT36" s="1377"/>
      <c r="AU36" s="1377"/>
      <c r="AV36" s="1377">
        <v>917518337</v>
      </c>
      <c r="AW36" s="1377"/>
      <c r="AX36" s="1377"/>
      <c r="AY36" s="1378">
        <f t="shared" ref="AY36:AY67" si="14">AZ36*J36</f>
        <v>249631.19999999998</v>
      </c>
      <c r="AZ36" s="1378">
        <v>2730</v>
      </c>
    </row>
    <row r="37" spans="1:52" s="1379" customFormat="1" ht="16.5" customHeight="1">
      <c r="A37" s="1356">
        <v>34</v>
      </c>
      <c r="B37" s="1356" t="s">
        <v>17474</v>
      </c>
      <c r="C37" s="1358" t="s">
        <v>57</v>
      </c>
      <c r="D37" s="1359" t="s">
        <v>91</v>
      </c>
      <c r="E37" s="1388">
        <v>4</v>
      </c>
      <c r="F37" s="1360" t="s">
        <v>146</v>
      </c>
      <c r="G37" s="1362">
        <v>85.8</v>
      </c>
      <c r="H37" s="1363">
        <v>50.8</v>
      </c>
      <c r="I37" s="1380"/>
      <c r="J37" s="1365">
        <f>G37+0.2*H37+0.3*I37</f>
        <v>95.96</v>
      </c>
      <c r="K37" s="1356" t="s">
        <v>258</v>
      </c>
      <c r="L37" s="1366" t="s">
        <v>17430</v>
      </c>
      <c r="M37" s="1356">
        <v>-1</v>
      </c>
      <c r="N37" s="1356" t="s">
        <v>215</v>
      </c>
      <c r="O37" s="1371"/>
      <c r="P37" s="1383"/>
      <c r="Q37" s="1371"/>
      <c r="R37" s="1371"/>
      <c r="S37" s="1369">
        <v>371520</v>
      </c>
      <c r="T37" s="1369">
        <f t="shared" si="5"/>
        <v>371520</v>
      </c>
      <c r="U37" s="1369">
        <v>387000</v>
      </c>
      <c r="V37" s="1369">
        <v>365000</v>
      </c>
      <c r="W37" s="1370">
        <f t="shared" si="11"/>
        <v>-4.0000000000000036E-2</v>
      </c>
      <c r="X37" s="1371">
        <f t="shared" si="12"/>
        <v>3871.6131721550651</v>
      </c>
      <c r="Y37" s="1371">
        <f t="shared" si="13"/>
        <v>3871.6131721550651</v>
      </c>
      <c r="Z37" s="1371">
        <f t="shared" si="9"/>
        <v>4032.9303876615259</v>
      </c>
      <c r="AA37" s="1371"/>
      <c r="AB37" s="1372">
        <v>45684</v>
      </c>
      <c r="AC37" s="1373">
        <v>45762</v>
      </c>
      <c r="AD37" s="1374">
        <v>50000</v>
      </c>
      <c r="AE37" s="1375">
        <v>24304</v>
      </c>
      <c r="AF37" s="1373">
        <v>46022</v>
      </c>
      <c r="AG37" s="1374"/>
      <c r="AH37" s="1374"/>
      <c r="AI37" s="1374">
        <f t="shared" si="10"/>
        <v>297216</v>
      </c>
      <c r="AJ37" s="1356" t="s">
        <v>17647</v>
      </c>
      <c r="AK37" s="1356"/>
      <c r="AL37" s="1356"/>
      <c r="AM37" s="1356"/>
      <c r="AN37" s="1356"/>
      <c r="AO37" s="1356"/>
      <c r="AP37" s="1377" t="s">
        <v>17845</v>
      </c>
      <c r="AQ37" s="1377" t="s">
        <v>265</v>
      </c>
      <c r="AR37" s="1377"/>
      <c r="AS37" s="1377"/>
      <c r="AT37" s="1377"/>
      <c r="AU37" s="1377" t="s">
        <v>18218</v>
      </c>
      <c r="AV37" s="1377">
        <v>962011245</v>
      </c>
      <c r="AW37" s="1377"/>
      <c r="AX37" s="1377"/>
      <c r="AY37" s="1378">
        <f t="shared" si="14"/>
        <v>261970.8</v>
      </c>
      <c r="AZ37" s="1378">
        <v>2730</v>
      </c>
    </row>
    <row r="38" spans="1:52" s="1379" customFormat="1" ht="16.5" customHeight="1">
      <c r="A38" s="1356">
        <v>35</v>
      </c>
      <c r="B38" s="1356" t="s">
        <v>17474</v>
      </c>
      <c r="C38" s="1358" t="s">
        <v>58</v>
      </c>
      <c r="D38" s="1359" t="s">
        <v>89</v>
      </c>
      <c r="E38" s="1360">
        <v>5</v>
      </c>
      <c r="F38" s="1360" t="s">
        <v>145</v>
      </c>
      <c r="G38" s="1362">
        <v>116.6</v>
      </c>
      <c r="H38" s="1363">
        <v>21.1</v>
      </c>
      <c r="I38" s="1380"/>
      <c r="J38" s="1365">
        <f>G38+0.3*H38+0.3*I38</f>
        <v>122.92999999999999</v>
      </c>
      <c r="K38" s="1356" t="s">
        <v>258</v>
      </c>
      <c r="L38" s="1366" t="s">
        <v>17523</v>
      </c>
      <c r="M38" s="1356">
        <v>-2</v>
      </c>
      <c r="N38" s="1356" t="s">
        <v>215</v>
      </c>
      <c r="O38" s="1371"/>
      <c r="P38" s="1383"/>
      <c r="Q38" s="1356"/>
      <c r="R38" s="1371"/>
      <c r="S38" s="1369">
        <v>422400</v>
      </c>
      <c r="T38" s="1369">
        <f t="shared" si="5"/>
        <v>422400</v>
      </c>
      <c r="U38" s="1369">
        <v>440000</v>
      </c>
      <c r="V38" s="1369"/>
      <c r="W38" s="1370">
        <f t="shared" si="11"/>
        <v>-4.0000000000000036E-2</v>
      </c>
      <c r="X38" s="1371">
        <f t="shared" si="12"/>
        <v>3436.1018465793545</v>
      </c>
      <c r="Y38" s="1371">
        <f t="shared" si="13"/>
        <v>3436.1018465793545</v>
      </c>
      <c r="Z38" s="1371">
        <f t="shared" si="9"/>
        <v>3579.2727568534942</v>
      </c>
      <c r="AA38" s="1371"/>
      <c r="AB38" s="1372">
        <v>45918</v>
      </c>
      <c r="AC38" s="1373">
        <v>45930</v>
      </c>
      <c r="AD38" s="1374">
        <f>20%*S38</f>
        <v>84480</v>
      </c>
      <c r="AE38" s="1375"/>
      <c r="AF38" s="1373"/>
      <c r="AG38" s="1374"/>
      <c r="AH38" s="1374"/>
      <c r="AI38" s="1374">
        <f t="shared" si="10"/>
        <v>337920</v>
      </c>
      <c r="AJ38" s="1356" t="s">
        <v>17556</v>
      </c>
      <c r="AK38" s="1356"/>
      <c r="AL38" s="1356"/>
      <c r="AM38" s="1356"/>
      <c r="AN38" s="1356"/>
      <c r="AO38" s="1356"/>
      <c r="AP38" s="1377" t="s">
        <v>18358</v>
      </c>
      <c r="AQ38" s="1377" t="s">
        <v>265</v>
      </c>
      <c r="AR38" s="1377"/>
      <c r="AS38" s="1377"/>
      <c r="AT38" s="1377"/>
      <c r="AU38" s="1428" t="s">
        <v>18359</v>
      </c>
      <c r="AV38" s="1377">
        <v>916506939</v>
      </c>
      <c r="AW38" s="1377"/>
      <c r="AX38" s="1377"/>
      <c r="AY38" s="1378">
        <f t="shared" si="14"/>
        <v>335598.89999999997</v>
      </c>
      <c r="AZ38" s="1378">
        <v>2730</v>
      </c>
    </row>
    <row r="39" spans="1:52" s="1379" customFormat="1" ht="16.5" customHeight="1">
      <c r="A39" s="1356">
        <v>36</v>
      </c>
      <c r="B39" s="1356" t="s">
        <v>17474</v>
      </c>
      <c r="C39" s="1358" t="s">
        <v>59</v>
      </c>
      <c r="D39" s="1359" t="s">
        <v>89</v>
      </c>
      <c r="E39" s="1360">
        <v>5</v>
      </c>
      <c r="F39" s="1360" t="s">
        <v>17362</v>
      </c>
      <c r="G39" s="1362">
        <v>134.6</v>
      </c>
      <c r="H39" s="1363">
        <f>7.6+24.6</f>
        <v>32.200000000000003</v>
      </c>
      <c r="I39" s="1380"/>
      <c r="J39" s="1365">
        <f>G39+0.3*H39+0.3*I39</f>
        <v>144.26</v>
      </c>
      <c r="K39" s="1356" t="s">
        <v>258</v>
      </c>
      <c r="L39" s="1366" t="s">
        <v>17477</v>
      </c>
      <c r="M39" s="1356">
        <v>-1</v>
      </c>
      <c r="N39" s="1356" t="s">
        <v>215</v>
      </c>
      <c r="O39" s="1371"/>
      <c r="P39" s="1383"/>
      <c r="Q39" s="1356"/>
      <c r="R39" s="1356"/>
      <c r="S39" s="1369">
        <f>0.95*U39</f>
        <v>460750</v>
      </c>
      <c r="T39" s="1369">
        <f t="shared" si="5"/>
        <v>465600</v>
      </c>
      <c r="U39" s="1369">
        <v>485000</v>
      </c>
      <c r="V39" s="1369"/>
      <c r="W39" s="1370">
        <f t="shared" si="11"/>
        <v>-5.0000000000000044E-2</v>
      </c>
      <c r="X39" s="1371">
        <f t="shared" si="12"/>
        <v>3193.8860390960767</v>
      </c>
      <c r="Y39" s="1371">
        <f t="shared" si="13"/>
        <v>3227.5058921391933</v>
      </c>
      <c r="Z39" s="1371">
        <f t="shared" si="9"/>
        <v>3361.9853043116595</v>
      </c>
      <c r="AA39" s="1371"/>
      <c r="AB39" s="1372"/>
      <c r="AC39" s="1373">
        <v>45625</v>
      </c>
      <c r="AD39" s="1374">
        <f>20%*S39</f>
        <v>92150</v>
      </c>
      <c r="AE39" s="1375"/>
      <c r="AF39" s="1373"/>
      <c r="AG39" s="1375"/>
      <c r="AH39" s="1373"/>
      <c r="AI39" s="1374">
        <f t="shared" si="10"/>
        <v>368600</v>
      </c>
      <c r="AJ39" s="1356" t="s">
        <v>17556</v>
      </c>
      <c r="AK39" s="1356"/>
      <c r="AL39" s="1356"/>
      <c r="AM39" s="1356"/>
      <c r="AN39" s="1356"/>
      <c r="AO39" s="1356"/>
      <c r="AP39" s="1377" t="s">
        <v>17734</v>
      </c>
      <c r="AQ39" s="1377" t="s">
        <v>265</v>
      </c>
      <c r="AR39" s="1377"/>
      <c r="AS39" s="1377"/>
      <c r="AT39" s="1377"/>
      <c r="AU39" s="1377" t="s">
        <v>18219</v>
      </c>
      <c r="AV39" s="1377">
        <v>917225875</v>
      </c>
      <c r="AW39" s="1377"/>
      <c r="AX39" s="1377"/>
      <c r="AY39" s="1378">
        <f t="shared" si="14"/>
        <v>393829.8</v>
      </c>
      <c r="AZ39" s="1378">
        <v>2730</v>
      </c>
    </row>
    <row r="40" spans="1:52" s="1379" customFormat="1" ht="16.5" customHeight="1">
      <c r="A40" s="1356">
        <v>37</v>
      </c>
      <c r="B40" s="1356" t="s">
        <v>17474</v>
      </c>
      <c r="C40" s="1358" t="s">
        <v>60</v>
      </c>
      <c r="D40" s="1359" t="s">
        <v>89</v>
      </c>
      <c r="E40" s="1360">
        <v>5</v>
      </c>
      <c r="F40" s="1360" t="s">
        <v>17362</v>
      </c>
      <c r="G40" s="1362">
        <v>134.6</v>
      </c>
      <c r="H40" s="1363">
        <f>7.6+24.6</f>
        <v>32.200000000000003</v>
      </c>
      <c r="I40" s="1380"/>
      <c r="J40" s="1365">
        <f>G40+0.3*H40+0.3*I40</f>
        <v>144.26</v>
      </c>
      <c r="K40" s="1356" t="s">
        <v>258</v>
      </c>
      <c r="L40" s="1366" t="s">
        <v>17477</v>
      </c>
      <c r="M40" s="1356">
        <v>-1</v>
      </c>
      <c r="N40" s="1356" t="s">
        <v>215</v>
      </c>
      <c r="O40" s="1371"/>
      <c r="P40" s="1383"/>
      <c r="Q40" s="1356"/>
      <c r="R40" s="1356"/>
      <c r="S40" s="1369">
        <v>480000</v>
      </c>
      <c r="T40" s="1369">
        <f t="shared" si="5"/>
        <v>480000</v>
      </c>
      <c r="U40" s="1369">
        <v>500000</v>
      </c>
      <c r="V40" s="1369"/>
      <c r="W40" s="1370">
        <f t="shared" si="11"/>
        <v>-4.0000000000000036E-2</v>
      </c>
      <c r="X40" s="1371">
        <f t="shared" si="12"/>
        <v>3327.3256619991685</v>
      </c>
      <c r="Y40" s="1371">
        <f t="shared" si="13"/>
        <v>3327.3256619991685</v>
      </c>
      <c r="Z40" s="1371">
        <f t="shared" si="9"/>
        <v>3465.9642312491337</v>
      </c>
      <c r="AA40" s="1371"/>
      <c r="AB40" s="1372">
        <v>45565</v>
      </c>
      <c r="AC40" s="1373">
        <v>45644</v>
      </c>
      <c r="AD40" s="1374">
        <f>20%*S40</f>
        <v>96000</v>
      </c>
      <c r="AE40" s="1375"/>
      <c r="AF40" s="1373"/>
      <c r="AG40" s="1375"/>
      <c r="AH40" s="1373"/>
      <c r="AI40" s="1374">
        <f t="shared" si="10"/>
        <v>384000</v>
      </c>
      <c r="AJ40" s="1356" t="s">
        <v>17647</v>
      </c>
      <c r="AK40" s="1356"/>
      <c r="AL40" s="1356"/>
      <c r="AM40" s="1356"/>
      <c r="AN40" s="1356"/>
      <c r="AO40" s="1356"/>
      <c r="AP40" s="1377" t="s">
        <v>17663</v>
      </c>
      <c r="AQ40" s="1377" t="s">
        <v>265</v>
      </c>
      <c r="AR40" s="1377"/>
      <c r="AS40" s="1377"/>
      <c r="AT40" s="1377"/>
      <c r="AU40" s="1377" t="s">
        <v>18220</v>
      </c>
      <c r="AV40" s="1377">
        <v>968083749</v>
      </c>
      <c r="AW40" s="1377"/>
      <c r="AX40" s="1377"/>
      <c r="AY40" s="1378">
        <f t="shared" si="14"/>
        <v>393829.8</v>
      </c>
      <c r="AZ40" s="1378">
        <v>2730</v>
      </c>
    </row>
    <row r="41" spans="1:52" s="1379" customFormat="1" ht="16.5" customHeight="1">
      <c r="A41" s="1523">
        <v>38</v>
      </c>
      <c r="B41" s="1356" t="s">
        <v>17474</v>
      </c>
      <c r="C41" s="1358" t="s">
        <v>61</v>
      </c>
      <c r="D41" s="1359" t="s">
        <v>89</v>
      </c>
      <c r="E41" s="1360">
        <v>5</v>
      </c>
      <c r="F41" s="1360" t="s">
        <v>17268</v>
      </c>
      <c r="G41" s="1362">
        <v>116.6</v>
      </c>
      <c r="H41" s="1363">
        <v>16.5</v>
      </c>
      <c r="I41" s="1380"/>
      <c r="J41" s="1365">
        <f>G41+0.3*H41+0.3*I41</f>
        <v>121.55</v>
      </c>
      <c r="K41" s="1356" t="s">
        <v>258</v>
      </c>
      <c r="L41" s="1366" t="s">
        <v>17477</v>
      </c>
      <c r="M41" s="1356">
        <v>-2</v>
      </c>
      <c r="N41" s="1356" t="s">
        <v>215</v>
      </c>
      <c r="O41" s="1371"/>
      <c r="P41" s="1383"/>
      <c r="Q41" s="1356"/>
      <c r="R41" s="1356"/>
      <c r="S41" s="1369">
        <v>436800</v>
      </c>
      <c r="T41" s="1369">
        <f t="shared" si="5"/>
        <v>446400</v>
      </c>
      <c r="U41" s="1369">
        <v>465000</v>
      </c>
      <c r="V41" s="1369"/>
      <c r="W41" s="1370">
        <f t="shared" si="11"/>
        <v>-6.0645161290322602E-2</v>
      </c>
      <c r="X41" s="1371">
        <f t="shared" si="12"/>
        <v>3593.5828877005347</v>
      </c>
      <c r="Y41" s="1371">
        <f t="shared" si="13"/>
        <v>3672.562731386261</v>
      </c>
      <c r="Z41" s="1371">
        <f t="shared" si="9"/>
        <v>3825.5861785273551</v>
      </c>
      <c r="AA41" s="1371"/>
      <c r="AB41" s="1372">
        <v>45866</v>
      </c>
      <c r="AC41" s="1373">
        <v>45945</v>
      </c>
      <c r="AD41" s="1374">
        <f>5000+82360</f>
        <v>87360</v>
      </c>
      <c r="AE41" s="1375"/>
      <c r="AF41" s="1373"/>
      <c r="AG41" s="1375"/>
      <c r="AH41" s="1373"/>
      <c r="AI41" s="1374">
        <v>349440</v>
      </c>
      <c r="AJ41" s="1356" t="s">
        <v>17556</v>
      </c>
      <c r="AK41" s="1356"/>
      <c r="AL41" s="1356"/>
      <c r="AM41" s="1356"/>
      <c r="AN41" s="1356"/>
      <c r="AO41" s="1356"/>
      <c r="AP41" s="1377" t="s">
        <v>18085</v>
      </c>
      <c r="AQ41" s="1377" t="s">
        <v>265</v>
      </c>
      <c r="AR41" s="1377"/>
      <c r="AS41" s="1377"/>
      <c r="AT41" s="1377"/>
      <c r="AU41" s="1377"/>
      <c r="AV41" s="1377"/>
      <c r="AW41" s="1377"/>
      <c r="AX41" s="1377"/>
      <c r="AY41" s="1378">
        <f t="shared" si="14"/>
        <v>331831.5</v>
      </c>
      <c r="AZ41" s="1378">
        <v>2730</v>
      </c>
    </row>
    <row r="42" spans="1:52" s="1379" customFormat="1" ht="16.5" customHeight="1">
      <c r="A42" s="1356">
        <v>39</v>
      </c>
      <c r="B42" s="1356" t="s">
        <v>17474</v>
      </c>
      <c r="C42" s="1358" t="s">
        <v>62</v>
      </c>
      <c r="D42" s="1359" t="s">
        <v>91</v>
      </c>
      <c r="E42" s="1360">
        <v>5</v>
      </c>
      <c r="F42" s="1360" t="s">
        <v>17269</v>
      </c>
      <c r="G42" s="1362">
        <v>85.8</v>
      </c>
      <c r="H42" s="1363">
        <v>54.9</v>
      </c>
      <c r="I42" s="1380"/>
      <c r="J42" s="1365">
        <f>G42+0.2*H42+0.3*I42</f>
        <v>96.78</v>
      </c>
      <c r="K42" s="1356" t="s">
        <v>258</v>
      </c>
      <c r="L42" s="1366" t="s">
        <v>17430</v>
      </c>
      <c r="M42" s="1356">
        <v>-1</v>
      </c>
      <c r="N42" s="1356" t="s">
        <v>215</v>
      </c>
      <c r="O42" s="1371"/>
      <c r="P42" s="1383"/>
      <c r="Q42" s="1356"/>
      <c r="R42" s="1356"/>
      <c r="S42" s="1371">
        <f>0.96*U42</f>
        <v>336000</v>
      </c>
      <c r="T42" s="1369">
        <f t="shared" si="5"/>
        <v>336000</v>
      </c>
      <c r="U42" s="1369">
        <v>350000</v>
      </c>
      <c r="V42" s="1369"/>
      <c r="W42" s="1370">
        <f t="shared" si="11"/>
        <v>-4.0000000000000036E-2</v>
      </c>
      <c r="X42" s="1371">
        <f t="shared" si="12"/>
        <v>3471.7916924984502</v>
      </c>
      <c r="Y42" s="1371">
        <f t="shared" si="13"/>
        <v>3471.7916924984502</v>
      </c>
      <c r="Z42" s="1371">
        <f t="shared" si="9"/>
        <v>3616.4496796858853</v>
      </c>
      <c r="AA42" s="1371"/>
      <c r="AB42" s="1372">
        <v>45563</v>
      </c>
      <c r="AC42" s="1373">
        <v>45583</v>
      </c>
      <c r="AD42" s="1374">
        <f>20%*S42</f>
        <v>67200</v>
      </c>
      <c r="AE42" s="1375"/>
      <c r="AF42" s="1373"/>
      <c r="AG42" s="1375"/>
      <c r="AH42" s="1373"/>
      <c r="AI42" s="1374">
        <f t="shared" si="10"/>
        <v>268800</v>
      </c>
      <c r="AJ42" s="1376" t="s">
        <v>17647</v>
      </c>
      <c r="AK42" s="1356"/>
      <c r="AL42" s="1356"/>
      <c r="AM42" s="1356"/>
      <c r="AN42" s="1356"/>
      <c r="AO42" s="1356"/>
      <c r="AP42" s="1377" t="s">
        <v>17665</v>
      </c>
      <c r="AQ42" s="1377" t="s">
        <v>265</v>
      </c>
      <c r="AR42" s="1377"/>
      <c r="AS42" s="1377"/>
      <c r="AT42" s="1377"/>
      <c r="AU42" s="1377" t="s">
        <v>18221</v>
      </c>
      <c r="AV42" s="1377">
        <v>917199793</v>
      </c>
      <c r="AW42" s="1377"/>
      <c r="AX42" s="1377"/>
      <c r="AY42" s="1378">
        <f t="shared" si="14"/>
        <v>264209.40000000002</v>
      </c>
      <c r="AZ42" s="1378">
        <v>2730</v>
      </c>
    </row>
    <row r="43" spans="1:52" s="1379" customFormat="1" ht="16.5" customHeight="1">
      <c r="A43" s="1356">
        <v>40</v>
      </c>
      <c r="B43" s="1356" t="s">
        <v>17474</v>
      </c>
      <c r="C43" s="1358" t="s">
        <v>63</v>
      </c>
      <c r="D43" s="1359" t="s">
        <v>91</v>
      </c>
      <c r="E43" s="1360">
        <v>5</v>
      </c>
      <c r="F43" s="1360" t="s">
        <v>46</v>
      </c>
      <c r="G43" s="1362">
        <v>84.8</v>
      </c>
      <c r="H43" s="1363">
        <v>33.200000000000003</v>
      </c>
      <c r="I43" s="1380"/>
      <c r="J43" s="1365">
        <f>G43+0.2*H43+0.3*I43</f>
        <v>91.44</v>
      </c>
      <c r="K43" s="1356" t="s">
        <v>258</v>
      </c>
      <c r="L43" s="1366" t="s">
        <v>17430</v>
      </c>
      <c r="M43" s="1356">
        <v>-2</v>
      </c>
      <c r="N43" s="1356" t="s">
        <v>215</v>
      </c>
      <c r="O43" s="1371"/>
      <c r="P43" s="1383"/>
      <c r="Q43" s="1356"/>
      <c r="R43" s="1356"/>
      <c r="S43" s="1369">
        <v>351000</v>
      </c>
      <c r="T43" s="1369">
        <f t="shared" si="5"/>
        <v>350400</v>
      </c>
      <c r="U43" s="1369">
        <v>365000</v>
      </c>
      <c r="V43" s="1369">
        <v>340000</v>
      </c>
      <c r="W43" s="1370">
        <f t="shared" si="11"/>
        <v>-3.8356164383561597E-2</v>
      </c>
      <c r="X43" s="1371">
        <f t="shared" si="12"/>
        <v>3838.5826771653547</v>
      </c>
      <c r="Y43" s="1371">
        <f t="shared" si="13"/>
        <v>3832.0209973753281</v>
      </c>
      <c r="Z43" s="1371">
        <f t="shared" si="9"/>
        <v>3991.6885389326335</v>
      </c>
      <c r="AA43" s="1371"/>
      <c r="AB43" s="1372">
        <v>45751</v>
      </c>
      <c r="AC43" s="1373">
        <v>45785</v>
      </c>
      <c r="AD43" s="1374">
        <f>5000+65200</f>
        <v>70200</v>
      </c>
      <c r="AE43" s="1375"/>
      <c r="AF43" s="1373"/>
      <c r="AG43" s="1375"/>
      <c r="AH43" s="1373"/>
      <c r="AI43" s="1374">
        <f t="shared" si="10"/>
        <v>280800</v>
      </c>
      <c r="AJ43" s="1356" t="s">
        <v>17556</v>
      </c>
      <c r="AK43" s="1356"/>
      <c r="AL43" s="1356"/>
      <c r="AM43" s="1356"/>
      <c r="AN43" s="1356"/>
      <c r="AO43" s="1356"/>
      <c r="AP43" s="1377" t="s">
        <v>17998</v>
      </c>
      <c r="AQ43" s="1377" t="s">
        <v>265</v>
      </c>
      <c r="AR43" s="1377"/>
      <c r="AS43" s="1377"/>
      <c r="AT43" s="1377"/>
      <c r="AU43" s="1377"/>
      <c r="AV43" s="1377"/>
      <c r="AW43" s="1377"/>
      <c r="AX43" s="1377"/>
      <c r="AY43" s="1378">
        <f t="shared" si="14"/>
        <v>249631.19999999998</v>
      </c>
      <c r="AZ43" s="1378">
        <v>2730</v>
      </c>
    </row>
    <row r="44" spans="1:52" s="1379" customFormat="1" ht="16.5" customHeight="1">
      <c r="A44" s="1356">
        <v>41</v>
      </c>
      <c r="B44" s="1356" t="s">
        <v>17474</v>
      </c>
      <c r="C44" s="1358" t="s">
        <v>64</v>
      </c>
      <c r="D44" s="1359" t="s">
        <v>91</v>
      </c>
      <c r="E44" s="1360">
        <v>5</v>
      </c>
      <c r="F44" s="1360" t="s">
        <v>46</v>
      </c>
      <c r="G44" s="1362">
        <v>84.8</v>
      </c>
      <c r="H44" s="1363">
        <v>33.200000000000003</v>
      </c>
      <c r="I44" s="1380"/>
      <c r="J44" s="1365">
        <f>G44+0.2*H44+0.3*I44</f>
        <v>91.44</v>
      </c>
      <c r="K44" s="1356" t="s">
        <v>258</v>
      </c>
      <c r="L44" s="1366" t="s">
        <v>17430</v>
      </c>
      <c r="M44" s="1356">
        <v>-1</v>
      </c>
      <c r="N44" s="1356" t="s">
        <v>215</v>
      </c>
      <c r="O44" s="1371"/>
      <c r="P44" s="1383"/>
      <c r="Q44" s="1356"/>
      <c r="R44" s="1356"/>
      <c r="S44" s="1369">
        <v>366720</v>
      </c>
      <c r="T44" s="1369">
        <f t="shared" si="5"/>
        <v>366720</v>
      </c>
      <c r="U44" s="1369">
        <v>382000</v>
      </c>
      <c r="V44" s="1369">
        <v>360000</v>
      </c>
      <c r="W44" s="1370">
        <f t="shared" si="11"/>
        <v>-4.0000000000000036E-2</v>
      </c>
      <c r="X44" s="1371">
        <f t="shared" si="12"/>
        <v>4010.4986876640419</v>
      </c>
      <c r="Y44" s="1371">
        <f t="shared" si="13"/>
        <v>4010.4986876640419</v>
      </c>
      <c r="Z44" s="1371">
        <f t="shared" si="9"/>
        <v>4177.6027996500443</v>
      </c>
      <c r="AA44" s="1371"/>
      <c r="AB44" s="1372">
        <v>45579</v>
      </c>
      <c r="AC44" s="1373">
        <v>45685</v>
      </c>
      <c r="AD44" s="1374">
        <f>20%*S44</f>
        <v>73344</v>
      </c>
      <c r="AE44" s="1375"/>
      <c r="AF44" s="1373"/>
      <c r="AG44" s="1375"/>
      <c r="AH44" s="1373"/>
      <c r="AI44" s="1374">
        <f t="shared" si="10"/>
        <v>293376</v>
      </c>
      <c r="AJ44" s="1356" t="s">
        <v>17556</v>
      </c>
      <c r="AK44" s="1356"/>
      <c r="AL44" s="1356"/>
      <c r="AM44" s="1356"/>
      <c r="AN44" s="1356"/>
      <c r="AO44" s="1356"/>
      <c r="AP44" s="1377" t="s">
        <v>17688</v>
      </c>
      <c r="AQ44" s="1377" t="s">
        <v>265</v>
      </c>
      <c r="AR44" s="1377"/>
      <c r="AS44" s="1377"/>
      <c r="AT44" s="1377"/>
      <c r="AU44" s="1377" t="s">
        <v>18222</v>
      </c>
      <c r="AV44" s="1377">
        <v>938886560</v>
      </c>
      <c r="AW44" s="1377"/>
      <c r="AX44" s="1377"/>
      <c r="AY44" s="1378">
        <f t="shared" si="14"/>
        <v>249631.19999999998</v>
      </c>
      <c r="AZ44" s="1378">
        <v>2730</v>
      </c>
    </row>
    <row r="45" spans="1:52" s="1379" customFormat="1" ht="16.5" customHeight="1">
      <c r="A45" s="1384">
        <v>42</v>
      </c>
      <c r="B45" s="1356" t="s">
        <v>17474</v>
      </c>
      <c r="C45" s="1385" t="s">
        <v>65</v>
      </c>
      <c r="D45" s="1359" t="s">
        <v>91</v>
      </c>
      <c r="E45" s="1360">
        <v>5</v>
      </c>
      <c r="F45" s="1360" t="s">
        <v>146</v>
      </c>
      <c r="G45" s="1362">
        <v>85.8</v>
      </c>
      <c r="H45" s="1363">
        <v>50.8</v>
      </c>
      <c r="I45" s="1380"/>
      <c r="J45" s="1365">
        <f>G45+0.2*H45+0.3*I45</f>
        <v>95.96</v>
      </c>
      <c r="K45" s="1356" t="s">
        <v>258</v>
      </c>
      <c r="L45" s="1366" t="s">
        <v>17430</v>
      </c>
      <c r="M45" s="1356">
        <v>-1</v>
      </c>
      <c r="N45" s="1356" t="s">
        <v>215</v>
      </c>
      <c r="O45" s="1371"/>
      <c r="P45" s="1383"/>
      <c r="Q45" s="1356"/>
      <c r="R45" s="1356"/>
      <c r="S45" s="1371">
        <f>0.96*U45</f>
        <v>355200</v>
      </c>
      <c r="T45" s="1369">
        <f t="shared" si="5"/>
        <v>355200</v>
      </c>
      <c r="U45" s="1369">
        <v>370000</v>
      </c>
      <c r="V45" s="1369"/>
      <c r="W45" s="1370">
        <f t="shared" si="11"/>
        <v>-4.0000000000000036E-2</v>
      </c>
      <c r="X45" s="1371">
        <f t="shared" si="12"/>
        <v>3701.5423092955402</v>
      </c>
      <c r="Y45" s="1371">
        <f t="shared" si="13"/>
        <v>3701.5423092955402</v>
      </c>
      <c r="Z45" s="1371">
        <f t="shared" si="9"/>
        <v>3855.773238849521</v>
      </c>
      <c r="AA45" s="1371"/>
      <c r="AB45" s="1372">
        <v>45563</v>
      </c>
      <c r="AC45" s="1373">
        <v>45576</v>
      </c>
      <c r="AD45" s="1374">
        <f>20%*S45</f>
        <v>71040</v>
      </c>
      <c r="AE45" s="1375"/>
      <c r="AF45" s="1373"/>
      <c r="AG45" s="1375"/>
      <c r="AH45" s="1373"/>
      <c r="AI45" s="1374">
        <f t="shared" si="10"/>
        <v>284160</v>
      </c>
      <c r="AJ45" s="1376" t="s">
        <v>17647</v>
      </c>
      <c r="AK45" s="1356"/>
      <c r="AL45" s="1356"/>
      <c r="AM45" s="1356"/>
      <c r="AN45" s="1356"/>
      <c r="AO45" s="1356"/>
      <c r="AP45" s="1377" t="s">
        <v>17656</v>
      </c>
      <c r="AQ45" s="1377" t="s">
        <v>265</v>
      </c>
      <c r="AR45" s="1377"/>
      <c r="AS45" s="1377"/>
      <c r="AT45" s="1377"/>
      <c r="AU45" s="1377" t="s">
        <v>18223</v>
      </c>
      <c r="AV45" s="1377">
        <v>917274901</v>
      </c>
      <c r="AW45" s="1377"/>
      <c r="AX45" s="1377"/>
      <c r="AY45" s="1378">
        <f t="shared" si="14"/>
        <v>261970.8</v>
      </c>
      <c r="AZ45" s="1378">
        <v>2730</v>
      </c>
    </row>
    <row r="46" spans="1:52" s="1379" customFormat="1" ht="16.5" customHeight="1">
      <c r="A46" s="1356">
        <v>43</v>
      </c>
      <c r="B46" s="1356" t="s">
        <v>17474</v>
      </c>
      <c r="C46" s="1358" t="s">
        <v>66</v>
      </c>
      <c r="D46" s="1359" t="s">
        <v>89</v>
      </c>
      <c r="E46" s="1360">
        <v>6</v>
      </c>
      <c r="F46" s="1360" t="s">
        <v>145</v>
      </c>
      <c r="G46" s="1362">
        <v>116.6</v>
      </c>
      <c r="H46" s="1363">
        <v>21.1</v>
      </c>
      <c r="I46" s="1380"/>
      <c r="J46" s="1365">
        <f>G46+0.3*H46+0.3*I46</f>
        <v>122.92999999999999</v>
      </c>
      <c r="K46" s="1356" t="s">
        <v>258</v>
      </c>
      <c r="L46" s="1366" t="s">
        <v>17523</v>
      </c>
      <c r="M46" s="1356">
        <v>-2</v>
      </c>
      <c r="N46" s="1356" t="s">
        <v>215</v>
      </c>
      <c r="O46" s="1371"/>
      <c r="P46" s="1383"/>
      <c r="Q46" s="1356"/>
      <c r="R46" s="1356"/>
      <c r="S46" s="1369">
        <v>422400</v>
      </c>
      <c r="T46" s="1369">
        <f t="shared" si="5"/>
        <v>422400</v>
      </c>
      <c r="U46" s="1369">
        <v>440000</v>
      </c>
      <c r="V46" s="1369"/>
      <c r="W46" s="1370">
        <f t="shared" si="11"/>
        <v>-4.0000000000000036E-2</v>
      </c>
      <c r="X46" s="1371">
        <f t="shared" si="12"/>
        <v>3436.1018465793545</v>
      </c>
      <c r="Y46" s="1371">
        <f t="shared" si="13"/>
        <v>3436.1018465793545</v>
      </c>
      <c r="Z46" s="1371">
        <f t="shared" si="9"/>
        <v>3579.2727568534942</v>
      </c>
      <c r="AA46" s="1371"/>
      <c r="AB46" s="1372">
        <v>45819</v>
      </c>
      <c r="AC46" s="1373">
        <v>45847</v>
      </c>
      <c r="AD46" s="1374">
        <f>5000+79480</f>
        <v>84480</v>
      </c>
      <c r="AE46" s="1375"/>
      <c r="AF46" s="1373"/>
      <c r="AG46" s="1375"/>
      <c r="AH46" s="1373"/>
      <c r="AI46" s="1374">
        <v>337920</v>
      </c>
      <c r="AJ46" s="1356" t="s">
        <v>17556</v>
      </c>
      <c r="AK46" s="1356"/>
      <c r="AL46" s="1356"/>
      <c r="AM46" s="1356"/>
      <c r="AN46" s="1356"/>
      <c r="AO46" s="1356"/>
      <c r="AP46" s="1377" t="s">
        <v>18047</v>
      </c>
      <c r="AQ46" s="1377" t="s">
        <v>265</v>
      </c>
      <c r="AR46" s="1377"/>
      <c r="AS46" s="1377"/>
      <c r="AT46" s="1377"/>
      <c r="AU46" s="1377"/>
      <c r="AV46" s="1377"/>
      <c r="AW46" s="1377"/>
      <c r="AX46" s="1377"/>
      <c r="AY46" s="1378">
        <f t="shared" si="14"/>
        <v>335598.89999999997</v>
      </c>
      <c r="AZ46" s="1378">
        <v>2730</v>
      </c>
    </row>
    <row r="47" spans="1:52" s="1379" customFormat="1" ht="16.5" customHeight="1">
      <c r="A47" s="1356">
        <v>44</v>
      </c>
      <c r="B47" s="1356" t="s">
        <v>17474</v>
      </c>
      <c r="C47" s="1358" t="s">
        <v>67</v>
      </c>
      <c r="D47" s="1359" t="s">
        <v>89</v>
      </c>
      <c r="E47" s="1360">
        <v>6</v>
      </c>
      <c r="F47" s="1360" t="s">
        <v>17362</v>
      </c>
      <c r="G47" s="1362">
        <v>134.6</v>
      </c>
      <c r="H47" s="1363">
        <f>7.6+24.6</f>
        <v>32.200000000000003</v>
      </c>
      <c r="I47" s="1380"/>
      <c r="J47" s="1365">
        <f>G47+0.3*H47+0.3*I47</f>
        <v>144.26</v>
      </c>
      <c r="K47" s="1356" t="s">
        <v>258</v>
      </c>
      <c r="L47" s="1366" t="s">
        <v>17477</v>
      </c>
      <c r="M47" s="1356">
        <v>-1</v>
      </c>
      <c r="N47" s="1356" t="s">
        <v>215</v>
      </c>
      <c r="O47" s="1371"/>
      <c r="P47" s="1383"/>
      <c r="Q47" s="1356"/>
      <c r="R47" s="1356"/>
      <c r="S47" s="1369">
        <v>470400</v>
      </c>
      <c r="T47" s="1369">
        <f t="shared" si="5"/>
        <v>470400</v>
      </c>
      <c r="U47" s="1369">
        <v>490000</v>
      </c>
      <c r="V47" s="1369"/>
      <c r="W47" s="1370">
        <f t="shared" si="11"/>
        <v>-4.0000000000000036E-2</v>
      </c>
      <c r="X47" s="1371">
        <f t="shared" si="12"/>
        <v>3260.7791487591849</v>
      </c>
      <c r="Y47" s="1371">
        <f t="shared" si="13"/>
        <v>3260.7791487591849</v>
      </c>
      <c r="Z47" s="1371">
        <f t="shared" si="9"/>
        <v>3396.6449466241511</v>
      </c>
      <c r="AA47" s="1371"/>
      <c r="AB47" s="1372"/>
      <c r="AC47" s="1373">
        <v>45755</v>
      </c>
      <c r="AD47" s="1374">
        <f>20%*S47</f>
        <v>94080</v>
      </c>
      <c r="AE47" s="1375"/>
      <c r="AF47" s="1373"/>
      <c r="AG47" s="1375"/>
      <c r="AH47" s="1373"/>
      <c r="AI47" s="1374">
        <f>80%*S47</f>
        <v>376320</v>
      </c>
      <c r="AJ47" s="1356" t="s">
        <v>17556</v>
      </c>
      <c r="AK47" s="1356"/>
      <c r="AL47" s="1356"/>
      <c r="AM47" s="1356"/>
      <c r="AN47" s="1356"/>
      <c r="AO47" s="1356"/>
      <c r="AP47" s="1377" t="s">
        <v>17908</v>
      </c>
      <c r="AQ47" s="1377" t="s">
        <v>17421</v>
      </c>
      <c r="AR47" s="1377"/>
      <c r="AS47" s="1377"/>
      <c r="AT47" s="1377"/>
      <c r="AU47" s="1377"/>
      <c r="AV47" s="1377"/>
      <c r="AW47" s="1377"/>
      <c r="AX47" s="1377"/>
      <c r="AY47" s="1378">
        <f t="shared" si="14"/>
        <v>393829.8</v>
      </c>
      <c r="AZ47" s="1378">
        <v>2730</v>
      </c>
    </row>
    <row r="48" spans="1:52" s="1379" customFormat="1" ht="16.5" customHeight="1">
      <c r="A48" s="1356">
        <v>45</v>
      </c>
      <c r="B48" s="1356" t="s">
        <v>17474</v>
      </c>
      <c r="C48" s="1358" t="s">
        <v>68</v>
      </c>
      <c r="D48" s="1359" t="s">
        <v>89</v>
      </c>
      <c r="E48" s="1360">
        <v>6</v>
      </c>
      <c r="F48" s="1360" t="s">
        <v>17362</v>
      </c>
      <c r="G48" s="1362">
        <v>134.6</v>
      </c>
      <c r="H48" s="1363">
        <f>7.6+24.6</f>
        <v>32.200000000000003</v>
      </c>
      <c r="I48" s="1380"/>
      <c r="J48" s="1365">
        <f>G48+0.3*H48+0.3*I48</f>
        <v>144.26</v>
      </c>
      <c r="K48" s="1356" t="s">
        <v>258</v>
      </c>
      <c r="L48" s="1366" t="s">
        <v>17477</v>
      </c>
      <c r="M48" s="1356">
        <v>-1</v>
      </c>
      <c r="N48" s="1356" t="s">
        <v>215</v>
      </c>
      <c r="O48" s="1371"/>
      <c r="P48" s="1383"/>
      <c r="Q48" s="1356"/>
      <c r="R48" s="1356"/>
      <c r="S48" s="1369">
        <v>484800</v>
      </c>
      <c r="T48" s="1369">
        <f t="shared" si="5"/>
        <v>484800</v>
      </c>
      <c r="U48" s="1369">
        <v>505000</v>
      </c>
      <c r="V48" s="1369"/>
      <c r="W48" s="1370">
        <f t="shared" si="11"/>
        <v>-4.0000000000000036E-2</v>
      </c>
      <c r="X48" s="1371">
        <f t="shared" si="12"/>
        <v>3360.59891861916</v>
      </c>
      <c r="Y48" s="1371">
        <f t="shared" si="13"/>
        <v>3360.59891861916</v>
      </c>
      <c r="Z48" s="1371">
        <f t="shared" si="9"/>
        <v>3500.6238735616253</v>
      </c>
      <c r="AA48" s="1371"/>
      <c r="AB48" s="1372"/>
      <c r="AC48" s="1373">
        <v>45579</v>
      </c>
      <c r="AD48" s="1374">
        <f>20%*S48+5000</f>
        <v>101960</v>
      </c>
      <c r="AE48" s="1375"/>
      <c r="AF48" s="1373"/>
      <c r="AG48" s="1375"/>
      <c r="AH48" s="1373"/>
      <c r="AI48" s="1374">
        <f>80%*S48-5000</f>
        <v>382840</v>
      </c>
      <c r="AJ48" s="1356" t="s">
        <v>17647</v>
      </c>
      <c r="AK48" s="1356"/>
      <c r="AL48" s="1356"/>
      <c r="AM48" s="1356"/>
      <c r="AN48" s="1356"/>
      <c r="AO48" s="1356"/>
      <c r="AP48" s="1377" t="s">
        <v>17686</v>
      </c>
      <c r="AQ48" s="1377" t="s">
        <v>265</v>
      </c>
      <c r="AR48" s="1377"/>
      <c r="AS48" s="1377"/>
      <c r="AT48" s="1377"/>
      <c r="AU48" s="1377" t="s">
        <v>18224</v>
      </c>
      <c r="AV48" s="1377">
        <v>41775134596</v>
      </c>
      <c r="AW48" s="1377"/>
      <c r="AX48" s="1377"/>
      <c r="AY48" s="1378">
        <f t="shared" si="14"/>
        <v>393829.8</v>
      </c>
      <c r="AZ48" s="1378">
        <v>2730</v>
      </c>
    </row>
    <row r="49" spans="1:52" s="1379" customFormat="1" ht="16.5" customHeight="1">
      <c r="A49" s="1356">
        <v>46</v>
      </c>
      <c r="B49" s="1356" t="s">
        <v>17474</v>
      </c>
      <c r="C49" s="1358" t="s">
        <v>69</v>
      </c>
      <c r="D49" s="1359" t="s">
        <v>89</v>
      </c>
      <c r="E49" s="1360">
        <v>6</v>
      </c>
      <c r="F49" s="1360" t="s">
        <v>17268</v>
      </c>
      <c r="G49" s="1362">
        <v>116.6</v>
      </c>
      <c r="H49" s="1363">
        <v>16.5</v>
      </c>
      <c r="I49" s="1380"/>
      <c r="J49" s="1365">
        <f>G49+0.3*H49+0.3*I49</f>
        <v>121.55</v>
      </c>
      <c r="K49" s="1356" t="s">
        <v>258</v>
      </c>
      <c r="L49" s="1366" t="s">
        <v>17477</v>
      </c>
      <c r="M49" s="1356">
        <v>-2</v>
      </c>
      <c r="N49" s="1356" t="s">
        <v>215</v>
      </c>
      <c r="O49" s="1371"/>
      <c r="P49" s="1383"/>
      <c r="Q49" s="1356"/>
      <c r="R49" s="1356"/>
      <c r="S49" s="1369">
        <v>441600</v>
      </c>
      <c r="T49" s="1369">
        <f t="shared" si="5"/>
        <v>441600</v>
      </c>
      <c r="U49" s="1369">
        <v>460000</v>
      </c>
      <c r="V49" s="1369"/>
      <c r="W49" s="1370">
        <f t="shared" si="11"/>
        <v>-4.0000000000000036E-2</v>
      </c>
      <c r="X49" s="1371">
        <f t="shared" si="12"/>
        <v>3633.0728095433979</v>
      </c>
      <c r="Y49" s="1371">
        <f t="shared" si="13"/>
        <v>3633.0728095433979</v>
      </c>
      <c r="Z49" s="1371">
        <f t="shared" si="9"/>
        <v>3784.4508432743728</v>
      </c>
      <c r="AA49" s="1371"/>
      <c r="AB49" s="1372"/>
      <c r="AC49" s="1373">
        <v>45631</v>
      </c>
      <c r="AD49" s="1374">
        <f>20%*S49</f>
        <v>88320</v>
      </c>
      <c r="AE49" s="1375"/>
      <c r="AF49" s="1373"/>
      <c r="AG49" s="1375"/>
      <c r="AH49" s="1373"/>
      <c r="AI49" s="1374">
        <f>80%*S49</f>
        <v>353280</v>
      </c>
      <c r="AJ49" s="1356" t="s">
        <v>17647</v>
      </c>
      <c r="AK49" s="1356"/>
      <c r="AL49" s="1356"/>
      <c r="AM49" s="1356"/>
      <c r="AN49" s="1356"/>
      <c r="AO49" s="1356"/>
      <c r="AP49" s="1377" t="s">
        <v>17727</v>
      </c>
      <c r="AQ49" s="1377" t="s">
        <v>265</v>
      </c>
      <c r="AR49" s="1377"/>
      <c r="AS49" s="1377"/>
      <c r="AT49" s="1377"/>
      <c r="AU49" s="1377" t="s">
        <v>18225</v>
      </c>
      <c r="AV49" s="1377">
        <v>937058399</v>
      </c>
      <c r="AW49" s="1377"/>
      <c r="AX49" s="1377"/>
      <c r="AY49" s="1378">
        <f t="shared" si="14"/>
        <v>331831.5</v>
      </c>
      <c r="AZ49" s="1378">
        <v>2730</v>
      </c>
    </row>
    <row r="50" spans="1:52" s="1379" customFormat="1" ht="16.5" customHeight="1">
      <c r="A50" s="1356">
        <v>47</v>
      </c>
      <c r="B50" s="1356" t="s">
        <v>17474</v>
      </c>
      <c r="C50" s="1358" t="s">
        <v>70</v>
      </c>
      <c r="D50" s="1359" t="s">
        <v>91</v>
      </c>
      <c r="E50" s="1360">
        <v>6</v>
      </c>
      <c r="F50" s="1360" t="s">
        <v>17269</v>
      </c>
      <c r="G50" s="1362">
        <v>85.8</v>
      </c>
      <c r="H50" s="1363">
        <v>54.9</v>
      </c>
      <c r="I50" s="1380"/>
      <c r="J50" s="1365">
        <f>G50+0.2*H50+0.3*I50</f>
        <v>96.78</v>
      </c>
      <c r="K50" s="1356" t="s">
        <v>258</v>
      </c>
      <c r="L50" s="1366" t="s">
        <v>17430</v>
      </c>
      <c r="M50" s="1356">
        <v>-1</v>
      </c>
      <c r="N50" s="1356" t="s">
        <v>215</v>
      </c>
      <c r="O50" s="1371"/>
      <c r="P50" s="1383"/>
      <c r="Q50" s="1356"/>
      <c r="R50" s="1356"/>
      <c r="S50" s="1369">
        <v>362000</v>
      </c>
      <c r="T50" s="1369">
        <f t="shared" si="5"/>
        <v>360960</v>
      </c>
      <c r="U50" s="1369">
        <v>376000</v>
      </c>
      <c r="V50" s="1369">
        <v>355000</v>
      </c>
      <c r="W50" s="1370">
        <f t="shared" si="11"/>
        <v>-3.7234042553191515E-2</v>
      </c>
      <c r="X50" s="1371">
        <f t="shared" si="12"/>
        <v>3740.4422401322586</v>
      </c>
      <c r="Y50" s="1371">
        <f t="shared" si="13"/>
        <v>3729.6962182269062</v>
      </c>
      <c r="Z50" s="1371">
        <f t="shared" si="9"/>
        <v>3885.1002273196941</v>
      </c>
      <c r="AA50" s="1371"/>
      <c r="AB50" s="1372">
        <v>45742</v>
      </c>
      <c r="AC50" s="1373">
        <v>45790</v>
      </c>
      <c r="AD50" s="1374">
        <f>5000+67192</f>
        <v>72192</v>
      </c>
      <c r="AE50" s="1375"/>
      <c r="AF50" s="1373"/>
      <c r="AG50" s="1375"/>
      <c r="AH50" s="1373"/>
      <c r="AI50" s="1374">
        <v>289600</v>
      </c>
      <c r="AJ50" s="1356" t="s">
        <v>17556</v>
      </c>
      <c r="AK50" s="1356"/>
      <c r="AL50" s="1356"/>
      <c r="AM50" s="1356"/>
      <c r="AN50" s="1356"/>
      <c r="AO50" s="1356"/>
      <c r="AP50" s="1377" t="s">
        <v>18018</v>
      </c>
      <c r="AQ50" s="1377" t="s">
        <v>265</v>
      </c>
      <c r="AR50" s="1377"/>
      <c r="AS50" s="1377"/>
      <c r="AT50" s="1377"/>
      <c r="AU50" s="1377"/>
      <c r="AV50" s="1377"/>
      <c r="AW50" s="1377"/>
      <c r="AX50" s="1377"/>
      <c r="AY50" s="1378">
        <f t="shared" si="14"/>
        <v>264209.40000000002</v>
      </c>
      <c r="AZ50" s="1378">
        <v>2730</v>
      </c>
    </row>
    <row r="51" spans="1:52" s="1379" customFormat="1" ht="16.5" customHeight="1">
      <c r="A51" s="1356">
        <v>48</v>
      </c>
      <c r="B51" s="1356" t="s">
        <v>17474</v>
      </c>
      <c r="C51" s="1358" t="s">
        <v>71</v>
      </c>
      <c r="D51" s="1359" t="s">
        <v>91</v>
      </c>
      <c r="E51" s="1360">
        <v>6</v>
      </c>
      <c r="F51" s="1360" t="s">
        <v>46</v>
      </c>
      <c r="G51" s="1362">
        <v>84.8</v>
      </c>
      <c r="H51" s="1363">
        <v>33.200000000000003</v>
      </c>
      <c r="I51" s="1380"/>
      <c r="J51" s="1365">
        <f>G51+0.2*H51+0.3*I51</f>
        <v>91.44</v>
      </c>
      <c r="K51" s="1356" t="s">
        <v>258</v>
      </c>
      <c r="L51" s="1366" t="s">
        <v>17430</v>
      </c>
      <c r="M51" s="1356">
        <v>-2</v>
      </c>
      <c r="N51" s="1356" t="s">
        <v>215</v>
      </c>
      <c r="O51" s="1371"/>
      <c r="P51" s="1383"/>
      <c r="Q51" s="1356"/>
      <c r="R51" s="1356"/>
      <c r="S51" s="1369">
        <v>355200</v>
      </c>
      <c r="T51" s="1369">
        <f t="shared" si="5"/>
        <v>355200</v>
      </c>
      <c r="U51" s="1369">
        <v>370000</v>
      </c>
      <c r="V51" s="1369">
        <v>345000</v>
      </c>
      <c r="W51" s="1370">
        <f t="shared" si="11"/>
        <v>-4.0000000000000036E-2</v>
      </c>
      <c r="X51" s="1371">
        <f t="shared" si="12"/>
        <v>3884.5144356955379</v>
      </c>
      <c r="Y51" s="1371">
        <f t="shared" si="13"/>
        <v>3884.5144356955379</v>
      </c>
      <c r="Z51" s="1371">
        <f t="shared" si="9"/>
        <v>4046.3692038495187</v>
      </c>
      <c r="AA51" s="1371"/>
      <c r="AB51" s="1372">
        <v>45821</v>
      </c>
      <c r="AC51" s="1373">
        <v>45847</v>
      </c>
      <c r="AD51" s="1374">
        <f>5000+66040</f>
        <v>71040</v>
      </c>
      <c r="AE51" s="1375"/>
      <c r="AF51" s="1373"/>
      <c r="AG51" s="1375"/>
      <c r="AH51" s="1373"/>
      <c r="AI51" s="1374">
        <v>284160</v>
      </c>
      <c r="AJ51" s="1356" t="s">
        <v>17556</v>
      </c>
      <c r="AK51" s="1356"/>
      <c r="AL51" s="1356"/>
      <c r="AM51" s="1356"/>
      <c r="AN51" s="1356"/>
      <c r="AO51" s="1356"/>
      <c r="AP51" s="1377" t="s">
        <v>18048</v>
      </c>
      <c r="AQ51" s="1377" t="s">
        <v>17219</v>
      </c>
      <c r="AR51" s="1377"/>
      <c r="AS51" s="1377"/>
      <c r="AT51" s="1377"/>
      <c r="AU51" s="1377"/>
      <c r="AV51" s="1377"/>
      <c r="AW51" s="1377"/>
      <c r="AX51" s="1377"/>
      <c r="AY51" s="1378">
        <f t="shared" si="14"/>
        <v>249631.19999999998</v>
      </c>
      <c r="AZ51" s="1378">
        <v>2730</v>
      </c>
    </row>
    <row r="52" spans="1:52" s="1379" customFormat="1" ht="16.5" customHeight="1">
      <c r="A52" s="1356">
        <v>49</v>
      </c>
      <c r="B52" s="1356" t="s">
        <v>17474</v>
      </c>
      <c r="C52" s="1358" t="s">
        <v>72</v>
      </c>
      <c r="D52" s="1359" t="s">
        <v>91</v>
      </c>
      <c r="E52" s="1360">
        <v>6</v>
      </c>
      <c r="F52" s="1360" t="s">
        <v>46</v>
      </c>
      <c r="G52" s="1362">
        <v>84.8</v>
      </c>
      <c r="H52" s="1363">
        <v>33.200000000000003</v>
      </c>
      <c r="I52" s="1380"/>
      <c r="J52" s="1365">
        <f>G52+0.2*H52+0.3*I52</f>
        <v>91.44</v>
      </c>
      <c r="K52" s="1356" t="s">
        <v>258</v>
      </c>
      <c r="L52" s="1366" t="s">
        <v>17430</v>
      </c>
      <c r="M52" s="1356">
        <v>-1</v>
      </c>
      <c r="N52" s="1356" t="s">
        <v>215</v>
      </c>
      <c r="O52" s="1371"/>
      <c r="P52" s="1383"/>
      <c r="Q52" s="1356"/>
      <c r="R52" s="1356"/>
      <c r="S52" s="1369">
        <v>365000</v>
      </c>
      <c r="T52" s="1369">
        <f t="shared" si="5"/>
        <v>350400</v>
      </c>
      <c r="U52" s="1369">
        <v>365000</v>
      </c>
      <c r="V52" s="1369"/>
      <c r="W52" s="1370">
        <f t="shared" si="11"/>
        <v>0</v>
      </c>
      <c r="X52" s="1371">
        <f t="shared" si="12"/>
        <v>3991.6885389326335</v>
      </c>
      <c r="Y52" s="1371">
        <f t="shared" si="13"/>
        <v>3832.0209973753281</v>
      </c>
      <c r="Z52" s="1371">
        <f t="shared" si="9"/>
        <v>3991.6885389326335</v>
      </c>
      <c r="AA52" s="1371"/>
      <c r="AB52" s="1372"/>
      <c r="AC52" s="1373">
        <v>45600</v>
      </c>
      <c r="AD52" s="1374">
        <f>20%*S52</f>
        <v>73000</v>
      </c>
      <c r="AE52" s="1375"/>
      <c r="AF52" s="1373"/>
      <c r="AG52" s="1375"/>
      <c r="AH52" s="1373"/>
      <c r="AI52" s="1374">
        <f>80%*S52</f>
        <v>292000</v>
      </c>
      <c r="AJ52" s="1356" t="s">
        <v>17556</v>
      </c>
      <c r="AK52" s="1356"/>
      <c r="AL52" s="1356"/>
      <c r="AM52" s="1356"/>
      <c r="AN52" s="1356"/>
      <c r="AO52" s="1356"/>
      <c r="AP52" s="1377" t="s">
        <v>17709</v>
      </c>
      <c r="AQ52" s="1377" t="s">
        <v>265</v>
      </c>
      <c r="AR52" s="1377"/>
      <c r="AS52" s="1377"/>
      <c r="AT52" s="1377"/>
      <c r="AU52" s="1377" t="s">
        <v>18226</v>
      </c>
      <c r="AV52" s="1377">
        <v>967702834</v>
      </c>
      <c r="AW52" s="1377"/>
      <c r="AX52" s="1377"/>
      <c r="AY52" s="1378">
        <f t="shared" si="14"/>
        <v>249631.19999999998</v>
      </c>
      <c r="AZ52" s="1378">
        <v>2730</v>
      </c>
    </row>
    <row r="53" spans="1:52" s="1379" customFormat="1" ht="16.5" customHeight="1">
      <c r="A53" s="1356">
        <v>50</v>
      </c>
      <c r="B53" s="1356" t="s">
        <v>17474</v>
      </c>
      <c r="C53" s="1358" t="s">
        <v>73</v>
      </c>
      <c r="D53" s="1359" t="s">
        <v>91</v>
      </c>
      <c r="E53" s="1360">
        <v>6</v>
      </c>
      <c r="F53" s="1360" t="s">
        <v>146</v>
      </c>
      <c r="G53" s="1362">
        <v>85.8</v>
      </c>
      <c r="H53" s="1363">
        <v>50.8</v>
      </c>
      <c r="I53" s="1380"/>
      <c r="J53" s="1365">
        <f>G53+0.2*H53+0.3*I53</f>
        <v>95.96</v>
      </c>
      <c r="K53" s="1356" t="s">
        <v>258</v>
      </c>
      <c r="L53" s="1366" t="s">
        <v>17430</v>
      </c>
      <c r="M53" s="1356">
        <v>-1</v>
      </c>
      <c r="N53" s="1356" t="s">
        <v>215</v>
      </c>
      <c r="O53" s="1371"/>
      <c r="P53" s="1383"/>
      <c r="Q53" s="1356"/>
      <c r="R53" s="1356"/>
      <c r="S53" s="1371">
        <f>0.96*U53</f>
        <v>360000</v>
      </c>
      <c r="T53" s="1369">
        <f t="shared" si="5"/>
        <v>360000</v>
      </c>
      <c r="U53" s="1369">
        <v>375000</v>
      </c>
      <c r="V53" s="1369"/>
      <c r="W53" s="1370">
        <f t="shared" si="11"/>
        <v>-4.0000000000000036E-2</v>
      </c>
      <c r="X53" s="1371">
        <f t="shared" si="12"/>
        <v>3751.5631513130475</v>
      </c>
      <c r="Y53" s="1371">
        <f t="shared" si="13"/>
        <v>3751.5631513130475</v>
      </c>
      <c r="Z53" s="1371">
        <f t="shared" si="9"/>
        <v>3907.8782826177576</v>
      </c>
      <c r="AA53" s="1371"/>
      <c r="AB53" s="1372">
        <v>45564</v>
      </c>
      <c r="AC53" s="1373">
        <v>45583</v>
      </c>
      <c r="AD53" s="1374">
        <f>5000+72000</f>
        <v>77000</v>
      </c>
      <c r="AE53" s="1375"/>
      <c r="AF53" s="1373"/>
      <c r="AG53" s="1375"/>
      <c r="AH53" s="1373"/>
      <c r="AI53" s="1374">
        <v>283000</v>
      </c>
      <c r="AJ53" s="1376" t="s">
        <v>17647</v>
      </c>
      <c r="AK53" s="1356"/>
      <c r="AL53" s="1356"/>
      <c r="AM53" s="1356"/>
      <c r="AN53" s="1356"/>
      <c r="AO53" s="1356"/>
      <c r="AP53" s="1377" t="s">
        <v>17659</v>
      </c>
      <c r="AQ53" s="1377" t="s">
        <v>265</v>
      </c>
      <c r="AR53" s="1377"/>
      <c r="AS53" s="1377"/>
      <c r="AT53" s="1377"/>
      <c r="AU53" s="1377" t="s">
        <v>18227</v>
      </c>
      <c r="AV53" s="1377">
        <v>918900135</v>
      </c>
      <c r="AW53" s="1377"/>
      <c r="AX53" s="1377"/>
      <c r="AY53" s="1378">
        <f t="shared" si="14"/>
        <v>261970.8</v>
      </c>
      <c r="AZ53" s="1378">
        <v>2730</v>
      </c>
    </row>
    <row r="54" spans="1:52" s="1301" customFormat="1" ht="16.5" customHeight="1">
      <c r="A54" s="1288">
        <v>51</v>
      </c>
      <c r="B54" s="1288" t="s">
        <v>17474</v>
      </c>
      <c r="C54" s="1303" t="s">
        <v>74</v>
      </c>
      <c r="D54" s="1304" t="s">
        <v>93</v>
      </c>
      <c r="E54" s="1305">
        <v>7</v>
      </c>
      <c r="F54" s="1305" t="s">
        <v>17267</v>
      </c>
      <c r="G54" s="1290">
        <v>176.8</v>
      </c>
      <c r="H54" s="1291"/>
      <c r="I54" s="1302">
        <v>110.7</v>
      </c>
      <c r="J54" s="1292">
        <f>G54+0.3*H54+0.3*I54</f>
        <v>210.01000000000002</v>
      </c>
      <c r="K54" s="1288"/>
      <c r="L54" s="1289" t="s">
        <v>17522</v>
      </c>
      <c r="M54" s="1288">
        <v>-1</v>
      </c>
      <c r="N54" s="1288" t="s">
        <v>312</v>
      </c>
      <c r="O54" s="1293"/>
      <c r="P54" s="1306"/>
      <c r="Q54" s="1288"/>
      <c r="R54" s="1288"/>
      <c r="S54" s="1294"/>
      <c r="T54" s="1294">
        <f t="shared" si="5"/>
        <v>787200</v>
      </c>
      <c r="U54" s="1294">
        <v>820000</v>
      </c>
      <c r="V54" s="1294"/>
      <c r="W54" s="1295">
        <f t="shared" si="11"/>
        <v>-1</v>
      </c>
      <c r="X54" s="1293">
        <f t="shared" si="12"/>
        <v>0</v>
      </c>
      <c r="Y54" s="1293">
        <f t="shared" si="13"/>
        <v>3748.3929336698247</v>
      </c>
      <c r="Z54" s="1293">
        <f t="shared" si="9"/>
        <v>3904.5759725727344</v>
      </c>
      <c r="AA54" s="1293"/>
      <c r="AB54" s="1296"/>
      <c r="AC54" s="1297"/>
      <c r="AD54" s="1313">
        <f>20%*S54</f>
        <v>0</v>
      </c>
      <c r="AE54" s="1298"/>
      <c r="AF54" s="1297"/>
      <c r="AG54" s="1298"/>
      <c r="AH54" s="1297"/>
      <c r="AI54" s="1313">
        <f>80%*S54</f>
        <v>0</v>
      </c>
      <c r="AJ54" s="1288"/>
      <c r="AK54" s="1288"/>
      <c r="AL54" s="1288"/>
      <c r="AM54" s="1288"/>
      <c r="AN54" s="1288"/>
      <c r="AO54" s="1288"/>
      <c r="AP54" s="1299"/>
      <c r="AQ54" s="1299"/>
      <c r="AR54" s="1299"/>
      <c r="AS54" s="1299"/>
      <c r="AT54" s="1299"/>
      <c r="AU54" s="1299"/>
      <c r="AV54" s="1299"/>
      <c r="AW54" s="1299"/>
      <c r="AX54" s="1299"/>
      <c r="AY54" s="1300">
        <f t="shared" si="14"/>
        <v>573327.30000000005</v>
      </c>
      <c r="AZ54" s="922">
        <v>2730</v>
      </c>
    </row>
    <row r="55" spans="1:52" s="923" customFormat="1" ht="16.5" customHeight="1">
      <c r="A55" s="914">
        <v>52</v>
      </c>
      <c r="B55" s="914" t="s">
        <v>17474</v>
      </c>
      <c r="C55" s="925" t="s">
        <v>75</v>
      </c>
      <c r="D55" s="926" t="s">
        <v>93</v>
      </c>
      <c r="E55" s="927">
        <v>7</v>
      </c>
      <c r="F55" s="927" t="s">
        <v>17362</v>
      </c>
      <c r="G55" s="915">
        <v>173.9</v>
      </c>
      <c r="H55" s="916"/>
      <c r="I55" s="924">
        <v>55.9</v>
      </c>
      <c r="J55" s="917">
        <f>G55+0.3*H55+0.3*I55</f>
        <v>190.67000000000002</v>
      </c>
      <c r="K55" s="914"/>
      <c r="L55" s="894" t="s">
        <v>17522</v>
      </c>
      <c r="M55" s="914">
        <v>-2</v>
      </c>
      <c r="N55" s="914" t="s">
        <v>312</v>
      </c>
      <c r="O55" s="895"/>
      <c r="P55" s="897"/>
      <c r="Q55" s="914"/>
      <c r="R55" s="914"/>
      <c r="S55" s="1270"/>
      <c r="T55" s="1270">
        <f t="shared" si="5"/>
        <v>720000</v>
      </c>
      <c r="U55" s="1270">
        <v>750000</v>
      </c>
      <c r="V55" s="1270"/>
      <c r="W55" s="1386">
        <f t="shared" si="11"/>
        <v>-1</v>
      </c>
      <c r="X55" s="895">
        <f t="shared" si="12"/>
        <v>0</v>
      </c>
      <c r="Y55" s="895">
        <f t="shared" si="13"/>
        <v>3776.1577594797291</v>
      </c>
      <c r="Z55" s="895">
        <f t="shared" si="9"/>
        <v>3933.4976661247179</v>
      </c>
      <c r="AA55" s="895"/>
      <c r="AB55" s="918"/>
      <c r="AC55" s="919"/>
      <c r="AD55" s="1313">
        <f>20%*S55</f>
        <v>0</v>
      </c>
      <c r="AE55" s="920"/>
      <c r="AF55" s="919"/>
      <c r="AG55" s="920"/>
      <c r="AH55" s="919"/>
      <c r="AI55" s="1313">
        <f>80%*S55</f>
        <v>0</v>
      </c>
      <c r="AJ55" s="914"/>
      <c r="AK55" s="914"/>
      <c r="AL55" s="914"/>
      <c r="AM55" s="914"/>
      <c r="AN55" s="914"/>
      <c r="AO55" s="914"/>
      <c r="AP55" s="921"/>
      <c r="AQ55" s="921"/>
      <c r="AR55" s="921"/>
      <c r="AS55" s="921"/>
      <c r="AT55" s="921"/>
      <c r="AU55" s="921"/>
      <c r="AV55" s="921"/>
      <c r="AW55" s="921"/>
      <c r="AX55" s="921"/>
      <c r="AY55" s="922">
        <f t="shared" si="14"/>
        <v>520529.10000000003</v>
      </c>
      <c r="AZ55" s="922">
        <v>2730</v>
      </c>
    </row>
    <row r="56" spans="1:52" s="1747" customFormat="1" ht="16.5" customHeight="1">
      <c r="A56" s="1729">
        <v>53</v>
      </c>
      <c r="B56" s="1729" t="s">
        <v>17474</v>
      </c>
      <c r="C56" s="1730" t="s">
        <v>76</v>
      </c>
      <c r="D56" s="1731" t="s">
        <v>93</v>
      </c>
      <c r="E56" s="1732">
        <v>7</v>
      </c>
      <c r="F56" s="1732" t="s">
        <v>17362</v>
      </c>
      <c r="G56" s="1733">
        <v>173.9</v>
      </c>
      <c r="H56" s="1734"/>
      <c r="I56" s="1735">
        <v>55.9</v>
      </c>
      <c r="J56" s="1736">
        <f>G56+0.3*H56+0.3*I56</f>
        <v>190.67000000000002</v>
      </c>
      <c r="K56" s="1729" t="s">
        <v>210</v>
      </c>
      <c r="L56" s="1737" t="s">
        <v>17522</v>
      </c>
      <c r="M56" s="1729">
        <v>-2</v>
      </c>
      <c r="N56" s="1729" t="s">
        <v>312</v>
      </c>
      <c r="O56" s="1740"/>
      <c r="P56" s="1827"/>
      <c r="Q56" s="1729"/>
      <c r="R56" s="1729"/>
      <c r="S56" s="1738">
        <v>768000</v>
      </c>
      <c r="T56" s="1738">
        <f t="shared" si="5"/>
        <v>768000</v>
      </c>
      <c r="U56" s="1738">
        <v>800000</v>
      </c>
      <c r="V56" s="1738"/>
      <c r="W56" s="1739">
        <f t="shared" si="11"/>
        <v>-4.0000000000000036E-2</v>
      </c>
      <c r="X56" s="1740">
        <f t="shared" si="12"/>
        <v>4027.9016101117109</v>
      </c>
      <c r="Y56" s="1740">
        <f t="shared" si="13"/>
        <v>4027.9016101117109</v>
      </c>
      <c r="Z56" s="1740">
        <f t="shared" si="9"/>
        <v>4195.7308438663658</v>
      </c>
      <c r="AA56" s="1740"/>
      <c r="AB56" s="1741">
        <v>45981</v>
      </c>
      <c r="AC56" s="1742"/>
      <c r="AD56" s="1743">
        <f>20%*S56</f>
        <v>153600</v>
      </c>
      <c r="AE56" s="1744"/>
      <c r="AF56" s="1742"/>
      <c r="AG56" s="1744"/>
      <c r="AH56" s="1742"/>
      <c r="AI56" s="1743">
        <f>80%*S56</f>
        <v>614400</v>
      </c>
      <c r="AJ56" s="1729" t="s">
        <v>17556</v>
      </c>
      <c r="AK56" s="1729"/>
      <c r="AL56" s="1729"/>
      <c r="AM56" s="1729"/>
      <c r="AN56" s="1729"/>
      <c r="AO56" s="1729"/>
      <c r="AP56" s="1745" t="s">
        <v>18389</v>
      </c>
      <c r="AQ56" s="1745"/>
      <c r="AR56" s="1745"/>
      <c r="AS56" s="1745"/>
      <c r="AT56" s="1745"/>
      <c r="AU56" s="1745"/>
      <c r="AV56" s="1745"/>
      <c r="AW56" s="1745"/>
      <c r="AX56" s="1745"/>
      <c r="AY56" s="1746">
        <f t="shared" si="14"/>
        <v>520529.10000000003</v>
      </c>
      <c r="AZ56" s="1746">
        <v>2730</v>
      </c>
    </row>
    <row r="57" spans="1:52" s="1379" customFormat="1" ht="16.5" customHeight="1">
      <c r="A57" s="1356">
        <v>54</v>
      </c>
      <c r="B57" s="1356" t="s">
        <v>17474</v>
      </c>
      <c r="C57" s="1358" t="s">
        <v>77</v>
      </c>
      <c r="D57" s="1359" t="s">
        <v>93</v>
      </c>
      <c r="E57" s="1360">
        <v>7</v>
      </c>
      <c r="F57" s="1360" t="s">
        <v>17270</v>
      </c>
      <c r="G57" s="1362">
        <v>176.8</v>
      </c>
      <c r="H57" s="1363"/>
      <c r="I57" s="1380">
        <v>110.7</v>
      </c>
      <c r="J57" s="1365">
        <f>G57+0.3*H57+0.3*I57</f>
        <v>210.01000000000002</v>
      </c>
      <c r="K57" s="1356" t="s">
        <v>258</v>
      </c>
      <c r="L57" s="1366" t="s">
        <v>17522</v>
      </c>
      <c r="M57" s="1356">
        <v>-1</v>
      </c>
      <c r="N57" s="1356" t="s">
        <v>312</v>
      </c>
      <c r="O57" s="1371"/>
      <c r="P57" s="1383"/>
      <c r="Q57" s="1356"/>
      <c r="R57" s="1356"/>
      <c r="S57" s="1369">
        <v>844800</v>
      </c>
      <c r="T57" s="1369">
        <f t="shared" si="5"/>
        <v>844800</v>
      </c>
      <c r="U57" s="1369">
        <v>880000</v>
      </c>
      <c r="V57" s="1369"/>
      <c r="W57" s="1370">
        <f t="shared" si="11"/>
        <v>-4.0000000000000036E-2</v>
      </c>
      <c r="X57" s="1371">
        <f t="shared" si="12"/>
        <v>4022.665587352983</v>
      </c>
      <c r="Y57" s="1371">
        <f t="shared" si="13"/>
        <v>4022.665587352983</v>
      </c>
      <c r="Z57" s="1371">
        <f t="shared" si="9"/>
        <v>4190.2766534926905</v>
      </c>
      <c r="AA57" s="1371"/>
      <c r="AB57" s="1372">
        <v>45723</v>
      </c>
      <c r="AC57" s="1373">
        <v>45757</v>
      </c>
      <c r="AD57" s="1374">
        <f>5000+163960</f>
        <v>168960</v>
      </c>
      <c r="AE57" s="1375"/>
      <c r="AF57" s="1373"/>
      <c r="AG57" s="1375"/>
      <c r="AH57" s="1373"/>
      <c r="AI57" s="1374">
        <f>80%*S57</f>
        <v>675840</v>
      </c>
      <c r="AJ57" s="1356" t="s">
        <v>17556</v>
      </c>
      <c r="AK57" s="1356"/>
      <c r="AL57" s="1356"/>
      <c r="AM57" s="1356"/>
      <c r="AN57" s="1356"/>
      <c r="AO57" s="1356"/>
      <c r="AP57" s="1377" t="s">
        <v>17911</v>
      </c>
      <c r="AQ57" s="1377" t="s">
        <v>265</v>
      </c>
      <c r="AR57" s="1377"/>
      <c r="AS57" s="1377"/>
      <c r="AT57" s="1377"/>
      <c r="AU57" s="1377"/>
      <c r="AV57" s="1377"/>
      <c r="AW57" s="1377"/>
      <c r="AX57" s="1377"/>
      <c r="AY57" s="1378">
        <f t="shared" si="14"/>
        <v>573327.30000000005</v>
      </c>
      <c r="AZ57" s="1378">
        <v>2730</v>
      </c>
    </row>
    <row r="58" spans="1:52" s="1379" customFormat="1" ht="16.5" customHeight="1">
      <c r="A58" s="1356">
        <v>55</v>
      </c>
      <c r="B58" s="1357" t="s">
        <v>17475</v>
      </c>
      <c r="C58" s="1387" t="s">
        <v>78</v>
      </c>
      <c r="D58" s="1359" t="s">
        <v>91</v>
      </c>
      <c r="E58" s="1360">
        <v>1</v>
      </c>
      <c r="F58" s="1366" t="s">
        <v>17267</v>
      </c>
      <c r="G58" s="1362">
        <v>93.7</v>
      </c>
      <c r="H58" s="1363"/>
      <c r="I58" s="1380">
        <f>13+34.3</f>
        <v>47.3</v>
      </c>
      <c r="J58" s="1365">
        <f>G58+0.3*H58+0.2*I58</f>
        <v>103.16</v>
      </c>
      <c r="K58" s="1356" t="s">
        <v>258</v>
      </c>
      <c r="L58" s="1366" t="s">
        <v>17430</v>
      </c>
      <c r="M58" s="1356">
        <v>-1</v>
      </c>
      <c r="N58" s="1356" t="s">
        <v>215</v>
      </c>
      <c r="O58" s="1371"/>
      <c r="P58" s="1383"/>
      <c r="Q58" s="1356"/>
      <c r="R58" s="1356"/>
      <c r="S58" s="1371">
        <f>0.91*T58</f>
        <v>279552</v>
      </c>
      <c r="T58" s="1369">
        <f t="shared" si="5"/>
        <v>307200</v>
      </c>
      <c r="U58" s="1369">
        <v>320000</v>
      </c>
      <c r="V58" s="1369"/>
      <c r="W58" s="1370">
        <f t="shared" si="11"/>
        <v>-0.12639999999999996</v>
      </c>
      <c r="X58" s="1371">
        <f t="shared" si="12"/>
        <v>2709.8875533152386</v>
      </c>
      <c r="Y58" s="1371">
        <f t="shared" si="13"/>
        <v>2977.8984102365257</v>
      </c>
      <c r="Z58" s="1371">
        <f t="shared" si="9"/>
        <v>3101.9775106630477</v>
      </c>
      <c r="AA58" s="1371"/>
      <c r="AB58" s="1372"/>
      <c r="AC58" s="1373">
        <v>45579</v>
      </c>
      <c r="AD58" s="1374">
        <f>10%*S58</f>
        <v>27955.200000000001</v>
      </c>
      <c r="AE58" s="1375"/>
      <c r="AF58" s="1373"/>
      <c r="AG58" s="1375"/>
      <c r="AH58" s="1373"/>
      <c r="AI58" s="1374">
        <f>90%*S58</f>
        <v>251596.80000000002</v>
      </c>
      <c r="AJ58" s="1356" t="s">
        <v>274</v>
      </c>
      <c r="AK58" s="1356"/>
      <c r="AL58" s="1376"/>
      <c r="AM58" s="1356"/>
      <c r="AN58" s="1356"/>
      <c r="AO58" s="1356"/>
      <c r="AP58" s="1377" t="s">
        <v>17687</v>
      </c>
      <c r="AQ58" s="1377" t="s">
        <v>265</v>
      </c>
      <c r="AR58" s="1377"/>
      <c r="AS58" s="1377"/>
      <c r="AT58" s="1377"/>
      <c r="AU58" s="1377" t="s">
        <v>18228</v>
      </c>
      <c r="AV58" s="1377">
        <v>915790657</v>
      </c>
      <c r="AW58" s="1377"/>
      <c r="AX58" s="1377"/>
      <c r="AY58" s="1378">
        <f t="shared" si="14"/>
        <v>281626.8</v>
      </c>
      <c r="AZ58" s="1378">
        <v>2730</v>
      </c>
    </row>
    <row r="59" spans="1:52" s="1379" customFormat="1" ht="16.5" customHeight="1">
      <c r="A59" s="1356">
        <v>56</v>
      </c>
      <c r="B59" s="1357" t="s">
        <v>17475</v>
      </c>
      <c r="C59" s="1358" t="s">
        <v>79</v>
      </c>
      <c r="D59" s="1359" t="s">
        <v>91</v>
      </c>
      <c r="E59" s="1360">
        <v>1</v>
      </c>
      <c r="F59" s="1366" t="s">
        <v>17268</v>
      </c>
      <c r="G59" s="1362">
        <v>88.3</v>
      </c>
      <c r="H59" s="1363"/>
      <c r="I59" s="1380">
        <v>19</v>
      </c>
      <c r="J59" s="1365">
        <f>G59+0.3*H59+0.3*I59</f>
        <v>94</v>
      </c>
      <c r="K59" s="1371" t="s">
        <v>258</v>
      </c>
      <c r="L59" s="1366" t="s">
        <v>17430</v>
      </c>
      <c r="M59" s="1356">
        <v>-1</v>
      </c>
      <c r="N59" s="1356" t="s">
        <v>312</v>
      </c>
      <c r="O59" s="1356"/>
      <c r="P59" s="1382"/>
      <c r="Q59" s="1368"/>
      <c r="R59" s="1368"/>
      <c r="S59" s="1369">
        <f>0.98*U59</f>
        <v>294000</v>
      </c>
      <c r="T59" s="1369">
        <f t="shared" si="5"/>
        <v>288000</v>
      </c>
      <c r="U59" s="1369">
        <v>300000</v>
      </c>
      <c r="V59" s="1369"/>
      <c r="W59" s="1370">
        <f t="shared" si="11"/>
        <v>-2.0000000000000018E-2</v>
      </c>
      <c r="X59" s="1371">
        <f t="shared" si="12"/>
        <v>3127.6595744680849</v>
      </c>
      <c r="Y59" s="1371">
        <f t="shared" si="13"/>
        <v>3063.8297872340427</v>
      </c>
      <c r="Z59" s="1371">
        <f t="shared" si="9"/>
        <v>3191.4893617021276</v>
      </c>
      <c r="AA59" s="1372"/>
      <c r="AB59" s="1372"/>
      <c r="AC59" s="1373">
        <v>45596</v>
      </c>
      <c r="AD59" s="1374">
        <f>10%*S59</f>
        <v>29400</v>
      </c>
      <c r="AE59" s="1375"/>
      <c r="AF59" s="1373"/>
      <c r="AG59" s="1375"/>
      <c r="AH59" s="1373"/>
      <c r="AI59" s="1374">
        <f>90%*S59</f>
        <v>264600</v>
      </c>
      <c r="AJ59" s="1356" t="s">
        <v>17556</v>
      </c>
      <c r="AK59" s="1356"/>
      <c r="AL59" s="1356"/>
      <c r="AM59" s="1356"/>
      <c r="AN59" s="1356"/>
      <c r="AO59" s="1356"/>
      <c r="AP59" s="1377" t="s">
        <v>17718</v>
      </c>
      <c r="AQ59" s="1377" t="s">
        <v>265</v>
      </c>
      <c r="AR59" s="1377"/>
      <c r="AS59" s="1377"/>
      <c r="AT59" s="1377"/>
      <c r="AU59" s="1377" t="s">
        <v>18229</v>
      </c>
      <c r="AV59" s="1377">
        <v>962149499</v>
      </c>
      <c r="AW59" s="1377"/>
      <c r="AX59" s="1377"/>
      <c r="AY59" s="1378">
        <f t="shared" si="14"/>
        <v>256620</v>
      </c>
      <c r="AZ59" s="1378">
        <v>2730</v>
      </c>
    </row>
    <row r="60" spans="1:52" s="1379" customFormat="1" ht="16.5" customHeight="1">
      <c r="A60" s="1356">
        <v>57</v>
      </c>
      <c r="B60" s="1357" t="s">
        <v>17475</v>
      </c>
      <c r="C60" s="1358" t="s">
        <v>80</v>
      </c>
      <c r="D60" s="1359" t="s">
        <v>91</v>
      </c>
      <c r="E60" s="1360">
        <v>1</v>
      </c>
      <c r="F60" s="1366" t="s">
        <v>46</v>
      </c>
      <c r="G60" s="1362">
        <v>84.3</v>
      </c>
      <c r="H60" s="1363"/>
      <c r="I60" s="1380">
        <v>60.4</v>
      </c>
      <c r="J60" s="1365">
        <f>G60+0.3*H60+0.2*I60</f>
        <v>96.38</v>
      </c>
      <c r="K60" s="1356" t="s">
        <v>258</v>
      </c>
      <c r="L60" s="1366" t="s">
        <v>17430</v>
      </c>
      <c r="M60" s="1356">
        <v>-1</v>
      </c>
      <c r="N60" s="1356" t="s">
        <v>312</v>
      </c>
      <c r="O60" s="1371"/>
      <c r="P60" s="1383"/>
      <c r="Q60" s="1356"/>
      <c r="R60" s="1368"/>
      <c r="S60" s="1371">
        <v>315000</v>
      </c>
      <c r="T60" s="1369">
        <f t="shared" si="5"/>
        <v>302400</v>
      </c>
      <c r="U60" s="1369">
        <v>315000</v>
      </c>
      <c r="V60" s="1369"/>
      <c r="W60" s="1370">
        <f t="shared" si="11"/>
        <v>0</v>
      </c>
      <c r="X60" s="1371">
        <f t="shared" si="12"/>
        <v>3268.3129279933596</v>
      </c>
      <c r="Y60" s="1371">
        <f t="shared" si="13"/>
        <v>3137.5804108736252</v>
      </c>
      <c r="Z60" s="1371">
        <f t="shared" si="9"/>
        <v>3268.3129279933596</v>
      </c>
      <c r="AA60" s="1371"/>
      <c r="AB60" s="1372">
        <v>45563</v>
      </c>
      <c r="AC60" s="1373">
        <v>45575</v>
      </c>
      <c r="AD60" s="1374">
        <f>20%*S60</f>
        <v>63000</v>
      </c>
      <c r="AE60" s="1375"/>
      <c r="AF60" s="1373"/>
      <c r="AG60" s="1375"/>
      <c r="AH60" s="1373"/>
      <c r="AI60" s="1374">
        <f>80%*S60</f>
        <v>252000</v>
      </c>
      <c r="AJ60" s="1376" t="s">
        <v>17647</v>
      </c>
      <c r="AK60" s="1356"/>
      <c r="AL60" s="1356"/>
      <c r="AM60" s="1356"/>
      <c r="AN60" s="1356"/>
      <c r="AO60" s="1356"/>
      <c r="AP60" s="1377" t="s">
        <v>17657</v>
      </c>
      <c r="AQ60" s="1377" t="s">
        <v>265</v>
      </c>
      <c r="AR60" s="1377"/>
      <c r="AS60" s="1377"/>
      <c r="AT60" s="1377"/>
      <c r="AU60" s="1377" t="s">
        <v>18230</v>
      </c>
      <c r="AV60" s="1377">
        <v>966633653</v>
      </c>
      <c r="AW60" s="1377"/>
      <c r="AX60" s="1377"/>
      <c r="AY60" s="1378">
        <f t="shared" si="14"/>
        <v>263117.39999999997</v>
      </c>
      <c r="AZ60" s="1378">
        <v>2730</v>
      </c>
    </row>
    <row r="61" spans="1:52" s="1379" customFormat="1" ht="16.5" customHeight="1" thickBot="1">
      <c r="A61" s="1356">
        <v>3</v>
      </c>
      <c r="B61" s="1357" t="s">
        <v>17475</v>
      </c>
      <c r="C61" s="1358" t="s">
        <v>81</v>
      </c>
      <c r="D61" s="1359" t="s">
        <v>91</v>
      </c>
      <c r="E61" s="1360">
        <v>1</v>
      </c>
      <c r="F61" s="1361" t="s">
        <v>146</v>
      </c>
      <c r="G61" s="1362">
        <v>87.3</v>
      </c>
      <c r="H61" s="1363"/>
      <c r="I61" s="1364">
        <v>62.5</v>
      </c>
      <c r="J61" s="1365">
        <f>G61+0.3*H61+0.2*I61</f>
        <v>99.8</v>
      </c>
      <c r="K61" s="1356" t="s">
        <v>258</v>
      </c>
      <c r="L61" s="1366" t="s">
        <v>17430</v>
      </c>
      <c r="M61" s="1356">
        <v>-1</v>
      </c>
      <c r="N61" s="1356" t="s">
        <v>312</v>
      </c>
      <c r="O61" s="1356"/>
      <c r="P61" s="1367"/>
      <c r="Q61" s="1368"/>
      <c r="R61" s="1368"/>
      <c r="S61" s="1369">
        <f>0.98*U61</f>
        <v>313600</v>
      </c>
      <c r="T61" s="1369">
        <f t="shared" si="5"/>
        <v>307200</v>
      </c>
      <c r="U61" s="1369">
        <v>320000</v>
      </c>
      <c r="V61" s="1369"/>
      <c r="W61" s="1370">
        <f t="shared" si="11"/>
        <v>-2.0000000000000018E-2</v>
      </c>
      <c r="X61" s="1371">
        <f t="shared" si="12"/>
        <v>3142.2845691382768</v>
      </c>
      <c r="Y61" s="1371">
        <f t="shared" si="13"/>
        <v>3078.1563126252504</v>
      </c>
      <c r="Z61" s="1371">
        <f t="shared" si="9"/>
        <v>3206.4128256513027</v>
      </c>
      <c r="AA61" s="1371"/>
      <c r="AB61" s="1372">
        <v>45563</v>
      </c>
      <c r="AC61" s="1373">
        <v>45574</v>
      </c>
      <c r="AD61" s="1374">
        <f>20%*S61+5000</f>
        <v>67720</v>
      </c>
      <c r="AE61" s="1375"/>
      <c r="AF61" s="1373"/>
      <c r="AG61" s="1375"/>
      <c r="AH61" s="1373"/>
      <c r="AI61" s="1374">
        <v>245880</v>
      </c>
      <c r="AJ61" s="1376" t="s">
        <v>17647</v>
      </c>
      <c r="AK61" s="1356"/>
      <c r="AL61" s="1356"/>
      <c r="AM61" s="1356"/>
      <c r="AN61" s="1356"/>
      <c r="AO61" s="1356"/>
      <c r="AP61" s="1377" t="s">
        <v>17655</v>
      </c>
      <c r="AQ61" s="1377" t="s">
        <v>265</v>
      </c>
      <c r="AR61" s="1377"/>
      <c r="AS61" s="1377"/>
      <c r="AT61" s="1377"/>
      <c r="AU61" s="1377" t="s">
        <v>18231</v>
      </c>
      <c r="AV61" s="1377">
        <v>919734623</v>
      </c>
      <c r="AW61" s="1377"/>
      <c r="AX61" s="1377"/>
      <c r="AY61" s="1378">
        <f t="shared" si="14"/>
        <v>272454</v>
      </c>
      <c r="AZ61" s="1378">
        <v>2730</v>
      </c>
    </row>
    <row r="62" spans="1:52" s="1379" customFormat="1" ht="16.5" customHeight="1">
      <c r="A62" s="1356">
        <v>59</v>
      </c>
      <c r="B62" s="1357" t="s">
        <v>17475</v>
      </c>
      <c r="C62" s="1358" t="s">
        <v>82</v>
      </c>
      <c r="D62" s="1359" t="s">
        <v>89</v>
      </c>
      <c r="E62" s="1360">
        <v>2</v>
      </c>
      <c r="F62" s="1360" t="s">
        <v>17267</v>
      </c>
      <c r="G62" s="1362">
        <v>120.1</v>
      </c>
      <c r="H62" s="1365">
        <v>79.5</v>
      </c>
      <c r="I62" s="1356"/>
      <c r="J62" s="1365">
        <f>G62+0.2*H62+0.3*I62</f>
        <v>136</v>
      </c>
      <c r="K62" s="1356" t="s">
        <v>258</v>
      </c>
      <c r="L62" s="1366" t="s">
        <v>17524</v>
      </c>
      <c r="M62" s="1356">
        <v>-2</v>
      </c>
      <c r="N62" s="1383" t="s">
        <v>215</v>
      </c>
      <c r="O62" s="1368"/>
      <c r="P62" s="1368"/>
      <c r="Q62" s="1391"/>
      <c r="R62" s="1391"/>
      <c r="S62" s="1369">
        <v>460800</v>
      </c>
      <c r="T62" s="1369">
        <f t="shared" si="5"/>
        <v>460800</v>
      </c>
      <c r="U62" s="1371">
        <v>480000</v>
      </c>
      <c r="V62" s="1371"/>
      <c r="W62" s="1370">
        <f t="shared" si="11"/>
        <v>-4.0000000000000036E-2</v>
      </c>
      <c r="X62" s="1371">
        <f t="shared" si="12"/>
        <v>3388.2352941176468</v>
      </c>
      <c r="Y62" s="1371">
        <f t="shared" si="13"/>
        <v>3388.2352941176468</v>
      </c>
      <c r="Z62" s="1371">
        <f t="shared" si="9"/>
        <v>3529.4117647058824</v>
      </c>
      <c r="AA62" s="1373"/>
      <c r="AB62" s="1373">
        <v>45568</v>
      </c>
      <c r="AC62" s="1373">
        <v>45784</v>
      </c>
      <c r="AD62" s="1374">
        <f>5000+87160</f>
        <v>92160</v>
      </c>
      <c r="AE62" s="1375"/>
      <c r="AF62" s="1373"/>
      <c r="AG62" s="1375"/>
      <c r="AH62" s="1356"/>
      <c r="AI62" s="1374">
        <f>80%*S62</f>
        <v>368640</v>
      </c>
      <c r="AJ62" s="1376" t="s">
        <v>17556</v>
      </c>
      <c r="AK62" s="1356"/>
      <c r="AL62" s="1356"/>
      <c r="AM62" s="1356"/>
      <c r="AN62" s="1356"/>
      <c r="AO62" s="1377"/>
      <c r="AP62" s="1377" t="s">
        <v>17907</v>
      </c>
      <c r="AQ62" s="1377" t="s">
        <v>265</v>
      </c>
      <c r="AR62" s="1377"/>
      <c r="AS62" s="1377"/>
      <c r="AT62" s="1377"/>
      <c r="AU62" s="1377"/>
      <c r="AV62" s="1377"/>
      <c r="AW62" s="1378"/>
      <c r="AX62" s="1378"/>
      <c r="AY62" s="1378">
        <f t="shared" si="14"/>
        <v>371280</v>
      </c>
      <c r="AZ62" s="1378">
        <v>2730</v>
      </c>
    </row>
    <row r="63" spans="1:52" s="1379" customFormat="1" ht="16.5" customHeight="1">
      <c r="A63" s="1356">
        <v>60</v>
      </c>
      <c r="B63" s="1357" t="s">
        <v>17475</v>
      </c>
      <c r="C63" s="1358" t="s">
        <v>83</v>
      </c>
      <c r="D63" s="1359" t="s">
        <v>91</v>
      </c>
      <c r="E63" s="1360">
        <v>2</v>
      </c>
      <c r="F63" s="1360" t="s">
        <v>17268</v>
      </c>
      <c r="G63" s="1362">
        <v>86.9</v>
      </c>
      <c r="H63" s="1365">
        <v>43.7</v>
      </c>
      <c r="I63" s="1356"/>
      <c r="J63" s="1365">
        <f>G63+0.2*H63+0.3*I63</f>
        <v>95.64</v>
      </c>
      <c r="K63" s="1389" t="s">
        <v>258</v>
      </c>
      <c r="L63" s="1366" t="s">
        <v>17430</v>
      </c>
      <c r="M63" s="1356">
        <v>-1</v>
      </c>
      <c r="N63" s="1356" t="s">
        <v>215</v>
      </c>
      <c r="O63" s="1390"/>
      <c r="P63" s="1368"/>
      <c r="Q63" s="1391"/>
      <c r="R63" s="1391"/>
      <c r="S63" s="1369">
        <v>336000</v>
      </c>
      <c r="T63" s="1369">
        <f t="shared" si="5"/>
        <v>336000</v>
      </c>
      <c r="U63" s="1371">
        <v>350000</v>
      </c>
      <c r="V63" s="1371"/>
      <c r="W63" s="1370">
        <f t="shared" si="11"/>
        <v>-4.0000000000000036E-2</v>
      </c>
      <c r="X63" s="1371">
        <f t="shared" si="12"/>
        <v>3513.1744040150566</v>
      </c>
      <c r="Y63" s="1371">
        <f t="shared" si="13"/>
        <v>3513.1744040150566</v>
      </c>
      <c r="Z63" s="1371">
        <f t="shared" si="9"/>
        <v>3659.5566708490173</v>
      </c>
      <c r="AA63" s="1373"/>
      <c r="AB63" s="1373">
        <v>45563</v>
      </c>
      <c r="AC63" s="1373">
        <v>45583</v>
      </c>
      <c r="AD63" s="1374">
        <f>20%*S63</f>
        <v>67200</v>
      </c>
      <c r="AE63" s="1375"/>
      <c r="AF63" s="1373"/>
      <c r="AG63" s="1375"/>
      <c r="AH63" s="1356"/>
      <c r="AI63" s="1374">
        <f>80%*S63</f>
        <v>268800</v>
      </c>
      <c r="AJ63" s="1376" t="s">
        <v>17647</v>
      </c>
      <c r="AK63" s="1356"/>
      <c r="AL63" s="1356"/>
      <c r="AM63" s="1356"/>
      <c r="AN63" s="1377"/>
      <c r="AO63" s="1377"/>
      <c r="AP63" s="1377" t="s">
        <v>17650</v>
      </c>
      <c r="AQ63" s="1377" t="s">
        <v>17651</v>
      </c>
      <c r="AR63" s="1377"/>
      <c r="AS63" s="1377"/>
      <c r="AT63" s="1377"/>
      <c r="AU63" s="1377" t="s">
        <v>18232</v>
      </c>
      <c r="AV63" s="1377">
        <v>912781904</v>
      </c>
      <c r="AW63" s="1378"/>
      <c r="AX63" s="1378"/>
      <c r="AY63" s="1378">
        <f t="shared" si="14"/>
        <v>261097.2</v>
      </c>
      <c r="AZ63" s="1378">
        <v>2730</v>
      </c>
    </row>
    <row r="64" spans="1:52" s="1379" customFormat="1" ht="16.5" customHeight="1">
      <c r="A64" s="1523">
        <v>61</v>
      </c>
      <c r="B64" s="1366" t="s">
        <v>17475</v>
      </c>
      <c r="C64" s="1358" t="s">
        <v>84</v>
      </c>
      <c r="D64" s="1359" t="s">
        <v>91</v>
      </c>
      <c r="E64" s="1360">
        <v>2</v>
      </c>
      <c r="F64" s="1360" t="s">
        <v>46</v>
      </c>
      <c r="G64" s="1362">
        <v>84.5</v>
      </c>
      <c r="H64" s="1365">
        <v>32.6</v>
      </c>
      <c r="I64" s="1356"/>
      <c r="J64" s="1365">
        <f>G64+0.2*H64+0.3*I64</f>
        <v>91.02</v>
      </c>
      <c r="K64" s="1356" t="s">
        <v>258</v>
      </c>
      <c r="L64" s="1366" t="s">
        <v>17430</v>
      </c>
      <c r="M64" s="1356">
        <v>-2</v>
      </c>
      <c r="N64" s="1356" t="s">
        <v>215</v>
      </c>
      <c r="O64" s="1368"/>
      <c r="P64" s="1368"/>
      <c r="Q64" s="1391"/>
      <c r="R64" s="1391"/>
      <c r="S64" s="1369">
        <v>364800</v>
      </c>
      <c r="T64" s="1369">
        <f t="shared" si="5"/>
        <v>364800</v>
      </c>
      <c r="U64" s="1371">
        <v>380000</v>
      </c>
      <c r="V64" s="1371">
        <v>360000</v>
      </c>
      <c r="W64" s="1370">
        <f t="shared" si="11"/>
        <v>-4.0000000000000036E-2</v>
      </c>
      <c r="X64" s="1371">
        <f t="shared" si="12"/>
        <v>4007.9103493737643</v>
      </c>
      <c r="Y64" s="1371">
        <f t="shared" si="13"/>
        <v>4007.9103493737643</v>
      </c>
      <c r="Z64" s="1371">
        <f t="shared" si="9"/>
        <v>4174.9066139310044</v>
      </c>
      <c r="AA64" s="1373"/>
      <c r="AB64" s="1373">
        <v>45674</v>
      </c>
      <c r="AC64" s="1373">
        <v>45722</v>
      </c>
      <c r="AD64" s="1374">
        <f>5000+67960</f>
        <v>72960</v>
      </c>
      <c r="AE64" s="1375"/>
      <c r="AF64" s="1373"/>
      <c r="AG64" s="1375"/>
      <c r="AH64" s="1356"/>
      <c r="AI64" s="1374">
        <v>291840</v>
      </c>
      <c r="AJ64" s="1356" t="s">
        <v>17556</v>
      </c>
      <c r="AK64" s="1356"/>
      <c r="AL64" s="1356"/>
      <c r="AM64" s="1356"/>
      <c r="AN64" s="1377"/>
      <c r="AO64" s="1377"/>
      <c r="AP64" s="1377" t="s">
        <v>17832</v>
      </c>
      <c r="AQ64" s="1377" t="s">
        <v>265</v>
      </c>
      <c r="AR64" s="1377"/>
      <c r="AS64" s="1377"/>
      <c r="AT64" s="1377"/>
      <c r="AU64" s="1377" t="s">
        <v>18233</v>
      </c>
      <c r="AV64" s="1377">
        <v>926810068</v>
      </c>
      <c r="AW64" s="1378"/>
      <c r="AX64" s="1378"/>
      <c r="AY64" s="1378">
        <f t="shared" si="14"/>
        <v>248484.59999999998</v>
      </c>
      <c r="AZ64" s="1378">
        <v>2730</v>
      </c>
    </row>
    <row r="65" spans="1:52" s="1379" customFormat="1" ht="16.5" customHeight="1">
      <c r="A65" s="1356">
        <v>62</v>
      </c>
      <c r="B65" s="1357" t="s">
        <v>17475</v>
      </c>
      <c r="C65" s="1358" t="s">
        <v>85</v>
      </c>
      <c r="D65" s="1359" t="s">
        <v>91</v>
      </c>
      <c r="E65" s="1360">
        <v>2</v>
      </c>
      <c r="F65" s="1360" t="s">
        <v>146</v>
      </c>
      <c r="G65" s="1362">
        <v>94.8</v>
      </c>
      <c r="H65" s="1365">
        <v>59.9</v>
      </c>
      <c r="I65" s="1356"/>
      <c r="J65" s="1365">
        <f>G65+0.2*H65+0.3*I65</f>
        <v>106.78</v>
      </c>
      <c r="K65" s="1356" t="s">
        <v>258</v>
      </c>
      <c r="L65" s="1366" t="s">
        <v>17430</v>
      </c>
      <c r="M65" s="1356">
        <v>-1</v>
      </c>
      <c r="N65" s="1356" t="s">
        <v>215</v>
      </c>
      <c r="O65" s="1390"/>
      <c r="P65" s="1368"/>
      <c r="Q65" s="1394"/>
      <c r="R65" s="1391"/>
      <c r="S65" s="1371">
        <f>0.96*U65</f>
        <v>364800</v>
      </c>
      <c r="T65" s="1369">
        <f t="shared" si="5"/>
        <v>364800</v>
      </c>
      <c r="U65" s="1371">
        <v>380000</v>
      </c>
      <c r="V65" s="1371"/>
      <c r="W65" s="1370">
        <f t="shared" si="11"/>
        <v>-4.0000000000000036E-2</v>
      </c>
      <c r="X65" s="1371">
        <f t="shared" si="12"/>
        <v>3416.3701067615657</v>
      </c>
      <c r="Y65" s="1371">
        <f t="shared" si="13"/>
        <v>3416.3701067615657</v>
      </c>
      <c r="Z65" s="1371">
        <f t="shared" si="9"/>
        <v>3558.7188612099644</v>
      </c>
      <c r="AA65" s="1373"/>
      <c r="AB65" s="1373">
        <v>45563</v>
      </c>
      <c r="AC65" s="1373">
        <v>45588</v>
      </c>
      <c r="AD65" s="1374">
        <f>5000+67960</f>
        <v>72960</v>
      </c>
      <c r="AE65" s="1375"/>
      <c r="AF65" s="1373"/>
      <c r="AG65" s="1375"/>
      <c r="AH65" s="1356"/>
      <c r="AI65" s="1371">
        <v>291840</v>
      </c>
      <c r="AJ65" s="1376" t="s">
        <v>17647</v>
      </c>
      <c r="AK65" s="1356"/>
      <c r="AL65" s="1356"/>
      <c r="AM65" s="1356"/>
      <c r="AN65" s="1377"/>
      <c r="AO65" s="1377"/>
      <c r="AP65" s="1377" t="s">
        <v>17648</v>
      </c>
      <c r="AQ65" s="1377" t="s">
        <v>265</v>
      </c>
      <c r="AR65" s="1377"/>
      <c r="AS65" s="1377"/>
      <c r="AT65" s="1377"/>
      <c r="AU65" s="1377" t="s">
        <v>18234</v>
      </c>
      <c r="AV65" s="1377">
        <v>917229994</v>
      </c>
      <c r="AW65" s="1378"/>
      <c r="AX65" s="1378"/>
      <c r="AY65" s="1378">
        <f t="shared" si="14"/>
        <v>291509.40000000002</v>
      </c>
      <c r="AZ65" s="1378">
        <v>2730</v>
      </c>
    </row>
    <row r="66" spans="1:52" s="1379" customFormat="1" ht="16.5" customHeight="1">
      <c r="A66" s="1356">
        <v>63</v>
      </c>
      <c r="B66" s="1357" t="s">
        <v>17475</v>
      </c>
      <c r="C66" s="1358" t="s">
        <v>86</v>
      </c>
      <c r="D66" s="1359" t="s">
        <v>89</v>
      </c>
      <c r="E66" s="1360">
        <v>3</v>
      </c>
      <c r="F66" s="1360" t="s">
        <v>145</v>
      </c>
      <c r="G66" s="1362">
        <v>116.5</v>
      </c>
      <c r="H66" s="1363">
        <v>21.1</v>
      </c>
      <c r="I66" s="1380"/>
      <c r="J66" s="1365">
        <f>G66+0.3*H66+0.3*I66</f>
        <v>122.83</v>
      </c>
      <c r="K66" s="1356" t="s">
        <v>258</v>
      </c>
      <c r="L66" s="1366" t="s">
        <v>17523</v>
      </c>
      <c r="M66" s="1356">
        <v>-2</v>
      </c>
      <c r="N66" s="1356" t="s">
        <v>215</v>
      </c>
      <c r="O66" s="1356"/>
      <c r="P66" s="293"/>
      <c r="Q66" s="1390"/>
      <c r="R66" s="1368"/>
      <c r="S66" s="1371">
        <v>425000</v>
      </c>
      <c r="T66" s="1369">
        <f t="shared" si="5"/>
        <v>427200</v>
      </c>
      <c r="U66" s="1369">
        <v>445000</v>
      </c>
      <c r="V66" s="1369"/>
      <c r="W66" s="1370">
        <f t="shared" si="11"/>
        <v>-4.49438202247191E-2</v>
      </c>
      <c r="X66" s="1371">
        <f t="shared" si="12"/>
        <v>3460.0667589351137</v>
      </c>
      <c r="Y66" s="1371">
        <f t="shared" si="13"/>
        <v>3477.9776927460721</v>
      </c>
      <c r="Z66" s="1371">
        <f t="shared" ref="Z66:Z83" si="15">U66/J66</f>
        <v>3622.8934299438247</v>
      </c>
      <c r="AA66" s="1371"/>
      <c r="AB66" s="1372">
        <v>45916</v>
      </c>
      <c r="AC66" s="1373">
        <v>45933</v>
      </c>
      <c r="AD66" s="1374">
        <f>20%*S66</f>
        <v>85000</v>
      </c>
      <c r="AE66" s="1375"/>
      <c r="AF66" s="1373"/>
      <c r="AG66" s="1375"/>
      <c r="AH66" s="1373"/>
      <c r="AI66" s="1374">
        <f>80%*S66</f>
        <v>340000</v>
      </c>
      <c r="AJ66" s="1356" t="s">
        <v>17647</v>
      </c>
      <c r="AK66" s="1356"/>
      <c r="AL66" s="1356"/>
      <c r="AM66" s="1356"/>
      <c r="AN66" s="1356"/>
      <c r="AO66" s="1356"/>
      <c r="AP66" s="1377" t="s">
        <v>18373</v>
      </c>
      <c r="AQ66" s="1377" t="s">
        <v>265</v>
      </c>
      <c r="AR66" s="1377"/>
      <c r="AS66" s="1377"/>
      <c r="AT66" s="1377"/>
      <c r="AU66" s="1377"/>
      <c r="AV66" s="1377"/>
      <c r="AW66" s="1377"/>
      <c r="AX66" s="1377"/>
      <c r="AY66" s="1378">
        <f t="shared" si="14"/>
        <v>335325.90000000002</v>
      </c>
      <c r="AZ66" s="1378">
        <v>2730</v>
      </c>
    </row>
    <row r="67" spans="1:52" s="1379" customFormat="1" ht="16.5" customHeight="1">
      <c r="A67" s="1356">
        <v>64</v>
      </c>
      <c r="B67" s="1357" t="s">
        <v>17475</v>
      </c>
      <c r="C67" s="1358" t="s">
        <v>87</v>
      </c>
      <c r="D67" s="1359" t="s">
        <v>89</v>
      </c>
      <c r="E67" s="1360">
        <v>3</v>
      </c>
      <c r="F67" s="1360" t="s">
        <v>17270</v>
      </c>
      <c r="G67" s="1362">
        <v>142.5</v>
      </c>
      <c r="H67" s="1363">
        <f>16.5+41.9</f>
        <v>58.4</v>
      </c>
      <c r="I67" s="1380"/>
      <c r="J67" s="1365">
        <f>G67+0.2*H67+0.3*I67</f>
        <v>154.18</v>
      </c>
      <c r="K67" s="1356" t="s">
        <v>258</v>
      </c>
      <c r="L67" s="1366" t="s">
        <v>17477</v>
      </c>
      <c r="M67" s="1356">
        <v>-2</v>
      </c>
      <c r="N67" s="1356" t="s">
        <v>215</v>
      </c>
      <c r="O67" s="1356"/>
      <c r="P67" s="1382"/>
      <c r="Q67" s="1356"/>
      <c r="R67" s="1368"/>
      <c r="S67" s="1371">
        <v>523200</v>
      </c>
      <c r="T67" s="1369">
        <f t="shared" si="5"/>
        <v>523200</v>
      </c>
      <c r="U67" s="1369">
        <v>545000</v>
      </c>
      <c r="V67" s="1369"/>
      <c r="W67" s="1370">
        <f t="shared" si="11"/>
        <v>-4.0000000000000036E-2</v>
      </c>
      <c r="X67" s="1371">
        <f t="shared" si="12"/>
        <v>3393.4362433519264</v>
      </c>
      <c r="Y67" s="1371">
        <f t="shared" si="13"/>
        <v>3393.4362433519264</v>
      </c>
      <c r="Z67" s="1371">
        <f t="shared" si="15"/>
        <v>3534.8294201582567</v>
      </c>
      <c r="AA67" s="1371"/>
      <c r="AB67" s="1372">
        <v>45567</v>
      </c>
      <c r="AC67" s="1398">
        <v>45600</v>
      </c>
      <c r="AD67" s="1374">
        <f>10%*S67</f>
        <v>52320</v>
      </c>
      <c r="AE67" s="1399"/>
      <c r="AF67" s="1398"/>
      <c r="AG67" s="1399"/>
      <c r="AH67" s="1398"/>
      <c r="AI67" s="1374">
        <f>90%*S67</f>
        <v>470880</v>
      </c>
      <c r="AJ67" s="1356" t="s">
        <v>17556</v>
      </c>
      <c r="AK67" s="1356"/>
      <c r="AL67" s="1356"/>
      <c r="AM67" s="1356"/>
      <c r="AN67" s="1356"/>
      <c r="AO67" s="1356"/>
      <c r="AP67" s="1400" t="s">
        <v>17708</v>
      </c>
      <c r="AQ67" s="1377" t="s">
        <v>265</v>
      </c>
      <c r="AR67" s="1377"/>
      <c r="AS67" s="1377"/>
      <c r="AT67" s="1377"/>
      <c r="AU67" s="1377" t="s">
        <v>18141</v>
      </c>
      <c r="AV67" s="1377">
        <v>939947609</v>
      </c>
      <c r="AW67" s="1400"/>
      <c r="AX67" s="1400"/>
      <c r="AY67" s="1378">
        <f t="shared" si="14"/>
        <v>420911.4</v>
      </c>
      <c r="AZ67" s="1378">
        <v>2730</v>
      </c>
    </row>
    <row r="68" spans="1:52" s="1379" customFormat="1" ht="16.5" customHeight="1">
      <c r="A68" s="1384">
        <v>65</v>
      </c>
      <c r="B68" s="1357" t="s">
        <v>17475</v>
      </c>
      <c r="C68" s="1358" t="s">
        <v>88</v>
      </c>
      <c r="D68" s="1359" t="s">
        <v>91</v>
      </c>
      <c r="E68" s="1360">
        <v>3</v>
      </c>
      <c r="F68" s="1360" t="s">
        <v>17269</v>
      </c>
      <c r="G68" s="1362">
        <v>86.5</v>
      </c>
      <c r="H68" s="1363">
        <v>55.2</v>
      </c>
      <c r="I68" s="1380"/>
      <c r="J68" s="1365">
        <f>G68+0.2*H68+0.3*I68</f>
        <v>97.54</v>
      </c>
      <c r="K68" s="1356" t="s">
        <v>258</v>
      </c>
      <c r="L68" s="1366" t="s">
        <v>17430</v>
      </c>
      <c r="M68" s="1356">
        <v>-1</v>
      </c>
      <c r="N68" s="1356" t="s">
        <v>215</v>
      </c>
      <c r="O68" s="1356"/>
      <c r="P68" s="293"/>
      <c r="Q68" s="1356"/>
      <c r="R68" s="1368"/>
      <c r="S68" s="1371">
        <v>285000</v>
      </c>
      <c r="T68" s="1369">
        <f t="shared" si="5"/>
        <v>382080</v>
      </c>
      <c r="U68" s="1369">
        <v>398000</v>
      </c>
      <c r="V68" s="1369">
        <v>375000</v>
      </c>
      <c r="W68" s="1370">
        <f t="shared" ref="W68:W83" si="16">S68/U68-1</f>
        <v>-0.2839195979899497</v>
      </c>
      <c r="X68" s="1371">
        <f t="shared" ref="X68:X83" si="17">S68/J68</f>
        <v>2921.8782038138197</v>
      </c>
      <c r="Y68" s="1371">
        <f t="shared" ref="Y68:Y83" si="18">T68/J68</f>
        <v>3917.1621898708217</v>
      </c>
      <c r="Z68" s="1371">
        <f t="shared" si="15"/>
        <v>4080.3772811154395</v>
      </c>
      <c r="AA68" s="1371"/>
      <c r="AB68" s="1372">
        <v>45717</v>
      </c>
      <c r="AC68" s="1373">
        <v>45796</v>
      </c>
      <c r="AD68" s="1374">
        <v>29500</v>
      </c>
      <c r="AE68" s="1375"/>
      <c r="AF68" s="1373"/>
      <c r="AG68" s="1375"/>
      <c r="AH68" s="1373"/>
      <c r="AI68" s="1374">
        <v>265500</v>
      </c>
      <c r="AJ68" s="1356" t="s">
        <v>274</v>
      </c>
      <c r="AK68" s="1356"/>
      <c r="AL68" s="1376"/>
      <c r="AM68" s="1356"/>
      <c r="AN68" s="1356"/>
      <c r="AO68" s="1356"/>
      <c r="AP68" s="1377" t="s">
        <v>174</v>
      </c>
      <c r="AQ68" s="1377" t="s">
        <v>517</v>
      </c>
      <c r="AR68" s="1377"/>
      <c r="AS68" s="1377"/>
      <c r="AT68" s="1377"/>
      <c r="AU68" s="1377"/>
      <c r="AV68" s="1377"/>
      <c r="AW68" s="1377"/>
      <c r="AX68" s="1377"/>
      <c r="AY68" s="1378">
        <f t="shared" ref="AY68:AY83" si="19">AZ68*J68</f>
        <v>266284.2</v>
      </c>
      <c r="AZ68" s="1378">
        <v>2730</v>
      </c>
    </row>
    <row r="69" spans="1:52" s="1379" customFormat="1" ht="16.5" customHeight="1">
      <c r="A69" s="1356">
        <v>66</v>
      </c>
      <c r="B69" s="1357" t="s">
        <v>17475</v>
      </c>
      <c r="C69" s="1358" t="s">
        <v>143</v>
      </c>
      <c r="D69" s="1359" t="s">
        <v>91</v>
      </c>
      <c r="E69" s="1360">
        <v>3</v>
      </c>
      <c r="F69" s="1360" t="s">
        <v>46</v>
      </c>
      <c r="G69" s="1362">
        <v>85.5</v>
      </c>
      <c r="H69" s="1363">
        <v>32.6</v>
      </c>
      <c r="I69" s="1380"/>
      <c r="J69" s="1365">
        <f>G69+0.2*H69+0.3*I69</f>
        <v>92.02</v>
      </c>
      <c r="K69" s="1356" t="s">
        <v>258</v>
      </c>
      <c r="L69" s="1366" t="s">
        <v>17430</v>
      </c>
      <c r="M69" s="1356">
        <v>-1</v>
      </c>
      <c r="N69" s="1356" t="s">
        <v>215</v>
      </c>
      <c r="O69" s="1356"/>
      <c r="P69" s="1382"/>
      <c r="Q69" s="1368"/>
      <c r="R69" s="1368"/>
      <c r="S69" s="1369">
        <f>0.98*U69</f>
        <v>357700</v>
      </c>
      <c r="T69" s="1369">
        <f t="shared" ref="T69:T83" si="20">0.96*U69</f>
        <v>350400</v>
      </c>
      <c r="U69" s="1369">
        <v>365000</v>
      </c>
      <c r="V69" s="1369"/>
      <c r="W69" s="1370">
        <f t="shared" si="16"/>
        <v>-2.0000000000000018E-2</v>
      </c>
      <c r="X69" s="1371">
        <f t="shared" si="17"/>
        <v>3887.1984351227998</v>
      </c>
      <c r="Y69" s="1371">
        <f t="shared" si="18"/>
        <v>3807.8678548141711</v>
      </c>
      <c r="Z69" s="1371">
        <f t="shared" si="15"/>
        <v>3966.529015431428</v>
      </c>
      <c r="AA69" s="1372"/>
      <c r="AB69" s="1372"/>
      <c r="AC69" s="1373">
        <v>45588</v>
      </c>
      <c r="AD69" s="1374">
        <f>20%*S69</f>
        <v>71540</v>
      </c>
      <c r="AE69" s="1375"/>
      <c r="AF69" s="1373"/>
      <c r="AG69" s="1375"/>
      <c r="AH69" s="1373"/>
      <c r="AI69" s="1374">
        <f t="shared" ref="AI69:AI82" si="21">80%*S69</f>
        <v>286160</v>
      </c>
      <c r="AJ69" s="1376" t="s">
        <v>17647</v>
      </c>
      <c r="AK69" s="1356"/>
      <c r="AL69" s="1356"/>
      <c r="AM69" s="1356"/>
      <c r="AN69" s="1356"/>
      <c r="AO69" s="1356"/>
      <c r="AP69" s="1377" t="s">
        <v>17648</v>
      </c>
      <c r="AQ69" s="1377" t="s">
        <v>265</v>
      </c>
      <c r="AR69" s="1377"/>
      <c r="AS69" s="1377"/>
      <c r="AT69" s="1377"/>
      <c r="AU69" s="1377" t="s">
        <v>18234</v>
      </c>
      <c r="AV69" s="1377">
        <v>917229994</v>
      </c>
      <c r="AW69" s="1377"/>
      <c r="AX69" s="1377"/>
      <c r="AY69" s="1378">
        <f t="shared" si="19"/>
        <v>251214.59999999998</v>
      </c>
      <c r="AZ69" s="1378">
        <v>2730</v>
      </c>
    </row>
    <row r="70" spans="1:52" s="1379" customFormat="1" ht="16.5" customHeight="1">
      <c r="A70" s="1356">
        <v>67</v>
      </c>
      <c r="B70" s="1357" t="s">
        <v>17475</v>
      </c>
      <c r="C70" s="1385" t="s">
        <v>195</v>
      </c>
      <c r="D70" s="1816" t="s">
        <v>89</v>
      </c>
      <c r="E70" s="1817">
        <v>4</v>
      </c>
      <c r="F70" s="1817" t="s">
        <v>145</v>
      </c>
      <c r="G70" s="1362">
        <v>116.5</v>
      </c>
      <c r="H70" s="1363">
        <v>21.1</v>
      </c>
      <c r="I70" s="1380"/>
      <c r="J70" s="1365">
        <f>G70+0.3*H70+0.3*I70</f>
        <v>122.83</v>
      </c>
      <c r="K70" s="1366" t="s">
        <v>258</v>
      </c>
      <c r="L70" s="1366" t="s">
        <v>17523</v>
      </c>
      <c r="M70" s="1356">
        <v>-2</v>
      </c>
      <c r="N70" s="1356" t="s">
        <v>215</v>
      </c>
      <c r="O70" s="1356"/>
      <c r="P70" s="293"/>
      <c r="Q70" s="1818"/>
      <c r="R70" s="1818"/>
      <c r="S70" s="1819">
        <v>422000</v>
      </c>
      <c r="T70" s="1369">
        <f t="shared" si="20"/>
        <v>432000</v>
      </c>
      <c r="U70" s="1819">
        <v>450000</v>
      </c>
      <c r="V70" s="1819"/>
      <c r="W70" s="1370">
        <f t="shared" si="16"/>
        <v>-6.2222222222222179E-2</v>
      </c>
      <c r="X70" s="1371">
        <f t="shared" si="17"/>
        <v>3435.6427582838069</v>
      </c>
      <c r="Y70" s="1371">
        <f t="shared" si="18"/>
        <v>3517.0560937881623</v>
      </c>
      <c r="Z70" s="1371">
        <f t="shared" si="15"/>
        <v>3663.6000976960026</v>
      </c>
      <c r="AA70" s="1820" t="s">
        <v>18368</v>
      </c>
      <c r="AB70" s="1821">
        <v>45897</v>
      </c>
      <c r="AC70" s="1822">
        <v>45939</v>
      </c>
      <c r="AD70" s="1374">
        <f>5000+79480</f>
        <v>84480</v>
      </c>
      <c r="AE70" s="1823"/>
      <c r="AF70" s="1822"/>
      <c r="AG70" s="1823"/>
      <c r="AH70" s="1822"/>
      <c r="AI70" s="1374">
        <v>337920</v>
      </c>
      <c r="AJ70" s="1366" t="s">
        <v>17556</v>
      </c>
      <c r="AK70" s="1737"/>
      <c r="AL70" s="1737"/>
      <c r="AM70" s="1737"/>
      <c r="AN70" s="1737"/>
      <c r="AO70" s="1737"/>
      <c r="AP70" s="1824" t="s">
        <v>18367</v>
      </c>
      <c r="AQ70" s="1377" t="s">
        <v>265</v>
      </c>
      <c r="AR70" s="1377"/>
      <c r="AS70" s="1377"/>
      <c r="AT70" s="1377"/>
      <c r="AU70" s="1377"/>
      <c r="AV70" s="1377"/>
      <c r="AW70" s="1824"/>
      <c r="AX70" s="1824"/>
      <c r="AY70" s="1378">
        <f t="shared" si="19"/>
        <v>335325.90000000002</v>
      </c>
      <c r="AZ70" s="1378">
        <v>2730</v>
      </c>
    </row>
    <row r="71" spans="1:52" s="1379" customFormat="1" ht="16.5" customHeight="1">
      <c r="A71" s="1356">
        <v>68</v>
      </c>
      <c r="B71" s="1357" t="s">
        <v>17475</v>
      </c>
      <c r="C71" s="1358" t="s">
        <v>196</v>
      </c>
      <c r="D71" s="1359" t="s">
        <v>89</v>
      </c>
      <c r="E71" s="1360">
        <v>4</v>
      </c>
      <c r="F71" s="1360" t="s">
        <v>17270</v>
      </c>
      <c r="G71" s="1362">
        <v>142.5</v>
      </c>
      <c r="H71" s="1363">
        <f>16.5+41.9</f>
        <v>58.4</v>
      </c>
      <c r="I71" s="1380"/>
      <c r="J71" s="1365">
        <f>G71+0.2*H71+0.3*I71</f>
        <v>154.18</v>
      </c>
      <c r="K71" s="1366" t="s">
        <v>258</v>
      </c>
      <c r="L71" s="1366" t="s">
        <v>17477</v>
      </c>
      <c r="M71" s="1356">
        <v>-2</v>
      </c>
      <c r="N71" s="1356" t="s">
        <v>215</v>
      </c>
      <c r="O71" s="1356"/>
      <c r="P71" s="1382"/>
      <c r="Q71" s="1356"/>
      <c r="R71" s="1356"/>
      <c r="S71" s="1371">
        <v>528000</v>
      </c>
      <c r="T71" s="1369">
        <f t="shared" si="20"/>
        <v>528000</v>
      </c>
      <c r="U71" s="1369">
        <v>550000</v>
      </c>
      <c r="V71" s="1369"/>
      <c r="W71" s="1370">
        <f t="shared" si="16"/>
        <v>-4.0000000000000036E-2</v>
      </c>
      <c r="X71" s="1371">
        <f t="shared" si="17"/>
        <v>3424.5686859514853</v>
      </c>
      <c r="Y71" s="1371">
        <f t="shared" si="18"/>
        <v>3424.5686859514853</v>
      </c>
      <c r="Z71" s="1371">
        <f t="shared" si="15"/>
        <v>3567.2590478661305</v>
      </c>
      <c r="AA71" s="1371"/>
      <c r="AB71" s="1372">
        <v>45572</v>
      </c>
      <c r="AC71" s="1373">
        <v>45594</v>
      </c>
      <c r="AD71" s="1374">
        <f>20%*S71</f>
        <v>105600</v>
      </c>
      <c r="AE71" s="1375"/>
      <c r="AF71" s="1373"/>
      <c r="AG71" s="1375"/>
      <c r="AH71" s="1373"/>
      <c r="AI71" s="1374">
        <f t="shared" si="21"/>
        <v>422400</v>
      </c>
      <c r="AJ71" s="1366" t="s">
        <v>17647</v>
      </c>
      <c r="AK71" s="1356"/>
      <c r="AL71" s="1356"/>
      <c r="AM71" s="1366"/>
      <c r="AN71" s="1356"/>
      <c r="AO71" s="1356"/>
      <c r="AP71" s="1377" t="s">
        <v>17705</v>
      </c>
      <c r="AQ71" s="1377" t="s">
        <v>265</v>
      </c>
      <c r="AR71" s="1377"/>
      <c r="AS71" s="1377"/>
      <c r="AT71" s="1377"/>
      <c r="AU71" s="1377"/>
      <c r="AV71" s="1377">
        <v>934003771</v>
      </c>
      <c r="AW71" s="1377"/>
      <c r="AX71" s="1377"/>
      <c r="AY71" s="1378">
        <f t="shared" si="19"/>
        <v>420911.4</v>
      </c>
      <c r="AZ71" s="1378">
        <v>2730</v>
      </c>
    </row>
    <row r="72" spans="1:52" s="1379" customFormat="1" ht="16.5" customHeight="1">
      <c r="A72" s="1356">
        <v>69</v>
      </c>
      <c r="B72" s="1357" t="s">
        <v>17475</v>
      </c>
      <c r="C72" s="1358" t="s">
        <v>197</v>
      </c>
      <c r="D72" s="1359" t="s">
        <v>91</v>
      </c>
      <c r="E72" s="1360">
        <v>4</v>
      </c>
      <c r="F72" s="1360" t="s">
        <v>17269</v>
      </c>
      <c r="G72" s="1362">
        <v>86.5</v>
      </c>
      <c r="H72" s="1363">
        <v>55.2</v>
      </c>
      <c r="I72" s="1380"/>
      <c r="J72" s="1365">
        <f>G72+0.2*H72+0.3*I72</f>
        <v>97.54</v>
      </c>
      <c r="K72" s="1366" t="s">
        <v>258</v>
      </c>
      <c r="L72" s="1366" t="s">
        <v>17430</v>
      </c>
      <c r="M72" s="1356">
        <v>-1</v>
      </c>
      <c r="N72" s="1356" t="s">
        <v>215</v>
      </c>
      <c r="O72" s="1356"/>
      <c r="P72" s="293"/>
      <c r="Q72" s="1368"/>
      <c r="R72" s="1368"/>
      <c r="S72" s="1371">
        <v>384960</v>
      </c>
      <c r="T72" s="1369">
        <f t="shared" si="20"/>
        <v>384960</v>
      </c>
      <c r="U72" s="1369">
        <v>401000</v>
      </c>
      <c r="V72" s="1369">
        <v>380000</v>
      </c>
      <c r="W72" s="1370">
        <f t="shared" si="16"/>
        <v>-4.0000000000000036E-2</v>
      </c>
      <c r="X72" s="1371">
        <f t="shared" si="17"/>
        <v>3946.6885380356775</v>
      </c>
      <c r="Y72" s="1371">
        <f t="shared" si="18"/>
        <v>3946.6885380356775</v>
      </c>
      <c r="Z72" s="1371">
        <f t="shared" si="15"/>
        <v>4111.1338937871642</v>
      </c>
      <c r="AA72" s="1370"/>
      <c r="AB72" s="1372"/>
      <c r="AC72" s="1373">
        <v>45723</v>
      </c>
      <c r="AD72" s="1374">
        <f>10%*S72</f>
        <v>38496</v>
      </c>
      <c r="AE72" s="1375">
        <f>10%*S72</f>
        <v>38496</v>
      </c>
      <c r="AF72" s="1373">
        <f>AC72+6</f>
        <v>45729</v>
      </c>
      <c r="AG72" s="1375"/>
      <c r="AH72" s="1373"/>
      <c r="AI72" s="1374">
        <f t="shared" si="21"/>
        <v>307968</v>
      </c>
      <c r="AJ72" s="1356" t="s">
        <v>17647</v>
      </c>
      <c r="AK72" s="1356"/>
      <c r="AL72" s="1356"/>
      <c r="AM72" s="1356"/>
      <c r="AN72" s="1356"/>
      <c r="AO72" s="1356"/>
      <c r="AP72" s="1377" t="s">
        <v>17866</v>
      </c>
      <c r="AQ72" s="1377" t="s">
        <v>265</v>
      </c>
      <c r="AR72" s="1377"/>
      <c r="AS72" s="1377"/>
      <c r="AT72" s="1377"/>
      <c r="AU72" s="1377" t="s">
        <v>18235</v>
      </c>
      <c r="AV72" s="1377">
        <v>917690316</v>
      </c>
      <c r="AW72" s="1377"/>
      <c r="AX72" s="1377"/>
      <c r="AY72" s="1378">
        <f t="shared" si="19"/>
        <v>266284.2</v>
      </c>
      <c r="AZ72" s="1378">
        <v>2730</v>
      </c>
    </row>
    <row r="73" spans="1:52" s="1379" customFormat="1" ht="16.5" customHeight="1">
      <c r="A73" s="1356">
        <v>70</v>
      </c>
      <c r="B73" s="1357" t="s">
        <v>17475</v>
      </c>
      <c r="C73" s="1358" t="s">
        <v>198</v>
      </c>
      <c r="D73" s="1359" t="s">
        <v>91</v>
      </c>
      <c r="E73" s="1360">
        <v>4</v>
      </c>
      <c r="F73" s="1360" t="s">
        <v>46</v>
      </c>
      <c r="G73" s="1362">
        <v>85.5</v>
      </c>
      <c r="H73" s="1363">
        <v>32.6</v>
      </c>
      <c r="I73" s="1380"/>
      <c r="J73" s="1365">
        <f>G73+0.2*H73+0.3*I73</f>
        <v>92.02</v>
      </c>
      <c r="K73" s="1371" t="s">
        <v>258</v>
      </c>
      <c r="L73" s="1366" t="s">
        <v>17430</v>
      </c>
      <c r="M73" s="1356">
        <v>-1</v>
      </c>
      <c r="N73" s="1356" t="s">
        <v>17681</v>
      </c>
      <c r="O73" s="1356"/>
      <c r="P73" s="1382"/>
      <c r="Q73" s="1356"/>
      <c r="R73" s="1356"/>
      <c r="S73" s="1371">
        <v>370000</v>
      </c>
      <c r="T73" s="1369">
        <f t="shared" si="20"/>
        <v>355200</v>
      </c>
      <c r="U73" s="1369">
        <v>370000</v>
      </c>
      <c r="V73" s="1369"/>
      <c r="W73" s="1370">
        <f t="shared" si="16"/>
        <v>0</v>
      </c>
      <c r="X73" s="1371">
        <f t="shared" si="17"/>
        <v>4020.8650293414476</v>
      </c>
      <c r="Y73" s="1371">
        <f t="shared" si="18"/>
        <v>3860.03042816779</v>
      </c>
      <c r="Z73" s="1371">
        <f t="shared" si="15"/>
        <v>4020.8650293414476</v>
      </c>
      <c r="AA73" s="1371"/>
      <c r="AB73" s="1372"/>
      <c r="AC73" s="1373">
        <v>45582</v>
      </c>
      <c r="AD73" s="1374">
        <f>20%*S73</f>
        <v>74000</v>
      </c>
      <c r="AE73" s="1375"/>
      <c r="AF73" s="1373"/>
      <c r="AG73" s="1375"/>
      <c r="AH73" s="1373"/>
      <c r="AI73" s="1374">
        <f t="shared" si="21"/>
        <v>296000</v>
      </c>
      <c r="AJ73" s="1356" t="s">
        <v>17556</v>
      </c>
      <c r="AK73" s="1356"/>
      <c r="AL73" s="1356"/>
      <c r="AM73" s="1356"/>
      <c r="AN73" s="1356"/>
      <c r="AO73" s="1356"/>
      <c r="AP73" s="1377" t="s">
        <v>17676</v>
      </c>
      <c r="AQ73" s="1377" t="s">
        <v>17677</v>
      </c>
      <c r="AR73" s="1377"/>
      <c r="AS73" s="1377"/>
      <c r="AT73" s="1377"/>
      <c r="AU73" s="1377"/>
      <c r="AV73" s="1377" t="s">
        <v>18236</v>
      </c>
      <c r="AW73" s="1377"/>
      <c r="AX73" s="1377"/>
      <c r="AY73" s="1378">
        <f t="shared" si="19"/>
        <v>251214.59999999998</v>
      </c>
      <c r="AZ73" s="1378">
        <v>2730</v>
      </c>
    </row>
    <row r="74" spans="1:52" s="1379" customFormat="1" ht="16.5" customHeight="1">
      <c r="A74" s="1356">
        <v>71</v>
      </c>
      <c r="B74" s="1357" t="s">
        <v>17475</v>
      </c>
      <c r="C74" s="1358" t="s">
        <v>199</v>
      </c>
      <c r="D74" s="1359" t="s">
        <v>89</v>
      </c>
      <c r="E74" s="1360">
        <v>5</v>
      </c>
      <c r="F74" s="1360" t="s">
        <v>145</v>
      </c>
      <c r="G74" s="1362">
        <v>116.5</v>
      </c>
      <c r="H74" s="1363">
        <v>21.1</v>
      </c>
      <c r="I74" s="1380"/>
      <c r="J74" s="1365">
        <f>G74+0.3*H74+0.3*I74</f>
        <v>122.83</v>
      </c>
      <c r="K74" s="1366" t="s">
        <v>258</v>
      </c>
      <c r="L74" s="1366" t="s">
        <v>17523</v>
      </c>
      <c r="M74" s="1356">
        <v>-2</v>
      </c>
      <c r="N74" s="1356" t="s">
        <v>215</v>
      </c>
      <c r="O74" s="1356"/>
      <c r="P74" s="293"/>
      <c r="Q74" s="1356"/>
      <c r="R74" s="1356"/>
      <c r="S74" s="1369">
        <v>436800</v>
      </c>
      <c r="T74" s="1369">
        <f t="shared" si="20"/>
        <v>436800</v>
      </c>
      <c r="U74" s="1369">
        <v>455000</v>
      </c>
      <c r="V74" s="1369"/>
      <c r="W74" s="1370">
        <f t="shared" si="16"/>
        <v>-4.0000000000000036E-2</v>
      </c>
      <c r="X74" s="1371">
        <f t="shared" si="17"/>
        <v>3556.1344948302531</v>
      </c>
      <c r="Y74" s="1371">
        <f t="shared" si="18"/>
        <v>3556.1344948302531</v>
      </c>
      <c r="Z74" s="1371">
        <f t="shared" si="15"/>
        <v>3704.3067654481806</v>
      </c>
      <c r="AA74" s="1371"/>
      <c r="AB74" s="1372">
        <v>45934</v>
      </c>
      <c r="AC74" s="1373">
        <v>45958</v>
      </c>
      <c r="AD74" s="1374">
        <f>5000+40000</f>
        <v>45000</v>
      </c>
      <c r="AE74" s="1375">
        <v>15000</v>
      </c>
      <c r="AF74" s="1373">
        <v>45991</v>
      </c>
      <c r="AG74" s="1375">
        <v>27360</v>
      </c>
      <c r="AH74" s="1373">
        <v>46022</v>
      </c>
      <c r="AI74" s="1374">
        <v>349440</v>
      </c>
      <c r="AJ74" s="1356" t="s">
        <v>17556</v>
      </c>
      <c r="AK74" s="1356"/>
      <c r="AL74" s="1356"/>
      <c r="AM74" s="1356"/>
      <c r="AN74" s="1356"/>
      <c r="AO74" s="1356"/>
      <c r="AP74" s="1377" t="s">
        <v>18365</v>
      </c>
      <c r="AQ74" s="1377" t="s">
        <v>17693</v>
      </c>
      <c r="AR74" s="1377"/>
      <c r="AS74" s="1377"/>
      <c r="AT74" s="1377"/>
      <c r="AU74" s="1377"/>
      <c r="AV74" s="1377"/>
      <c r="AW74" s="1377"/>
      <c r="AX74" s="1377"/>
      <c r="AY74" s="1378">
        <f t="shared" si="19"/>
        <v>335325.90000000002</v>
      </c>
      <c r="AZ74" s="1378">
        <v>2730</v>
      </c>
    </row>
    <row r="75" spans="1:52" s="1379" customFormat="1" ht="16.5" customHeight="1">
      <c r="A75" s="1356">
        <v>72</v>
      </c>
      <c r="B75" s="1357" t="s">
        <v>17475</v>
      </c>
      <c r="C75" s="1358" t="s">
        <v>200</v>
      </c>
      <c r="D75" s="1359" t="s">
        <v>89</v>
      </c>
      <c r="E75" s="1360">
        <v>5</v>
      </c>
      <c r="F75" s="1360" t="s">
        <v>17270</v>
      </c>
      <c r="G75" s="1362">
        <v>142.5</v>
      </c>
      <c r="H75" s="1363">
        <f>16.5+41.9</f>
        <v>58.4</v>
      </c>
      <c r="I75" s="1380"/>
      <c r="J75" s="1365">
        <f>G75+0.2*H75+0.3*I75</f>
        <v>154.18</v>
      </c>
      <c r="K75" s="1371" t="s">
        <v>258</v>
      </c>
      <c r="L75" s="1366" t="s">
        <v>17477</v>
      </c>
      <c r="M75" s="1356">
        <v>-2</v>
      </c>
      <c r="N75" s="1356" t="s">
        <v>215</v>
      </c>
      <c r="O75" s="1356"/>
      <c r="P75" s="1382"/>
      <c r="Q75" s="1356"/>
      <c r="R75" s="1356"/>
      <c r="S75" s="1371">
        <f>0.96*U75</f>
        <v>532800</v>
      </c>
      <c r="T75" s="1369">
        <f t="shared" si="20"/>
        <v>532800</v>
      </c>
      <c r="U75" s="1369">
        <v>555000</v>
      </c>
      <c r="V75" s="1369"/>
      <c r="W75" s="1370">
        <f t="shared" si="16"/>
        <v>-4.0000000000000036E-2</v>
      </c>
      <c r="X75" s="1371">
        <f t="shared" si="17"/>
        <v>3455.7011285510439</v>
      </c>
      <c r="Y75" s="1371">
        <f t="shared" si="18"/>
        <v>3455.7011285510439</v>
      </c>
      <c r="Z75" s="1371">
        <f t="shared" si="15"/>
        <v>3599.6886755740043</v>
      </c>
      <c r="AA75" s="1371"/>
      <c r="AB75" s="1372">
        <v>45589</v>
      </c>
      <c r="AC75" s="1373">
        <v>45610</v>
      </c>
      <c r="AD75" s="1374">
        <f>20%*S75</f>
        <v>106560</v>
      </c>
      <c r="AE75" s="1375"/>
      <c r="AF75" s="1373"/>
      <c r="AG75" s="1375"/>
      <c r="AH75" s="1373"/>
      <c r="AI75" s="1374">
        <f t="shared" si="21"/>
        <v>426240</v>
      </c>
      <c r="AJ75" s="1356" t="s">
        <v>17556</v>
      </c>
      <c r="AK75" s="1356"/>
      <c r="AL75" s="1376"/>
      <c r="AM75" s="1356"/>
      <c r="AN75" s="1356"/>
      <c r="AO75" s="1356"/>
      <c r="AP75" s="1377" t="s">
        <v>17701</v>
      </c>
      <c r="AQ75" s="1377" t="s">
        <v>265</v>
      </c>
      <c r="AR75" s="1377"/>
      <c r="AS75" s="1377"/>
      <c r="AT75" s="1377"/>
      <c r="AU75" s="1377" t="s">
        <v>18237</v>
      </c>
      <c r="AV75" s="1377">
        <v>964057562</v>
      </c>
      <c r="AW75" s="1377"/>
      <c r="AX75" s="1377"/>
      <c r="AY75" s="1378">
        <f t="shared" si="19"/>
        <v>420911.4</v>
      </c>
      <c r="AZ75" s="1378">
        <v>2730</v>
      </c>
    </row>
    <row r="76" spans="1:52" s="1379" customFormat="1" ht="16.5" customHeight="1">
      <c r="A76" s="1356">
        <v>73</v>
      </c>
      <c r="B76" s="1357" t="s">
        <v>17475</v>
      </c>
      <c r="C76" s="1358" t="s">
        <v>201</v>
      </c>
      <c r="D76" s="1359" t="s">
        <v>91</v>
      </c>
      <c r="E76" s="1360">
        <v>5</v>
      </c>
      <c r="F76" s="1360" t="s">
        <v>17269</v>
      </c>
      <c r="G76" s="1362">
        <v>86.5</v>
      </c>
      <c r="H76" s="1363">
        <v>55.2</v>
      </c>
      <c r="I76" s="1380"/>
      <c r="J76" s="1365">
        <f>G76+0.2*H76+0.3*I76</f>
        <v>97.54</v>
      </c>
      <c r="K76" s="1366" t="s">
        <v>258</v>
      </c>
      <c r="L76" s="1366" t="s">
        <v>17430</v>
      </c>
      <c r="M76" s="1356">
        <v>-1</v>
      </c>
      <c r="N76" s="1356" t="s">
        <v>215</v>
      </c>
      <c r="O76" s="1356"/>
      <c r="P76" s="293"/>
      <c r="Q76" s="1356"/>
      <c r="R76" s="1378"/>
      <c r="S76" s="1371">
        <v>345541</v>
      </c>
      <c r="T76" s="1369">
        <f t="shared" si="20"/>
        <v>391680</v>
      </c>
      <c r="U76" s="1369">
        <v>408000</v>
      </c>
      <c r="V76" s="1369">
        <v>385000</v>
      </c>
      <c r="W76" s="1370">
        <f t="shared" si="16"/>
        <v>-0.15308578431372544</v>
      </c>
      <c r="X76" s="1371">
        <f t="shared" si="17"/>
        <v>3542.5568997334426</v>
      </c>
      <c r="Y76" s="1371">
        <f t="shared" si="18"/>
        <v>4015.5833504203401</v>
      </c>
      <c r="Z76" s="1371">
        <f t="shared" si="15"/>
        <v>4182.8993233545207</v>
      </c>
      <c r="AA76" s="1371"/>
      <c r="AB76" s="1372">
        <v>45717</v>
      </c>
      <c r="AC76" s="1373">
        <v>45796</v>
      </c>
      <c r="AD76" s="1374">
        <f>10%*S76</f>
        <v>34554.1</v>
      </c>
      <c r="AE76" s="1375"/>
      <c r="AF76" s="1373"/>
      <c r="AG76" s="1375"/>
      <c r="AH76" s="1373"/>
      <c r="AI76" s="1374">
        <f>90%*S76</f>
        <v>310986.90000000002</v>
      </c>
      <c r="AJ76" s="1356" t="s">
        <v>274</v>
      </c>
      <c r="AK76" s="1356"/>
      <c r="AL76" s="1356"/>
      <c r="AM76" s="1356"/>
      <c r="AN76" s="1356"/>
      <c r="AO76" s="1356"/>
      <c r="AP76" s="1377" t="s">
        <v>18012</v>
      </c>
      <c r="AQ76" s="1377" t="s">
        <v>517</v>
      </c>
      <c r="AR76" s="1377"/>
      <c r="AS76" s="1377"/>
      <c r="AT76" s="1377"/>
      <c r="AU76" s="1377" t="s">
        <v>18238</v>
      </c>
      <c r="AV76" s="1801"/>
      <c r="AW76" s="1377"/>
      <c r="AX76" s="1377"/>
      <c r="AY76" s="1378">
        <f t="shared" si="19"/>
        <v>266284.2</v>
      </c>
      <c r="AZ76" s="1378">
        <v>2730</v>
      </c>
    </row>
    <row r="77" spans="1:52" s="1379" customFormat="1" ht="16.5" customHeight="1">
      <c r="A77" s="1356">
        <v>74</v>
      </c>
      <c r="B77" s="1357" t="s">
        <v>17475</v>
      </c>
      <c r="C77" s="1358" t="s">
        <v>202</v>
      </c>
      <c r="D77" s="1359" t="s">
        <v>91</v>
      </c>
      <c r="E77" s="1360">
        <v>5</v>
      </c>
      <c r="F77" s="1360" t="s">
        <v>46</v>
      </c>
      <c r="G77" s="1362">
        <v>85.5</v>
      </c>
      <c r="H77" s="1363">
        <v>32.6</v>
      </c>
      <c r="I77" s="1380"/>
      <c r="J77" s="1365">
        <f>G77+0.2*H77+0.3*I77</f>
        <v>92.02</v>
      </c>
      <c r="K77" s="1366" t="s">
        <v>258</v>
      </c>
      <c r="L77" s="1366" t="s">
        <v>17430</v>
      </c>
      <c r="M77" s="1356">
        <v>-1</v>
      </c>
      <c r="N77" s="1356" t="s">
        <v>215</v>
      </c>
      <c r="O77" s="1356"/>
      <c r="P77" s="1382"/>
      <c r="Q77" s="1356"/>
      <c r="R77" s="1356"/>
      <c r="S77" s="1369">
        <v>384000</v>
      </c>
      <c r="T77" s="1369">
        <f t="shared" si="20"/>
        <v>384000</v>
      </c>
      <c r="U77" s="1369">
        <v>400000</v>
      </c>
      <c r="V77" s="1369">
        <v>375000</v>
      </c>
      <c r="W77" s="1370">
        <f t="shared" si="16"/>
        <v>-4.0000000000000036E-2</v>
      </c>
      <c r="X77" s="1371">
        <f t="shared" si="17"/>
        <v>4173.0058682895024</v>
      </c>
      <c r="Y77" s="1371">
        <f t="shared" si="18"/>
        <v>4173.0058682895024</v>
      </c>
      <c r="Z77" s="1371">
        <f t="shared" si="15"/>
        <v>4346.881112801565</v>
      </c>
      <c r="AA77" s="1371"/>
      <c r="AB77" s="1372">
        <v>45607</v>
      </c>
      <c r="AC77" s="1373">
        <v>45615</v>
      </c>
      <c r="AD77" s="1374">
        <f>20%*S77</f>
        <v>76800</v>
      </c>
      <c r="AE77" s="1375"/>
      <c r="AF77" s="1373"/>
      <c r="AG77" s="1375"/>
      <c r="AH77" s="1373"/>
      <c r="AI77" s="1374">
        <f t="shared" si="21"/>
        <v>307200</v>
      </c>
      <c r="AJ77" s="1356" t="s">
        <v>17647</v>
      </c>
      <c r="AK77" s="1356"/>
      <c r="AL77" s="1356"/>
      <c r="AM77" s="1356"/>
      <c r="AN77" s="1356"/>
      <c r="AO77" s="1356"/>
      <c r="AP77" s="1377" t="s">
        <v>17715</v>
      </c>
      <c r="AQ77" s="1377" t="s">
        <v>265</v>
      </c>
      <c r="AR77" s="1377"/>
      <c r="AS77" s="1377"/>
      <c r="AT77" s="1377"/>
      <c r="AU77" s="1377"/>
      <c r="AV77" s="1377">
        <v>918010418</v>
      </c>
      <c r="AW77" s="1377"/>
      <c r="AX77" s="1377"/>
      <c r="AY77" s="1378">
        <f t="shared" si="19"/>
        <v>251214.59999999998</v>
      </c>
      <c r="AZ77" s="1378">
        <v>2730</v>
      </c>
    </row>
    <row r="78" spans="1:52" s="1379" customFormat="1" ht="16.5" customHeight="1">
      <c r="A78" s="1356">
        <v>75</v>
      </c>
      <c r="B78" s="1357" t="s">
        <v>17475</v>
      </c>
      <c r="C78" s="1358" t="s">
        <v>204</v>
      </c>
      <c r="D78" s="1359" t="s">
        <v>89</v>
      </c>
      <c r="E78" s="1360">
        <v>6</v>
      </c>
      <c r="F78" s="1360" t="s">
        <v>145</v>
      </c>
      <c r="G78" s="1362">
        <v>116.5</v>
      </c>
      <c r="H78" s="1363">
        <v>21.1</v>
      </c>
      <c r="I78" s="1380"/>
      <c r="J78" s="1365">
        <f>G78+0.3*H78+0.3*I78</f>
        <v>122.83</v>
      </c>
      <c r="K78" s="1366" t="s">
        <v>258</v>
      </c>
      <c r="L78" s="1366" t="s">
        <v>17523</v>
      </c>
      <c r="M78" s="1356">
        <v>-2</v>
      </c>
      <c r="N78" s="1356" t="s">
        <v>215</v>
      </c>
      <c r="O78" s="1356"/>
      <c r="P78" s="1382"/>
      <c r="Q78" s="1368"/>
      <c r="R78" s="1368"/>
      <c r="S78" s="1371">
        <v>441600</v>
      </c>
      <c r="T78" s="1369">
        <f t="shared" si="20"/>
        <v>441600</v>
      </c>
      <c r="U78" s="1369">
        <v>460000</v>
      </c>
      <c r="V78" s="1369"/>
      <c r="W78" s="1370">
        <f t="shared" si="16"/>
        <v>-4.0000000000000036E-2</v>
      </c>
      <c r="X78" s="1371">
        <f t="shared" si="17"/>
        <v>3595.2128958723438</v>
      </c>
      <c r="Y78" s="1371">
        <f t="shared" si="18"/>
        <v>3595.2128958723438</v>
      </c>
      <c r="Z78" s="1371">
        <f t="shared" si="15"/>
        <v>3745.0134332003581</v>
      </c>
      <c r="AA78" s="1371"/>
      <c r="AB78" s="1372">
        <v>45935</v>
      </c>
      <c r="AC78" s="1373">
        <v>45968</v>
      </c>
      <c r="AD78" s="1374">
        <f>5000+83320</f>
        <v>88320</v>
      </c>
      <c r="AE78" s="1375"/>
      <c r="AF78" s="1373"/>
      <c r="AG78" s="1375"/>
      <c r="AH78" s="1373"/>
      <c r="AI78" s="1374">
        <f t="shared" si="21"/>
        <v>353280</v>
      </c>
      <c r="AJ78" s="1356" t="s">
        <v>17556</v>
      </c>
      <c r="AK78" s="1356"/>
      <c r="AL78" s="1376"/>
      <c r="AM78" s="1356"/>
      <c r="AN78" s="1356"/>
      <c r="AO78" s="1356"/>
      <c r="AP78" s="1377" t="s">
        <v>18370</v>
      </c>
      <c r="AQ78" s="1377" t="s">
        <v>17693</v>
      </c>
      <c r="AR78" s="1377"/>
      <c r="AS78" s="1377"/>
      <c r="AT78" s="1377"/>
      <c r="AU78" s="1377"/>
      <c r="AV78" s="1377"/>
      <c r="AW78" s="1377"/>
      <c r="AX78" s="1377"/>
      <c r="AY78" s="1378">
        <f t="shared" si="19"/>
        <v>335325.90000000002</v>
      </c>
      <c r="AZ78" s="1378">
        <v>2730</v>
      </c>
    </row>
    <row r="79" spans="1:52" s="1379" customFormat="1" ht="16.5" customHeight="1">
      <c r="A79" s="1356">
        <v>76</v>
      </c>
      <c r="B79" s="1357" t="s">
        <v>17475</v>
      </c>
      <c r="C79" s="1358" t="s">
        <v>203</v>
      </c>
      <c r="D79" s="1359" t="s">
        <v>89</v>
      </c>
      <c r="E79" s="1360">
        <v>6</v>
      </c>
      <c r="F79" s="1360" t="s">
        <v>17270</v>
      </c>
      <c r="G79" s="1362">
        <v>142.5</v>
      </c>
      <c r="H79" s="1363">
        <f>16.5+41.9</f>
        <v>58.4</v>
      </c>
      <c r="I79" s="1380"/>
      <c r="J79" s="1365">
        <f>G79+0.2*H79+0.3*I79</f>
        <v>154.18</v>
      </c>
      <c r="K79" s="1356" t="s">
        <v>258</v>
      </c>
      <c r="L79" s="1366" t="s">
        <v>17477</v>
      </c>
      <c r="M79" s="1356">
        <v>-2</v>
      </c>
      <c r="N79" s="1356" t="s">
        <v>215</v>
      </c>
      <c r="O79" s="1356"/>
      <c r="P79" s="1382"/>
      <c r="Q79" s="1368"/>
      <c r="R79" s="1368"/>
      <c r="S79" s="1369">
        <f>0.98*U79</f>
        <v>548800</v>
      </c>
      <c r="T79" s="1369">
        <f t="shared" si="20"/>
        <v>537600</v>
      </c>
      <c r="U79" s="1369">
        <v>560000</v>
      </c>
      <c r="V79" s="1369"/>
      <c r="W79" s="1370">
        <f t="shared" si="16"/>
        <v>-2.0000000000000018E-2</v>
      </c>
      <c r="X79" s="1371">
        <f t="shared" si="17"/>
        <v>3559.4759372162407</v>
      </c>
      <c r="Y79" s="1371">
        <f t="shared" si="18"/>
        <v>3486.8335711506029</v>
      </c>
      <c r="Z79" s="1371">
        <f t="shared" si="15"/>
        <v>3632.1183032818781</v>
      </c>
      <c r="AA79" s="1372"/>
      <c r="AB79" s="1372">
        <v>45563</v>
      </c>
      <c r="AC79" s="1373">
        <v>45579</v>
      </c>
      <c r="AD79" s="1374">
        <f>20%*S79</f>
        <v>109760</v>
      </c>
      <c r="AE79" s="1375"/>
      <c r="AF79" s="1373"/>
      <c r="AG79" s="1375"/>
      <c r="AH79" s="1373"/>
      <c r="AI79" s="1374">
        <f t="shared" si="21"/>
        <v>439040</v>
      </c>
      <c r="AJ79" s="1376" t="s">
        <v>17647</v>
      </c>
      <c r="AK79" s="1356"/>
      <c r="AL79" s="1356"/>
      <c r="AM79" s="1356"/>
      <c r="AN79" s="1356"/>
      <c r="AO79" s="1356"/>
      <c r="AP79" s="1377" t="s">
        <v>17661</v>
      </c>
      <c r="AQ79" s="1377" t="s">
        <v>265</v>
      </c>
      <c r="AR79" s="1377"/>
      <c r="AS79" s="1377"/>
      <c r="AT79" s="1377"/>
      <c r="AU79" s="1377"/>
      <c r="AV79" s="1377"/>
      <c r="AW79" s="1377"/>
      <c r="AX79" s="1377"/>
      <c r="AY79" s="1378">
        <f t="shared" si="19"/>
        <v>420911.4</v>
      </c>
      <c r="AZ79" s="1378">
        <v>2730</v>
      </c>
    </row>
    <row r="80" spans="1:52" s="1379" customFormat="1" ht="16.5" customHeight="1" thickBot="1">
      <c r="A80" s="1356">
        <v>77</v>
      </c>
      <c r="B80" s="1357" t="s">
        <v>17475</v>
      </c>
      <c r="C80" s="1358" t="s">
        <v>205</v>
      </c>
      <c r="D80" s="1359" t="s">
        <v>91</v>
      </c>
      <c r="E80" s="1360">
        <v>6</v>
      </c>
      <c r="F80" s="1360" t="s">
        <v>17269</v>
      </c>
      <c r="G80" s="1362">
        <v>86.5</v>
      </c>
      <c r="H80" s="1363">
        <v>55.2</v>
      </c>
      <c r="I80" s="1364"/>
      <c r="J80" s="1365">
        <f>G80+0.2*H80+0.3*I80</f>
        <v>97.54</v>
      </c>
      <c r="K80" s="1366" t="s">
        <v>258</v>
      </c>
      <c r="L80" s="1366" t="s">
        <v>17430</v>
      </c>
      <c r="M80" s="1356">
        <v>-1</v>
      </c>
      <c r="N80" s="1523" t="s">
        <v>215</v>
      </c>
      <c r="O80" s="1523"/>
      <c r="P80" s="1541"/>
      <c r="Q80" s="1523"/>
      <c r="R80" s="1371"/>
      <c r="S80" s="1369">
        <v>395000</v>
      </c>
      <c r="T80" s="1369">
        <f>0.96*U80</f>
        <v>396480</v>
      </c>
      <c r="U80" s="1369">
        <v>413000</v>
      </c>
      <c r="V80" s="1369">
        <v>390000</v>
      </c>
      <c r="W80" s="1370">
        <f t="shared" si="16"/>
        <v>-4.3583535108958849E-2</v>
      </c>
      <c r="X80" s="1371">
        <f t="shared" si="17"/>
        <v>4049.6206684437152</v>
      </c>
      <c r="Y80" s="1371">
        <f t="shared" si="18"/>
        <v>4064.7939306950993</v>
      </c>
      <c r="Z80" s="1371">
        <f t="shared" si="15"/>
        <v>4234.1603444740613</v>
      </c>
      <c r="AA80" s="1371"/>
      <c r="AB80" s="1372">
        <v>45701</v>
      </c>
      <c r="AC80" s="1372">
        <v>45730</v>
      </c>
      <c r="AD80" s="1374">
        <f>5000+74000</f>
        <v>79000</v>
      </c>
      <c r="AE80" s="1395"/>
      <c r="AF80" s="1372"/>
      <c r="AG80" s="1395"/>
      <c r="AH80" s="1372"/>
      <c r="AI80" s="1374">
        <v>316000</v>
      </c>
      <c r="AJ80" s="1356" t="s">
        <v>17556</v>
      </c>
      <c r="AK80" s="1356"/>
      <c r="AL80" s="1356"/>
      <c r="AM80" s="1356"/>
      <c r="AN80" s="1356"/>
      <c r="AO80" s="1356"/>
      <c r="AP80" s="1356" t="s">
        <v>17883</v>
      </c>
      <c r="AQ80" s="1377" t="s">
        <v>265</v>
      </c>
      <c r="AR80" s="1377"/>
      <c r="AS80" s="1377"/>
      <c r="AT80" s="1377"/>
      <c r="AU80" s="1377" t="s">
        <v>18239</v>
      </c>
      <c r="AV80" s="1377">
        <v>924404728</v>
      </c>
      <c r="AW80" s="1356"/>
      <c r="AX80" s="1356"/>
      <c r="AY80" s="1378">
        <f t="shared" si="19"/>
        <v>266284.2</v>
      </c>
      <c r="AZ80" s="1378">
        <v>2730</v>
      </c>
    </row>
    <row r="81" spans="1:52" s="1379" customFormat="1" ht="16.5" customHeight="1">
      <c r="A81" s="1356">
        <v>78</v>
      </c>
      <c r="B81" s="1357" t="s">
        <v>17475</v>
      </c>
      <c r="C81" s="1358" t="s">
        <v>339</v>
      </c>
      <c r="D81" s="1359" t="s">
        <v>91</v>
      </c>
      <c r="E81" s="1360">
        <v>6</v>
      </c>
      <c r="F81" s="1360" t="s">
        <v>46</v>
      </c>
      <c r="G81" s="1362">
        <v>85.5</v>
      </c>
      <c r="H81" s="1363">
        <v>32.6</v>
      </c>
      <c r="I81" s="1416"/>
      <c r="J81" s="1365">
        <f>G81+0.2*H81+0.3*I81</f>
        <v>92.02</v>
      </c>
      <c r="K81" s="1371" t="s">
        <v>258</v>
      </c>
      <c r="L81" s="1366" t="s">
        <v>17430</v>
      </c>
      <c r="M81" s="1356">
        <v>-1</v>
      </c>
      <c r="N81" s="1356" t="s">
        <v>215</v>
      </c>
      <c r="O81" s="1356"/>
      <c r="P81" s="1382"/>
      <c r="Q81" s="1356"/>
      <c r="R81" s="1356"/>
      <c r="S81" s="1369">
        <f>0.96*U81</f>
        <v>364800</v>
      </c>
      <c r="T81" s="1369">
        <f t="shared" si="20"/>
        <v>364800</v>
      </c>
      <c r="U81" s="1369">
        <v>380000</v>
      </c>
      <c r="V81" s="1369"/>
      <c r="W81" s="1370">
        <f t="shared" si="16"/>
        <v>-4.0000000000000036E-2</v>
      </c>
      <c r="X81" s="1371">
        <f t="shared" si="17"/>
        <v>3964.3555748750273</v>
      </c>
      <c r="Y81" s="1371">
        <f t="shared" si="18"/>
        <v>3964.3555748750273</v>
      </c>
      <c r="Z81" s="1371">
        <f t="shared" si="15"/>
        <v>4129.5370571614867</v>
      </c>
      <c r="AA81" s="1371"/>
      <c r="AB81" s="1372"/>
      <c r="AC81" s="1372">
        <v>45618</v>
      </c>
      <c r="AD81" s="1374">
        <f>20%*S81</f>
        <v>72960</v>
      </c>
      <c r="AE81" s="1395"/>
      <c r="AF81" s="1372"/>
      <c r="AG81" s="1395"/>
      <c r="AH81" s="1372"/>
      <c r="AI81" s="1374">
        <f t="shared" si="21"/>
        <v>291840</v>
      </c>
      <c r="AJ81" s="1356" t="s">
        <v>17556</v>
      </c>
      <c r="AK81" s="1356"/>
      <c r="AL81" s="1356"/>
      <c r="AM81" s="1356"/>
      <c r="AN81" s="1356"/>
      <c r="AO81" s="1356"/>
      <c r="AP81" s="1356" t="s">
        <v>17699</v>
      </c>
      <c r="AQ81" s="1377" t="s">
        <v>265</v>
      </c>
      <c r="AR81" s="1377"/>
      <c r="AS81" s="1377"/>
      <c r="AT81" s="1377"/>
      <c r="AU81" s="1377"/>
      <c r="AV81" s="1377">
        <v>967429350</v>
      </c>
      <c r="AW81" s="1356"/>
      <c r="AX81" s="1356"/>
      <c r="AY81" s="1378">
        <f t="shared" si="19"/>
        <v>251214.59999999998</v>
      </c>
      <c r="AZ81" s="1378">
        <v>2730</v>
      </c>
    </row>
    <row r="82" spans="1:52" s="923" customFormat="1" ht="16.5" customHeight="1">
      <c r="A82" s="914">
        <v>79</v>
      </c>
      <c r="B82" s="1120" t="s">
        <v>17475</v>
      </c>
      <c r="C82" s="925" t="s">
        <v>340</v>
      </c>
      <c r="D82" s="926" t="s">
        <v>93</v>
      </c>
      <c r="E82" s="927">
        <v>7</v>
      </c>
      <c r="F82" s="817" t="s">
        <v>17267</v>
      </c>
      <c r="G82" s="980">
        <v>177</v>
      </c>
      <c r="H82" s="916"/>
      <c r="I82" s="817">
        <v>110.7</v>
      </c>
      <c r="J82" s="917">
        <f>G82+0.3*H82+0.3*I82</f>
        <v>210.21</v>
      </c>
      <c r="K82" s="894"/>
      <c r="L82" s="894" t="s">
        <v>17522</v>
      </c>
      <c r="M82" s="914">
        <v>-1</v>
      </c>
      <c r="N82" s="928" t="s">
        <v>312</v>
      </c>
      <c r="O82" s="928"/>
      <c r="P82" s="896"/>
      <c r="Q82" s="928"/>
      <c r="R82" s="914"/>
      <c r="S82" s="1270"/>
      <c r="T82" s="1270">
        <f t="shared" si="20"/>
        <v>940800</v>
      </c>
      <c r="U82" s="1270">
        <v>980000</v>
      </c>
      <c r="V82" s="1270"/>
      <c r="W82" s="1295">
        <f t="shared" si="16"/>
        <v>-1</v>
      </c>
      <c r="X82" s="1293">
        <f t="shared" si="17"/>
        <v>0</v>
      </c>
      <c r="Y82" s="1293">
        <f t="shared" si="18"/>
        <v>4475.5244755244757</v>
      </c>
      <c r="Z82" s="1293">
        <f t="shared" si="15"/>
        <v>4662.0046620046614</v>
      </c>
      <c r="AA82" s="895"/>
      <c r="AB82" s="918"/>
      <c r="AC82" s="919"/>
      <c r="AD82" s="1313">
        <f>20%*S82</f>
        <v>0</v>
      </c>
      <c r="AE82" s="920"/>
      <c r="AF82" s="919"/>
      <c r="AG82" s="920"/>
      <c r="AH82" s="919"/>
      <c r="AI82" s="1313">
        <f t="shared" si="21"/>
        <v>0</v>
      </c>
      <c r="AJ82" s="914"/>
      <c r="AK82" s="914"/>
      <c r="AL82" s="914"/>
      <c r="AM82" s="914"/>
      <c r="AN82" s="914"/>
      <c r="AO82" s="914"/>
      <c r="AP82" s="921"/>
      <c r="AQ82" s="921"/>
      <c r="AR82" s="921"/>
      <c r="AS82" s="921"/>
      <c r="AT82" s="921"/>
      <c r="AU82" s="921"/>
      <c r="AV82" s="921"/>
      <c r="AW82" s="921"/>
      <c r="AX82" s="921"/>
      <c r="AY82" s="1300">
        <f t="shared" si="19"/>
        <v>573873.30000000005</v>
      </c>
      <c r="AZ82" s="922">
        <v>2730</v>
      </c>
    </row>
    <row r="83" spans="1:52" s="1379" customFormat="1" ht="16.5" customHeight="1" thickBot="1">
      <c r="A83" s="1356">
        <v>80</v>
      </c>
      <c r="B83" s="1357" t="s">
        <v>17475</v>
      </c>
      <c r="C83" s="1358" t="s">
        <v>341</v>
      </c>
      <c r="D83" s="1359" t="s">
        <v>89</v>
      </c>
      <c r="E83" s="1360">
        <v>7</v>
      </c>
      <c r="F83" s="1361" t="s">
        <v>17270</v>
      </c>
      <c r="G83" s="1392">
        <v>133</v>
      </c>
      <c r="H83" s="1363"/>
      <c r="I83" s="1361">
        <v>98.3</v>
      </c>
      <c r="J83" s="1365">
        <f>G83+0.3*H83+0.3*I83</f>
        <v>162.49</v>
      </c>
      <c r="K83" s="1366" t="s">
        <v>258</v>
      </c>
      <c r="L83" s="1366" t="s">
        <v>17476</v>
      </c>
      <c r="M83" s="1356">
        <v>-1</v>
      </c>
      <c r="N83" s="1356" t="s">
        <v>312</v>
      </c>
      <c r="O83" s="1356"/>
      <c r="P83" s="293"/>
      <c r="Q83" s="1368"/>
      <c r="R83" s="1368"/>
      <c r="S83" s="1371">
        <f>0.96*U83</f>
        <v>614400</v>
      </c>
      <c r="T83" s="1369">
        <f t="shared" si="20"/>
        <v>614400</v>
      </c>
      <c r="U83" s="1369">
        <v>640000</v>
      </c>
      <c r="V83" s="1369"/>
      <c r="W83" s="1370">
        <f t="shared" si="16"/>
        <v>-4.0000000000000036E-2</v>
      </c>
      <c r="X83" s="1371">
        <f t="shared" si="17"/>
        <v>3781.1557634315955</v>
      </c>
      <c r="Y83" s="1371">
        <f t="shared" si="18"/>
        <v>3781.1557634315955</v>
      </c>
      <c r="Z83" s="1371">
        <f t="shared" si="15"/>
        <v>3938.7039202412452</v>
      </c>
      <c r="AA83" s="1370"/>
      <c r="AB83" s="1372">
        <v>45563</v>
      </c>
      <c r="AC83" s="1373">
        <v>45583</v>
      </c>
      <c r="AD83" s="1374">
        <v>66440</v>
      </c>
      <c r="AE83" s="1375"/>
      <c r="AF83" s="1373"/>
      <c r="AG83" s="1375"/>
      <c r="AH83" s="1373"/>
      <c r="AI83" s="1374">
        <v>547960</v>
      </c>
      <c r="AJ83" s="1376" t="s">
        <v>17647</v>
      </c>
      <c r="AK83" s="1356"/>
      <c r="AL83" s="1356"/>
      <c r="AM83" s="1356"/>
      <c r="AN83" s="1356"/>
      <c r="AO83" s="1356"/>
      <c r="AP83" s="1377" t="s">
        <v>17660</v>
      </c>
      <c r="AQ83" s="1377" t="s">
        <v>265</v>
      </c>
      <c r="AR83" s="1377"/>
      <c r="AS83" s="1377"/>
      <c r="AT83" s="1377"/>
      <c r="AU83" s="1377" t="s">
        <v>18240</v>
      </c>
      <c r="AV83" s="1377">
        <v>919459875</v>
      </c>
      <c r="AW83" s="1377"/>
      <c r="AX83" s="1377"/>
      <c r="AY83" s="1378">
        <f t="shared" si="19"/>
        <v>443597.7</v>
      </c>
      <c r="AZ83" s="1378">
        <v>2730</v>
      </c>
    </row>
    <row r="84" spans="1:52" ht="16.5" customHeight="1">
      <c r="F84" s="929">
        <f>SUM(G4:G83)</f>
        <v>8373.6000000000022</v>
      </c>
      <c r="I84" s="930">
        <f>SUM(J4:J83)</f>
        <v>9180.480000000005</v>
      </c>
      <c r="M84" s="931"/>
      <c r="O84" s="931"/>
      <c r="S84" s="932">
        <f>SUM(T4:T83)</f>
        <v>32820480</v>
      </c>
      <c r="AC84" s="934"/>
    </row>
    <row r="85" spans="1:52" ht="16.5" customHeight="1" thickBot="1">
      <c r="M85" s="931"/>
      <c r="O85" s="931"/>
      <c r="R85" s="931"/>
      <c r="T85" s="931"/>
    </row>
    <row r="86" spans="1:52" ht="16.5" customHeight="1">
      <c r="A86" s="1986"/>
      <c r="B86" s="1987"/>
      <c r="C86" s="935" t="s">
        <v>139</v>
      </c>
      <c r="D86" s="935" t="s">
        <v>140</v>
      </c>
      <c r="E86" s="936" t="s">
        <v>17</v>
      </c>
      <c r="F86" s="905"/>
      <c r="G86" s="1969" t="s">
        <v>17394</v>
      </c>
      <c r="H86" s="1970"/>
      <c r="J86" s="1975" t="s">
        <v>17315</v>
      </c>
      <c r="K86" s="1975"/>
      <c r="L86" s="1975"/>
      <c r="M86" s="1975"/>
      <c r="N86" s="1975"/>
      <c r="O86" s="1975"/>
      <c r="P86" s="1975"/>
      <c r="Q86" s="1975"/>
      <c r="R86" s="1975"/>
      <c r="S86" s="1975"/>
      <c r="T86" s="1975"/>
      <c r="U86" s="1975"/>
    </row>
    <row r="87" spans="1:52" ht="16.5" customHeight="1">
      <c r="A87" s="1965" t="s">
        <v>258</v>
      </c>
      <c r="B87" s="1966"/>
      <c r="C87" s="546">
        <f>COUNTIF(K4:K83,A87)</f>
        <v>76</v>
      </c>
      <c r="D87" s="937">
        <f>SUMIF(K4:K83,A87,S4:S83)</f>
        <v>29531403</v>
      </c>
      <c r="E87" s="938">
        <f>AVERAGEIF(K4:K83,A87,X4:X83)</f>
        <v>3550.731500150283</v>
      </c>
      <c r="F87" s="905"/>
      <c r="G87" s="898">
        <v>2024</v>
      </c>
      <c r="H87" s="899">
        <f>COUNTIFS(AB4:AB83,"&gt;="&amp;DATE(2024,1,1),AB4:AB83,"&lt;="&amp;DATE(2024,12,31))</f>
        <v>29</v>
      </c>
      <c r="I87" s="939"/>
      <c r="J87" s="908" t="s">
        <v>17303</v>
      </c>
      <c r="K87" s="908" t="s">
        <v>17304</v>
      </c>
      <c r="L87" s="909" t="s">
        <v>17305</v>
      </c>
      <c r="M87" s="910" t="s">
        <v>17306</v>
      </c>
      <c r="N87" s="910" t="s">
        <v>17307</v>
      </c>
      <c r="O87" s="910" t="s">
        <v>17308</v>
      </c>
      <c r="P87" s="911" t="s">
        <v>17309</v>
      </c>
      <c r="Q87" s="911" t="s">
        <v>17310</v>
      </c>
      <c r="R87" s="911" t="s">
        <v>17311</v>
      </c>
      <c r="S87" s="914" t="s">
        <v>17312</v>
      </c>
      <c r="T87" s="911" t="s">
        <v>17313</v>
      </c>
      <c r="U87" s="911" t="s">
        <v>17314</v>
      </c>
    </row>
    <row r="88" spans="1:52" ht="16.5" customHeight="1">
      <c r="A88" s="1959" t="s">
        <v>102</v>
      </c>
      <c r="B88" s="1960"/>
      <c r="C88" s="940">
        <f>COUNTIF(K4:K83,A88)</f>
        <v>0</v>
      </c>
      <c r="D88" s="941">
        <f>SUMIF(K4:K83,A88,T4:T83)</f>
        <v>0</v>
      </c>
      <c r="E88" s="942" t="e">
        <f>AVERAGEIF(K4:K83,A88,Y4:Y83)</f>
        <v>#DIV/0!</v>
      </c>
      <c r="F88" s="905"/>
      <c r="G88" s="898">
        <v>2025</v>
      </c>
      <c r="H88" s="899">
        <f>COUNTIFS(AC4:AC83,"&gt;="&amp;DATE(2025,1,1),AC4:AC83,"&lt;="&amp;DATE(2025,12,31))</f>
        <v>40</v>
      </c>
      <c r="J88" s="912">
        <f>COUNTIFS(AC4:AC83,"&gt;="&amp;DATE(2024,1,1),AC4:AC83,"&lt;="&amp;DATE(2024,1,31))</f>
        <v>0</v>
      </c>
      <c r="K88" s="913">
        <f>COUNTIFS(AC4:AC83,"&gt;="&amp;DATE(2024,2,1),AC4:AC83,"&lt;="&amp;DATE(2024,2,29))</f>
        <v>0</v>
      </c>
      <c r="L88" s="913">
        <f>COUNTIFS(AC4:AC83,"&gt;="&amp;DATE(2024,3,1),AC4:AC83,"&lt;="&amp;DATE(2024,3,31))</f>
        <v>0</v>
      </c>
      <c r="M88" s="913">
        <f>COUNTIFS(AC4:AC83,"&gt;="&amp;DATE(2024,4,1),AC4:AC83,"&lt;="&amp;DATE(2024,4,31))</f>
        <v>0</v>
      </c>
      <c r="N88" s="913">
        <f>COUNTIFS(AC4:AC83,"&gt;="&amp;DATE(2024,5,1),AC4:AC83,"&lt;="&amp;DATE(2024,5,31))</f>
        <v>0</v>
      </c>
      <c r="O88" s="913">
        <f>COUNTIFS(AC4:AC83,"&gt;="&amp;DATE(2024,6,1),AC4:AC83,"&lt;="&amp;DATE(2024,6,31))</f>
        <v>0</v>
      </c>
      <c r="P88" s="913">
        <f>COUNTIFS(AC4:AC83,"&gt;="&amp;DATE(2024,7,1),AC4:AC83,"&lt;="&amp;DATE(2024,7,31))</f>
        <v>0</v>
      </c>
      <c r="Q88" s="913">
        <f>COUNTIFS(AC4:AC83,"&gt;="&amp;DATE(2024,8,1),AC4:AC83,"&lt;="&amp;DATE(2024,8,31))</f>
        <v>0</v>
      </c>
      <c r="R88" s="913">
        <f>COUNTIFS(AC4:AC83,"&gt;="&amp;DATE(2024,9,1),AC4:AC83,"&lt;="&amp;DATE(2024,9,31))</f>
        <v>0</v>
      </c>
      <c r="S88" s="1315">
        <f>COUNTIFS(AC4:AC83,"&gt;="&amp;DATE(2024,10,1),AC4:AC83,"&lt;="&amp;DATE(2024,10,31))</f>
        <v>23</v>
      </c>
      <c r="T88" s="913">
        <f>COUNTIFS(AC4:AC83,"&gt;="&amp;DATE(2024,11,1),AC4:AC83,"&lt;="&amp;DATE(2024,11,31))</f>
        <v>9</v>
      </c>
      <c r="U88" s="913">
        <f>COUNTIFS(AC4:AC83,"&gt;="&amp;DATE(2024,12,1),AC4:AC83,"&lt;="&amp;DATE(2024,12,31))</f>
        <v>4</v>
      </c>
    </row>
    <row r="89" spans="1:52" ht="16.5" customHeight="1" thickBot="1">
      <c r="A89" s="1971" t="s">
        <v>138</v>
      </c>
      <c r="B89" s="1972"/>
      <c r="C89" s="352">
        <f>COUNTIF(K4:K83,"")</f>
        <v>3</v>
      </c>
      <c r="D89" s="943">
        <f>SUMIF(K4:K83,"",T4:T83)</f>
        <v>2448000</v>
      </c>
      <c r="E89" s="944">
        <f>AVERAGEIF(K4:K83,"",Y4:Y83)</f>
        <v>4000.0250562246765</v>
      </c>
      <c r="F89" s="905"/>
      <c r="G89" s="900">
        <v>2026</v>
      </c>
      <c r="H89" s="901">
        <f>COUNTIFS(AB4:AB83,"&gt;="&amp;DATE(2026,1,1),AB4:AB83,"&lt;="&amp;DATE(2026,12,31))</f>
        <v>0</v>
      </c>
      <c r="J89" s="1462"/>
      <c r="K89" s="1463"/>
      <c r="L89" s="1463"/>
      <c r="M89" s="1463"/>
      <c r="N89" s="1463"/>
      <c r="O89" s="1463"/>
      <c r="P89" s="1463"/>
      <c r="Q89" s="1463"/>
      <c r="R89" s="1463"/>
      <c r="S89" s="1464"/>
      <c r="T89" s="1463"/>
      <c r="U89" s="1463"/>
    </row>
    <row r="90" spans="1:52" ht="16.5" customHeight="1" thickBot="1">
      <c r="A90" s="1973" t="s">
        <v>210</v>
      </c>
      <c r="B90" s="1974"/>
      <c r="C90" s="945">
        <f>COUNTIF(K4:K83,A90)</f>
        <v>1</v>
      </c>
      <c r="D90" s="946">
        <f>SUMIF(K4:K83,A90,S4:S83)</f>
        <v>768000</v>
      </c>
      <c r="E90" s="947">
        <f>AVERAGEIF(K4:K83,A90,X4:X83)</f>
        <v>4027.9016101117109</v>
      </c>
      <c r="F90" s="905"/>
      <c r="G90" s="905"/>
      <c r="J90" s="1975" t="s">
        <v>17817</v>
      </c>
      <c r="K90" s="1975"/>
      <c r="L90" s="1975"/>
      <c r="M90" s="1975"/>
      <c r="N90" s="1975"/>
      <c r="O90" s="1975"/>
      <c r="P90" s="1975"/>
      <c r="Q90" s="1975"/>
      <c r="R90" s="1975"/>
      <c r="S90" s="1975"/>
      <c r="T90" s="1975"/>
      <c r="U90" s="1975"/>
    </row>
    <row r="91" spans="1:52" s="923" customFormat="1" ht="16.5" customHeight="1" thickBot="1">
      <c r="A91" s="1984" t="s">
        <v>269</v>
      </c>
      <c r="B91" s="1985"/>
      <c r="C91" s="902">
        <f>SUBTOTAL(9,C87:C90)</f>
        <v>80</v>
      </c>
      <c r="D91" s="903">
        <f>SUM(D87:D90)</f>
        <v>32747403</v>
      </c>
      <c r="E91" s="904">
        <f>D91/I84</f>
        <v>3567.0687153612862</v>
      </c>
      <c r="F91" s="905"/>
      <c r="G91" s="906" t="s">
        <v>544</v>
      </c>
      <c r="H91" s="907">
        <f>(C90+C87)/C91</f>
        <v>0.96250000000000002</v>
      </c>
      <c r="I91" s="893"/>
      <c r="J91" s="908" t="s">
        <v>17303</v>
      </c>
      <c r="K91" s="908" t="s">
        <v>17304</v>
      </c>
      <c r="L91" s="909" t="s">
        <v>17305</v>
      </c>
      <c r="M91" s="910" t="s">
        <v>17306</v>
      </c>
      <c r="N91" s="910" t="s">
        <v>17307</v>
      </c>
      <c r="O91" s="910" t="s">
        <v>17308</v>
      </c>
      <c r="P91" s="911" t="s">
        <v>17309</v>
      </c>
      <c r="Q91" s="911" t="s">
        <v>17310</v>
      </c>
      <c r="R91" s="911" t="s">
        <v>17311</v>
      </c>
      <c r="S91" s="914" t="s">
        <v>17312</v>
      </c>
      <c r="T91" s="911" t="s">
        <v>17313</v>
      </c>
      <c r="U91" s="911" t="s">
        <v>17314</v>
      </c>
      <c r="V91" s="893"/>
      <c r="W91" s="893"/>
      <c r="X91" s="893"/>
      <c r="Y91" s="893"/>
      <c r="Z91" s="933"/>
      <c r="AA91" s="933"/>
      <c r="AB91" s="933"/>
      <c r="AC91" s="933"/>
      <c r="AD91" s="1244"/>
      <c r="AE91" s="933"/>
      <c r="AF91" s="933"/>
      <c r="AG91" s="933"/>
      <c r="AH91" s="934"/>
      <c r="AI91" s="1244"/>
      <c r="AJ91" s="893"/>
      <c r="AK91" s="893"/>
      <c r="AL91" s="893"/>
      <c r="AM91" s="893"/>
      <c r="AN91" s="893"/>
      <c r="AO91" s="893"/>
      <c r="AP91" s="893"/>
      <c r="AQ91" s="893"/>
      <c r="AR91" s="893"/>
      <c r="AS91" s="893"/>
      <c r="AT91" s="893"/>
      <c r="AU91" s="893"/>
      <c r="AV91" s="893"/>
      <c r="AW91" s="893"/>
      <c r="AX91" s="893"/>
    </row>
    <row r="92" spans="1:52" ht="16.5" customHeight="1" thickBot="1">
      <c r="A92" s="905"/>
      <c r="B92" s="905"/>
      <c r="C92" s="905"/>
      <c r="D92" s="905"/>
      <c r="E92" s="905"/>
      <c r="F92" s="905"/>
      <c r="G92" s="905"/>
      <c r="H92" s="905"/>
      <c r="J92" s="912">
        <f>COUNTIFS(AC4:AC83,"&gt;="&amp;DATE(2025,1,1),AC4:AC83,"&lt;="&amp;DATE(2025,1,31))</f>
        <v>4</v>
      </c>
      <c r="K92" s="913">
        <f>COUNTIFS(AC4:AC83,"&gt;="&amp;DATE(2025,2,1),AC4:AC83,"&lt;="&amp;DATE(2025,2,28))</f>
        <v>0</v>
      </c>
      <c r="L92" s="913">
        <f>COUNTIFS(AC4:AC83,"&gt;="&amp;DATE(2025,3,1),AC4:AC83,"&lt;="&amp;DATE(2025,3,31))</f>
        <v>5</v>
      </c>
      <c r="M92" s="913">
        <f>COUNTIFS(AC8:AC87,"&gt;="&amp;DATE(2025,4,1),AC8:AC87,"&lt;="&amp;DATE(2025,4,30))</f>
        <v>8</v>
      </c>
      <c r="N92" s="913">
        <f>COUNTIFS(AC4:AC83,"&gt;="&amp;DATE(2025,5,1),AC4:AC83,"&lt;="&amp;DATE(2025,5,31))</f>
        <v>8</v>
      </c>
      <c r="O92" s="913">
        <f>COUNTIFS(AC8:AC87,"&gt;="&amp;DATE(2025,6,1),AC8:AC87,"&lt;="&amp;DATE(2025,6,30))</f>
        <v>1</v>
      </c>
      <c r="P92" s="913">
        <f>COUNTIFS(AC4:AC83,"&gt;="&amp;DATE(2025,7,1),AC4:AC83,"&lt;="&amp;DATE(2025,7,31))</f>
        <v>4</v>
      </c>
      <c r="Q92" s="913">
        <f>COUNTIFS(AC4:AC83,"&gt;="&amp;DATE(2025,8,1),AC4:AC83,"&lt;="&amp;DATE(2025,8,31))</f>
        <v>1</v>
      </c>
      <c r="R92" s="913">
        <f>COUNTIFS(AC4:AC87,"&gt;="&amp;DATE(2025,9,1),AC4:AC87,"&lt;="&amp;DATE(2025,9,30))</f>
        <v>1</v>
      </c>
      <c r="S92" s="1315">
        <f>COUNTIFS(AC4:AC83,"&gt;="&amp;DATE(2025,10,1),AC4:AC83,"&lt;="&amp;DATE(2025,10,31))</f>
        <v>5</v>
      </c>
      <c r="T92" s="913">
        <f>COUNTIFS(AC8:AC87,"&gt;="&amp;DATE(2025,11,1),AC8:AC87,"&lt;="&amp;DATE(2025,11,30))</f>
        <v>3</v>
      </c>
      <c r="U92" s="913">
        <f>COUNTIFS(AC4:AC83,"&gt;="&amp;DATE(2025,12,1),AC4:AC83,"&lt;="&amp;DATE(2025,12,31))</f>
        <v>0</v>
      </c>
      <c r="X92" s="1244"/>
      <c r="Z92" s="1244"/>
      <c r="AA92" s="1574"/>
      <c r="AB92" s="1244"/>
    </row>
    <row r="93" spans="1:52" ht="16.5" customHeight="1" thickBot="1">
      <c r="A93" s="1981" t="s">
        <v>139</v>
      </c>
      <c r="B93" s="1982"/>
      <c r="C93" s="935" t="s">
        <v>90</v>
      </c>
      <c r="D93" s="935" t="s">
        <v>91</v>
      </c>
      <c r="E93" s="935" t="s">
        <v>89</v>
      </c>
      <c r="F93" s="948" t="s">
        <v>93</v>
      </c>
      <c r="G93" s="948" t="s">
        <v>213</v>
      </c>
      <c r="H93" s="936" t="s">
        <v>141</v>
      </c>
      <c r="S93" s="931"/>
      <c r="U93" s="931"/>
      <c r="Y93" s="933"/>
      <c r="Z93" s="893"/>
      <c r="AE93" s="934"/>
      <c r="AG93" s="934"/>
      <c r="AH93" s="893"/>
    </row>
    <row r="94" spans="1:52" ht="16.5" customHeight="1" thickBot="1">
      <c r="A94" s="1965" t="s">
        <v>258</v>
      </c>
      <c r="B94" s="1966"/>
      <c r="C94" s="546">
        <f>COUNTIFS(K4:K83,A94,D4:D83,C93)</f>
        <v>9</v>
      </c>
      <c r="D94" s="546">
        <f>COUNTIFS(K4:K83,A94,D4:D83,D93)</f>
        <v>35</v>
      </c>
      <c r="E94" s="546">
        <f>COUNTIFS(K4:K83,A94,D4:D83,E93)</f>
        <v>31</v>
      </c>
      <c r="F94" s="546">
        <f>COUNTIFS(K4:K83,A94,D4:D83,F93)</f>
        <v>1</v>
      </c>
      <c r="G94" s="546">
        <f>COUNTIFS(K4:K83,A94,D4:D83,G93)</f>
        <v>0</v>
      </c>
      <c r="H94" s="949">
        <f>SUM(C94:G94)</f>
        <v>76</v>
      </c>
      <c r="S94" s="931"/>
      <c r="U94" s="931"/>
      <c r="Y94" s="933"/>
      <c r="Z94" s="893"/>
      <c r="AE94" s="934"/>
      <c r="AG94" s="934"/>
      <c r="AH94" s="893"/>
    </row>
    <row r="95" spans="1:52" ht="16.5" customHeight="1" thickBot="1">
      <c r="A95" s="1959" t="s">
        <v>102</v>
      </c>
      <c r="B95" s="1983"/>
      <c r="C95" s="940">
        <f>COUNTIFS(K4:K83,A95,D4:D83,C93)</f>
        <v>0</v>
      </c>
      <c r="D95" s="940">
        <f>COUNTIFS(K4:K83,A95,D4:D83,D93)</f>
        <v>0</v>
      </c>
      <c r="E95" s="940">
        <f>COUNTIFS(K4:K83,A95,D4:D83,E93)</f>
        <v>0</v>
      </c>
      <c r="F95" s="950">
        <f>COUNTIFS(K4:K83,A95,D4:D83,F93)</f>
        <v>0</v>
      </c>
      <c r="G95" s="950">
        <f>COUNTIFS(K4:K83,A95,D4:D83,G93)</f>
        <v>0</v>
      </c>
      <c r="H95" s="951">
        <f>SUM(C95:G95)</f>
        <v>0</v>
      </c>
      <c r="J95" s="1890" t="s">
        <v>17437</v>
      </c>
      <c r="K95" s="1891"/>
      <c r="L95" s="1891"/>
      <c r="M95" s="1892"/>
      <c r="N95" s="1"/>
      <c r="O95" s="1890" t="s">
        <v>17441</v>
      </c>
      <c r="P95" s="1891"/>
      <c r="Q95" s="1891"/>
      <c r="R95" s="1892"/>
      <c r="S95" s="931"/>
      <c r="U95" s="931"/>
      <c r="V95" s="931"/>
      <c r="AA95" s="893"/>
    </row>
    <row r="96" spans="1:52" ht="16.5" customHeight="1" thickBot="1">
      <c r="A96" s="1957" t="s">
        <v>138</v>
      </c>
      <c r="B96" s="1976"/>
      <c r="C96" s="352">
        <f>COUNTIFS(K4:K83,"",D4:D83,C93)</f>
        <v>0</v>
      </c>
      <c r="D96" s="352">
        <f>COUNTIFS(K4:K83,"",D4:D83,D93)</f>
        <v>0</v>
      </c>
      <c r="E96" s="352">
        <f>COUNTIFS(K4:K83,"",D4:D83,E93)</f>
        <v>0</v>
      </c>
      <c r="F96" s="952">
        <f>COUNTIFS(K4:K83,"",D4:D83,F93)</f>
        <v>3</v>
      </c>
      <c r="G96" s="952">
        <f>COUNTIFS(K4:K83,"",D4:D83,G93)</f>
        <v>0</v>
      </c>
      <c r="H96" s="953">
        <f>SUM(C96:G96)</f>
        <v>3</v>
      </c>
      <c r="J96" s="1010"/>
      <c r="K96" s="1011" t="s">
        <v>17438</v>
      </c>
      <c r="L96" s="1011">
        <v>2024</v>
      </c>
      <c r="M96" s="1011" t="s">
        <v>17444</v>
      </c>
      <c r="N96" s="1"/>
      <c r="O96" s="1010"/>
      <c r="P96" s="1011" t="s">
        <v>17438</v>
      </c>
      <c r="Q96" s="1011">
        <v>2024</v>
      </c>
      <c r="R96" s="1013" t="s">
        <v>17444</v>
      </c>
      <c r="U96" s="931"/>
      <c r="V96" s="931"/>
      <c r="AA96" s="893"/>
    </row>
    <row r="97" spans="1:34" ht="16.5" customHeight="1" thickBot="1">
      <c r="A97" s="1977" t="s">
        <v>210</v>
      </c>
      <c r="B97" s="1978"/>
      <c r="C97" s="945">
        <f>COUNTIFS(K4:K83,A97,D4:D83,C93)</f>
        <v>0</v>
      </c>
      <c r="D97" s="945">
        <f>COUNTIFS(K4:K83,A97,D4:D83,D93)</f>
        <v>0</v>
      </c>
      <c r="E97" s="945">
        <f>COUNTIFS(K4:K83,A97,D4:D83,E93)</f>
        <v>0</v>
      </c>
      <c r="F97" s="954">
        <f>COUNTIFS(K4:K83,A97,D4:D83,F93)</f>
        <v>1</v>
      </c>
      <c r="G97" s="954">
        <f>COUNTIFS(K4:K83,A97,D4:D83,G93)</f>
        <v>0</v>
      </c>
      <c r="H97" s="955">
        <f>SUM(C97:G97)</f>
        <v>1</v>
      </c>
      <c r="J97" s="31" t="s">
        <v>17439</v>
      </c>
      <c r="K97" s="129" cm="1">
        <f t="array" ref="K97">COUNTIFS(K4:K83,CPCV,AJ4:AJ83,J97)</f>
        <v>0</v>
      </c>
      <c r="L97" s="129">
        <f>COUNTIFS(AD30:AD83,"&gt;="&amp;DATE(2024,1,1),AD30:AD83,"&lt;="&amp;DATE(2024,12,31),AK30:AK83,J97)</f>
        <v>0</v>
      </c>
      <c r="M97" s="343" t="e">
        <f>K97/(+K97+K98+K99)</f>
        <v>#DIV/0!</v>
      </c>
      <c r="N97" s="1"/>
      <c r="O97" s="34" t="s">
        <v>265</v>
      </c>
      <c r="P97" s="129">
        <f>COUNTIFS($K$4:$K$83,$K$73,$AQ$4:$AQ$83,O97)</f>
        <v>58</v>
      </c>
      <c r="Q97" s="129">
        <f>COUNTIFS(AD30:AD83,"&gt;="&amp;DATE(2024,1,1),AD30:AD83,"&lt;="&amp;DATE(2024,12,31),$AQ$4:$AQ$57,O97)</f>
        <v>0</v>
      </c>
      <c r="R97" s="1014">
        <f>P97/(+P97+P98+P99)</f>
        <v>0.86567164179104472</v>
      </c>
      <c r="U97" s="931"/>
      <c r="V97" s="931"/>
      <c r="AA97" s="893"/>
    </row>
    <row r="98" spans="1:34" ht="16.5" customHeight="1" thickBot="1">
      <c r="A98" s="1979" t="s">
        <v>141</v>
      </c>
      <c r="B98" s="1980"/>
      <c r="C98" s="956">
        <f t="shared" ref="C98:H98" si="22">SUM(C94:C97)</f>
        <v>9</v>
      </c>
      <c r="D98" s="956">
        <f t="shared" si="22"/>
        <v>35</v>
      </c>
      <c r="E98" s="956">
        <f t="shared" si="22"/>
        <v>31</v>
      </c>
      <c r="F98" s="956">
        <f t="shared" si="22"/>
        <v>5</v>
      </c>
      <c r="G98" s="956">
        <f t="shared" si="22"/>
        <v>0</v>
      </c>
      <c r="H98" s="901">
        <f t="shared" si="22"/>
        <v>80</v>
      </c>
      <c r="J98" s="31" t="s">
        <v>150</v>
      </c>
      <c r="K98" s="129" cm="1">
        <f t="array" ref="K98">COUNTIFS(L30:L83,CPCV,AK30:AK83,J98)</f>
        <v>0</v>
      </c>
      <c r="L98" s="129">
        <f>COUNTIFS(AD30:AD83,"&gt;="&amp;DATE(2024,1,1),AD30:AD83,"&lt;="&amp;DATE(2024,12,31),AK30:AK83,J98)</f>
        <v>0</v>
      </c>
      <c r="M98" s="343" t="e">
        <f>K98/(+K97+K98+K99)</f>
        <v>#DIV/0!</v>
      </c>
      <c r="N98" s="1"/>
      <c r="O98" s="34" t="s">
        <v>517</v>
      </c>
      <c r="P98" s="129">
        <f>COUNTIFS($K$4:$K$83,$K$73,$AQ$4:$AQ$83,O98)</f>
        <v>5</v>
      </c>
      <c r="Q98" s="129">
        <f>COUNTIFS(AD30:AD83,"&gt;="&amp;DATE(2024,1,1),AD30:AD83,"&lt;="&amp;DATE(2024,12,31),$AQ$4:$AQ$57,O98)</f>
        <v>0</v>
      </c>
      <c r="R98" s="1014">
        <f>P98/(+P97+P98+P99)</f>
        <v>7.4626865671641784E-2</v>
      </c>
      <c r="V98" s="931"/>
      <c r="AA98" s="893"/>
    </row>
    <row r="99" spans="1:34" ht="16.5" customHeight="1">
      <c r="A99" s="905"/>
      <c r="B99" s="905"/>
      <c r="C99" s="905"/>
      <c r="D99" s="905"/>
      <c r="E99" s="905"/>
      <c r="F99" s="905"/>
      <c r="G99" s="905"/>
      <c r="H99" s="905"/>
      <c r="J99" s="665" t="s">
        <v>17440</v>
      </c>
      <c r="K99" s="129" cm="1">
        <f t="array" ref="K99">COUNTIFS(L30:L83,CPCV,AK30:AK83,J99)</f>
        <v>0</v>
      </c>
      <c r="L99" s="129">
        <f>COUNTIFS(AD30:AD83,"&gt;="&amp;DATE(2024,1,1),AD30:AD83,"&lt;="&amp;DATE(2024,12,31),AK30:AK83,J99)</f>
        <v>0</v>
      </c>
      <c r="M99" s="343" t="e">
        <f>K99/(+K97+K98+K99)</f>
        <v>#DIV/0!</v>
      </c>
      <c r="N99" s="1"/>
      <c r="O99" s="34" t="s">
        <v>565</v>
      </c>
      <c r="P99" s="129">
        <f>COUNTIFS($K$4:$K$83,$K$73,$AQ$4:$AQ$83,O99)</f>
        <v>4</v>
      </c>
      <c r="Q99" s="129">
        <f>COUNTIFS(AD30:AD83,"&gt;="&amp;DATE(2024,1,1),AD30:AD83,"&lt;="&amp;DATE(2024,12,31),$AQ$4:$AQ$57,O99)</f>
        <v>0</v>
      </c>
      <c r="R99" s="1014">
        <f>P99/(+P97+P98+P99)</f>
        <v>5.9701492537313432E-2</v>
      </c>
      <c r="V99" s="931"/>
      <c r="AA99" s="893"/>
    </row>
    <row r="100" spans="1:34" ht="16.5" customHeight="1" thickBot="1">
      <c r="A100" s="905"/>
      <c r="B100" s="905"/>
      <c r="C100" s="905"/>
      <c r="D100" s="905"/>
      <c r="E100" s="905"/>
      <c r="F100" s="905"/>
      <c r="G100" s="905"/>
      <c r="O100" s="1501" t="s">
        <v>17677</v>
      </c>
      <c r="P100" s="129">
        <f>COUNTIFS($K$4:$K$83,$K$73,$AQ$4:$AQ$83,O100)</f>
        <v>1</v>
      </c>
      <c r="Q100" s="1501"/>
      <c r="R100" s="1501"/>
      <c r="T100" s="1244"/>
      <c r="W100" s="933"/>
      <c r="X100" s="934"/>
      <c r="Y100" s="934"/>
      <c r="AA100" s="934"/>
    </row>
    <row r="101" spans="1:34" ht="16.5" customHeight="1">
      <c r="A101" s="1963" t="s">
        <v>142</v>
      </c>
      <c r="B101" s="1964"/>
      <c r="C101" s="935" t="s">
        <v>90</v>
      </c>
      <c r="D101" s="935" t="s">
        <v>91</v>
      </c>
      <c r="E101" s="935" t="s">
        <v>89</v>
      </c>
      <c r="F101" s="948" t="s">
        <v>93</v>
      </c>
      <c r="G101" s="948" t="s">
        <v>213</v>
      </c>
      <c r="H101" s="936" t="s">
        <v>141</v>
      </c>
      <c r="O101" s="1501" t="s">
        <v>17651</v>
      </c>
      <c r="P101" s="129">
        <f>COUNTIFS($K$4:$K$83,$K$73,$AQ$4:$AQ$83,O101)</f>
        <v>1</v>
      </c>
      <c r="Q101" s="1501"/>
      <c r="R101" s="1501"/>
      <c r="T101" s="1244"/>
      <c r="W101" s="933"/>
      <c r="X101" s="934"/>
      <c r="Y101" s="934"/>
      <c r="AA101" s="934"/>
    </row>
    <row r="102" spans="1:34" ht="16.5" customHeight="1">
      <c r="A102" s="1965" t="s">
        <v>258</v>
      </c>
      <c r="B102" s="1966"/>
      <c r="C102" s="937">
        <f>AVERAGEIFS(X4:X83,K4:K83,A102,D4:D83,C101)</f>
        <v>3732.1161914324671</v>
      </c>
      <c r="D102" s="937">
        <f>AVERAGEIFS(X4:X83,K4:K83,A102,D4:D83,D101)</f>
        <v>3620.5845290620264</v>
      </c>
      <c r="E102" s="937">
        <f>AVERAGEIFS(X4:X83,K4:K83,A102,D4:D83,E101)</f>
        <v>3403.9814252904971</v>
      </c>
      <c r="F102" s="937">
        <f>AVERAGEIFS(X4:X83,K4:K83,A102,D4:D83,F101)</f>
        <v>4022.665587352983</v>
      </c>
      <c r="G102" s="957" t="e">
        <f>AVERAGEIFS(X4:X83,K4:K83,A102,D4:D83,G101)</f>
        <v>#DIV/0!</v>
      </c>
      <c r="H102" s="938">
        <f>AVERAGEIF(K4:K83,A102,X4:X83)</f>
        <v>3550.731500150283</v>
      </c>
      <c r="L102" s="1308"/>
      <c r="M102" s="1308"/>
      <c r="W102" s="933"/>
      <c r="X102" s="934"/>
      <c r="Y102" s="934"/>
      <c r="AA102" s="934"/>
    </row>
    <row r="103" spans="1:34" ht="16.5" customHeight="1">
      <c r="A103" s="1959" t="s">
        <v>102</v>
      </c>
      <c r="B103" s="1960"/>
      <c r="C103" s="941" t="e">
        <f>AVERAGEIFS(Y4:Y83,K4:K83,A103,D4:D83,C101)</f>
        <v>#DIV/0!</v>
      </c>
      <c r="D103" s="941" t="e">
        <f>AVERAGEIFS(Y4:Y83,K4:K83,A103,D4:D83,D101)</f>
        <v>#DIV/0!</v>
      </c>
      <c r="E103" s="941" t="e">
        <f>AVERAGEIFS(Y4:Y83,K4:K83,A103,D4:D83,E101)</f>
        <v>#DIV/0!</v>
      </c>
      <c r="F103" s="950" t="e">
        <f>AVERAGEIFS(Y4:Y83,K4:K83,A103,D4:D83,F101)</f>
        <v>#DIV/0!</v>
      </c>
      <c r="G103" s="950" t="e">
        <f>AVERAGEIFS(Y4:Y83,K4:K83,A103,D4:D83,G101)</f>
        <v>#DIV/0!</v>
      </c>
      <c r="H103" s="942" t="e">
        <f>AVERAGEIF(K4:K83,A103,Y4:Y83)</f>
        <v>#DIV/0!</v>
      </c>
      <c r="J103" s="1308"/>
      <c r="K103" s="1307"/>
      <c r="L103" s="1308"/>
      <c r="M103" s="1308"/>
      <c r="W103" s="933"/>
      <c r="X103" s="934"/>
      <c r="Y103" s="934"/>
      <c r="AA103" s="934"/>
    </row>
    <row r="104" spans="1:34" ht="16.5" customHeight="1">
      <c r="A104" s="1967" t="s">
        <v>138</v>
      </c>
      <c r="B104" s="1968"/>
      <c r="C104" s="958" t="e">
        <f>AVERAGEIFS(Y4:Y83,K4:K83,"",D4:D83,C101)</f>
        <v>#DIV/0!</v>
      </c>
      <c r="D104" s="958" t="e">
        <f>AVERAGEIFS(Y4:Y83,K4:K83,"",D4:D83,D101)</f>
        <v>#DIV/0!</v>
      </c>
      <c r="E104" s="958" t="e">
        <f>AVERAGEIFS(Y4:Y83,K4:K83,"",D4:D83,E101)</f>
        <v>#DIV/0!</v>
      </c>
      <c r="F104" s="959">
        <f>AVERAGEIFS(Y4:Y83,K4:K83,"",D4:D83,F101)</f>
        <v>4000.0250562246765</v>
      </c>
      <c r="G104" s="959" t="e">
        <f>AVERAGEIFS(Y4:Y83,K4:K83,"",D4:D83,G101)</f>
        <v>#DIV/0!</v>
      </c>
      <c r="H104" s="960">
        <f>AVERAGEIF(K4:K83,"",Y4:Y83)</f>
        <v>4000.0250562246765</v>
      </c>
      <c r="J104" s="1308"/>
      <c r="K104" s="1307"/>
      <c r="L104" s="1308"/>
      <c r="M104" s="1308"/>
      <c r="W104" s="933"/>
      <c r="X104" s="934"/>
      <c r="Y104" s="934"/>
      <c r="AA104" s="934"/>
      <c r="AE104" s="893"/>
      <c r="AG104" s="893"/>
      <c r="AH104" s="893"/>
    </row>
    <row r="105" spans="1:34" ht="16.5" customHeight="1" thickBot="1">
      <c r="A105" s="1961" t="s">
        <v>210</v>
      </c>
      <c r="B105" s="1962"/>
      <c r="C105" s="961" t="e">
        <f>AVERAGEIFS(X4:X83,K4:K83,A105,D4:D83,C101)</f>
        <v>#DIV/0!</v>
      </c>
      <c r="D105" s="961" t="e">
        <f>AVERAGEIFS(X4:X83,K4:K83,A105,D4:D83,D101)</f>
        <v>#DIV/0!</v>
      </c>
      <c r="E105" s="961" t="e">
        <f>AVERAGEIFS(X4:X83,K4:K83,A105,D4:D83,E101)</f>
        <v>#DIV/0!</v>
      </c>
      <c r="F105" s="962">
        <f>AVERAGEIFS(X4:X83,K4:K83,A105,D4:D83,F101)</f>
        <v>4027.9016101117109</v>
      </c>
      <c r="G105" s="962" t="e">
        <f>AVERAGEIFS(X4:X83,K4:K83,A105,D4:D83,G101)</f>
        <v>#DIV/0!</v>
      </c>
      <c r="H105" s="963">
        <f>AVERAGEIF(K4:K83,A105,X4:X83)</f>
        <v>4027.9016101117109</v>
      </c>
      <c r="J105" s="1308"/>
      <c r="K105" s="1307"/>
      <c r="L105" s="1308"/>
      <c r="M105" s="1308"/>
      <c r="W105" s="933"/>
      <c r="X105" s="934"/>
      <c r="Y105" s="934"/>
      <c r="AA105" s="934"/>
      <c r="AE105" s="893"/>
      <c r="AG105" s="893"/>
      <c r="AH105" s="893"/>
    </row>
    <row r="106" spans="1:34" ht="16.5" customHeight="1" thickBot="1">
      <c r="J106" s="1308"/>
      <c r="K106" s="1307"/>
      <c r="L106" s="1308"/>
      <c r="M106" s="1308"/>
      <c r="T106" s="931"/>
    </row>
    <row r="107" spans="1:34" ht="16.5" customHeight="1">
      <c r="A107" s="1963" t="s">
        <v>192</v>
      </c>
      <c r="B107" s="1964"/>
      <c r="C107" s="935" t="s">
        <v>90</v>
      </c>
      <c r="D107" s="935" t="s">
        <v>91</v>
      </c>
      <c r="E107" s="935" t="s">
        <v>89</v>
      </c>
      <c r="F107" s="948" t="s">
        <v>93</v>
      </c>
      <c r="G107" s="948" t="s">
        <v>213</v>
      </c>
      <c r="H107" s="936" t="s">
        <v>141</v>
      </c>
      <c r="J107" s="1308"/>
      <c r="K107" s="1307"/>
      <c r="L107" s="1308"/>
      <c r="M107" s="1308"/>
    </row>
    <row r="108" spans="1:34" ht="16.5" customHeight="1">
      <c r="A108" s="1965" t="s">
        <v>258</v>
      </c>
      <c r="B108" s="1966"/>
      <c r="C108" s="937">
        <f>AVERAGEIFS(S4:S83,K4:K83,A108,D4:D83,C107)</f>
        <v>258368.88888888888</v>
      </c>
      <c r="D108" s="937">
        <f>AVERAGEIFS(S4:S83,K4:K83,A108,D4:D83,D107)</f>
        <v>345123.8</v>
      </c>
      <c r="E108" s="937">
        <f>AVERAGEIFS(S4:S83,K4:K83,A108,D4:D83,E107)</f>
        <v>460708.06451612903</v>
      </c>
      <c r="F108" s="964">
        <f>AVERAGEIFS(S4:S83,K4:K83,A108,D4:D83,F107)</f>
        <v>844800</v>
      </c>
      <c r="G108" s="964" t="e">
        <f>AVERAGEIFS(S4:S83,K4:K83,A108,D4:D83,G107)</f>
        <v>#DIV/0!</v>
      </c>
      <c r="H108" s="938">
        <f>AVERAGEIF(K4:K83,A108,S4:S83)</f>
        <v>388571.09210526315</v>
      </c>
      <c r="J108" s="1308"/>
      <c r="K108" s="1307"/>
      <c r="L108" s="1308"/>
      <c r="M108" s="1308"/>
    </row>
    <row r="109" spans="1:34" ht="16.5" customHeight="1">
      <c r="A109" s="1959" t="s">
        <v>102</v>
      </c>
      <c r="B109" s="1960"/>
      <c r="C109" s="941" t="e">
        <f>AVERAGEIFS(U4:U83,K4:K83,A109,D4:D83,C107)</f>
        <v>#DIV/0!</v>
      </c>
      <c r="D109" s="941" t="e">
        <f>AVERAGEIFS(U4:U83,K4:K83,A109,D4:D83,D107)</f>
        <v>#DIV/0!</v>
      </c>
      <c r="E109" s="941" t="e">
        <f>AVERAGEIFS(U4:U83,K4:K83,A109,D4:D83,E107)</f>
        <v>#DIV/0!</v>
      </c>
      <c r="F109" s="965" t="e">
        <f>AVERAGEIFS(U4:U83,K4:K83,A109,D4:D83,F107)</f>
        <v>#DIV/0!</v>
      </c>
      <c r="G109" s="965" t="e">
        <f>AVERAGEIFS(U4:U83,K4:K83,A109,D4:D83,G107)</f>
        <v>#DIV/0!</v>
      </c>
      <c r="H109" s="942" t="e">
        <f>AVERAGEIF(K4:K83,A109,S4:S83)</f>
        <v>#DIV/0!</v>
      </c>
      <c r="J109" s="1308"/>
      <c r="K109" s="1307"/>
      <c r="L109" s="1308"/>
      <c r="M109" s="1308"/>
    </row>
    <row r="110" spans="1:34" ht="16.5" customHeight="1" thickBot="1">
      <c r="A110" s="1957" t="s">
        <v>138</v>
      </c>
      <c r="B110" s="1958"/>
      <c r="C110" s="966" t="e">
        <f>AVERAGEIFS(T4:T83,K4:K83,"",D4:D83,C107)</f>
        <v>#DIV/0!</v>
      </c>
      <c r="D110" s="966" t="e">
        <f>AVERAGEIFS(T4:T83,K4:K83,"",D4:D83,D107)</f>
        <v>#DIV/0!</v>
      </c>
      <c r="E110" s="966" t="e">
        <f>AVERAGEIFS(T4:T83,K4:K83,"",D4:D83,E107)</f>
        <v>#DIV/0!</v>
      </c>
      <c r="F110" s="967">
        <f>AVERAGEIFS(T4:T83,K4:K83,"",D4:D83,F107)</f>
        <v>816000</v>
      </c>
      <c r="G110" s="967" t="e">
        <f>AVERAGEIFS(U4:U83,K4:K83,"",D4:D83,G107)</f>
        <v>#DIV/0!</v>
      </c>
      <c r="H110" s="968">
        <f>AVERAGEIF(K4:K83,"",T4:T83)</f>
        <v>816000</v>
      </c>
      <c r="J110" s="1308"/>
      <c r="K110" s="1307"/>
      <c r="L110" s="1308"/>
      <c r="M110" s="1308"/>
    </row>
    <row r="111" spans="1:34" ht="16.5" customHeight="1" thickBot="1">
      <c r="A111" s="1961" t="s">
        <v>210</v>
      </c>
      <c r="B111" s="1962"/>
      <c r="C111" s="961" t="e">
        <f>AVERAGEIFS(S4:S83,K4:K83,A111,D4:D83,C107)</f>
        <v>#DIV/0!</v>
      </c>
      <c r="D111" s="961" t="e">
        <f>AVERAGEIFS(S4:S83,K4:K83,A111,D4:D83,D107)</f>
        <v>#DIV/0!</v>
      </c>
      <c r="E111" s="961" t="e">
        <f>AVERAGEIFS(S4:S83,K4:K83,A111,D4:D83,E107)</f>
        <v>#DIV/0!</v>
      </c>
      <c r="F111" s="962">
        <f>AVERAGEIFS(S4:S83,K4:K83,A111,D4:D83,F107)</f>
        <v>768000</v>
      </c>
      <c r="G111" s="962" t="e">
        <f>AVERAGEIFS(S4:S83,K4:K83,A111,D4:D83,G107)</f>
        <v>#DIV/0!</v>
      </c>
      <c r="H111" s="963">
        <f>AVERAGEIF(K4:K83,A111,S4:S83)</f>
        <v>768000</v>
      </c>
      <c r="J111" s="1308"/>
      <c r="K111" s="1307"/>
      <c r="L111" s="1308"/>
      <c r="M111" s="1308"/>
    </row>
    <row r="112" spans="1:34" ht="16.5" customHeight="1" thickBot="1">
      <c r="J112" s="1308"/>
      <c r="K112" s="1307"/>
      <c r="L112" s="1308"/>
      <c r="M112" s="1308"/>
    </row>
    <row r="113" spans="1:20" ht="16.5" customHeight="1">
      <c r="A113" s="1963" t="s">
        <v>234</v>
      </c>
      <c r="B113" s="1964"/>
      <c r="C113" s="935" t="s">
        <v>90</v>
      </c>
      <c r="D113" s="935" t="s">
        <v>91</v>
      </c>
      <c r="E113" s="935" t="s">
        <v>89</v>
      </c>
      <c r="F113" s="948" t="s">
        <v>93</v>
      </c>
      <c r="G113" s="948" t="s">
        <v>213</v>
      </c>
      <c r="H113" s="936" t="s">
        <v>141</v>
      </c>
      <c r="J113" s="1308"/>
      <c r="K113" s="1307"/>
      <c r="L113" s="1308"/>
      <c r="M113" s="1308"/>
    </row>
    <row r="114" spans="1:20" ht="16.5" customHeight="1">
      <c r="A114" s="1965" t="s">
        <v>258</v>
      </c>
      <c r="B114" s="1966"/>
      <c r="C114" s="549">
        <f>AVERAGEIFS(J4:J83,D4:D83,C113,K4:K83,A114)</f>
        <v>69.268888888888867</v>
      </c>
      <c r="D114" s="549">
        <f>AVERAGEIFS(J4:J83,D4:D83,D113,K4:K83,A114)</f>
        <v>95.562857142857169</v>
      </c>
      <c r="E114" s="549">
        <f>AVERAGEIFS(J4:J83,D4:D83,E113,K4:K83,A114)</f>
        <v>135.50935483870964</v>
      </c>
      <c r="F114" s="969">
        <f>AVERAGEIFS(J4:J83,D4:D83,F113,K4:K83,A114)</f>
        <v>210.01000000000002</v>
      </c>
      <c r="G114" s="969" t="e">
        <f>AVERAGEIFS(J4:J83,D4:D83,G113,K4:K83,A114)</f>
        <v>#DIV/0!</v>
      </c>
      <c r="H114" s="970">
        <f>AVERAGEIF(K4:K83,A114,J4:J83)</f>
        <v>110.2489473684211</v>
      </c>
      <c r="J114" s="1308"/>
      <c r="K114" s="1307"/>
      <c r="L114" s="1308"/>
      <c r="M114" s="1308"/>
    </row>
    <row r="115" spans="1:20" ht="16.5" customHeight="1">
      <c r="A115" s="1959" t="s">
        <v>102</v>
      </c>
      <c r="B115" s="1960"/>
      <c r="C115" s="971" t="e">
        <f>AVERAGEIFS(J4:J83,D4:D83,C113,K4:K83,A115)</f>
        <v>#DIV/0!</v>
      </c>
      <c r="D115" s="971" t="e">
        <f>AVERAGEIFS(J4:J83,D4:D83,D113,K4:K83,A115)</f>
        <v>#DIV/0!</v>
      </c>
      <c r="E115" s="971" t="e">
        <f>AVERAGEIFS(J4:J83,D4:D83,E113,K4:K83,A115)</f>
        <v>#DIV/0!</v>
      </c>
      <c r="F115" s="972" t="e">
        <f>AVERAGEIFS(J4:J83,D4:D83,F113,K4:K83,A115)</f>
        <v>#DIV/0!</v>
      </c>
      <c r="G115" s="972" t="e">
        <f>AVERAGEIFS(J4:J83,D4:D83,G113,K4:K83,A115)</f>
        <v>#DIV/0!</v>
      </c>
      <c r="H115" s="973" t="e">
        <f>AVERAGEIF(K4:K83,A115,J4:J83)</f>
        <v>#DIV/0!</v>
      </c>
      <c r="M115" s="1308"/>
    </row>
    <row r="116" spans="1:20" ht="16.5" customHeight="1" thickBot="1">
      <c r="A116" s="1957" t="s">
        <v>138</v>
      </c>
      <c r="B116" s="1958"/>
      <c r="C116" s="974" t="e">
        <f>AVERAGEIFS(J4:J83,D4:D83,C113,K4:K83,"")</f>
        <v>#DIV/0!</v>
      </c>
      <c r="D116" s="974" t="e">
        <f>AVERAGEIFS(J4:J83,D4:D83,D113,K4:K83,"")</f>
        <v>#DIV/0!</v>
      </c>
      <c r="E116" s="974" t="e">
        <f>AVERAGEIFS(J4:J83,D4:D83,E113,K4:K83,"")</f>
        <v>#DIV/0!</v>
      </c>
      <c r="F116" s="975">
        <f>AVERAGEIFS(J4:J83,D4:D83,F113,K4:K83,"")</f>
        <v>203.63000000000002</v>
      </c>
      <c r="G116" s="975" t="e">
        <f>AVERAGEIFS(J4:J83,D4:D83,G113,K4:K83,"")</f>
        <v>#DIV/0!</v>
      </c>
      <c r="H116" s="976">
        <f>AVERAGEIF(K4:K83,"",J4:J83)</f>
        <v>203.63000000000002</v>
      </c>
      <c r="M116" s="1308"/>
    </row>
    <row r="117" spans="1:20" ht="16.5" customHeight="1" thickBot="1">
      <c r="A117" s="1961" t="s">
        <v>210</v>
      </c>
      <c r="B117" s="1962"/>
      <c r="C117" s="977" t="e">
        <f>AVERAGEIFS(J4:J83,D4:D83,C113,K4:K83,A117)</f>
        <v>#DIV/0!</v>
      </c>
      <c r="D117" s="977" t="e">
        <f>AVERAGEIFS(J4:J83,D4:D83,D113,K4:K83,A117)</f>
        <v>#DIV/0!</v>
      </c>
      <c r="E117" s="977" t="e">
        <f>AVERAGEIFS(J4:J83,D4:D83,E113,K4:K83,A117)</f>
        <v>#DIV/0!</v>
      </c>
      <c r="F117" s="978">
        <f>AVERAGEIFS(J4:J83,D4:D83,F113,K4:K83,A117)</f>
        <v>190.67000000000002</v>
      </c>
      <c r="G117" s="978" t="e">
        <f>AVERAGEIFS(J4:J83,D4:D83,G113,K4:K83,A117)</f>
        <v>#DIV/0!</v>
      </c>
      <c r="H117" s="979">
        <f>AVERAGEIF(K4:K83,A117,J4:J83)</f>
        <v>190.67000000000002</v>
      </c>
      <c r="M117" s="1308"/>
    </row>
    <row r="118" spans="1:20" ht="16.5" customHeight="1">
      <c r="M118" s="1308"/>
    </row>
    <row r="119" spans="1:20" ht="16.5" customHeight="1">
      <c r="M119" s="1308"/>
    </row>
    <row r="120" spans="1:20" ht="16.5" customHeight="1">
      <c r="M120" s="1308"/>
    </row>
    <row r="121" spans="1:20" ht="16.5" customHeight="1">
      <c r="M121" s="1308"/>
      <c r="T121" s="1244"/>
    </row>
    <row r="122" spans="1:20" ht="16.5" customHeight="1">
      <c r="M122" s="1308"/>
    </row>
    <row r="123" spans="1:20" ht="16.5" customHeight="1">
      <c r="L123" s="1815"/>
    </row>
    <row r="124" spans="1:20" ht="16.5" customHeight="1"/>
    <row r="125" spans="1:20" ht="16.5" customHeight="1"/>
    <row r="126" spans="1:20" ht="16.5" customHeight="1"/>
    <row r="127" spans="1:20" ht="16.5" customHeight="1"/>
    <row r="128" spans="1:20" ht="16.5" customHeight="1"/>
    <row r="129" ht="16.5" customHeight="1"/>
  </sheetData>
  <sheetProtection selectLockedCells="1" selectUnlockedCells="1"/>
  <autoFilter ref="A1:AZ84" xr:uid="{90BDE61E-472E-4398-AB2D-666467AF2384}"/>
  <mergeCells count="32">
    <mergeCell ref="J95:M95"/>
    <mergeCell ref="O95:R95"/>
    <mergeCell ref="J86:U86"/>
    <mergeCell ref="A105:B105"/>
    <mergeCell ref="A96:B96"/>
    <mergeCell ref="A97:B97"/>
    <mergeCell ref="A98:B98"/>
    <mergeCell ref="A93:B93"/>
    <mergeCell ref="A94:B94"/>
    <mergeCell ref="A95:B95"/>
    <mergeCell ref="A102:B102"/>
    <mergeCell ref="J90:U90"/>
    <mergeCell ref="A91:B91"/>
    <mergeCell ref="A86:B86"/>
    <mergeCell ref="A101:B101"/>
    <mergeCell ref="A103:B103"/>
    <mergeCell ref="A104:B104"/>
    <mergeCell ref="G86:H86"/>
    <mergeCell ref="A87:B87"/>
    <mergeCell ref="A88:B88"/>
    <mergeCell ref="A89:B89"/>
    <mergeCell ref="A90:B90"/>
    <mergeCell ref="A110:B110"/>
    <mergeCell ref="A116:B116"/>
    <mergeCell ref="A115:B115"/>
    <mergeCell ref="A117:B117"/>
    <mergeCell ref="A107:B107"/>
    <mergeCell ref="A108:B108"/>
    <mergeCell ref="A111:B111"/>
    <mergeCell ref="A113:B113"/>
    <mergeCell ref="A114:B114"/>
    <mergeCell ref="A109:B109"/>
  </mergeCells>
  <conditionalFormatting sqref="AA1:AA61 AA66:AA83 Z84:Z92 Y93:Y94 Z95:Z99 Z106:Z1048576">
    <cfRule type="cellIs" dxfId="15" priority="1" operator="lessThan">
      <formula>TODAY()-15</formula>
    </cfRule>
  </conditionalFormatting>
  <hyperlinks>
    <hyperlink ref="AU38" r:id="rId1" xr:uid="{6E335C7A-1EAD-4A85-8117-65C8BAF2220D}"/>
  </hyperlinks>
  <pageMargins left="0.7" right="0.7" top="0.75" bottom="0.75" header="0.3" footer="0.3"/>
  <pageSetup paperSize="9" orientation="portrait"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7A149-5DA7-4699-AEC2-54D25CB49FC5}">
  <sheetPr filterMode="1">
    <tabColor theme="8" tint="-0.249977111117893"/>
    <pageSetUpPr fitToPage="1"/>
  </sheetPr>
  <dimension ref="A1:BX76"/>
  <sheetViews>
    <sheetView zoomScaleNormal="100" workbookViewId="0">
      <pane xSplit="2" topLeftCell="C1" activePane="topRight" state="frozen"/>
      <selection activeCell="A45" sqref="A45"/>
      <selection pane="topRight" activeCell="S13" sqref="S13"/>
    </sheetView>
  </sheetViews>
  <sheetFormatPr defaultColWidth="10.5703125" defaultRowHeight="13.5" customHeight="1"/>
  <cols>
    <col min="1" max="1" width="8.85546875" style="188" bestFit="1" customWidth="1"/>
    <col min="2" max="2" width="11.85546875" style="188" bestFit="1" customWidth="1"/>
    <col min="3" max="3" width="13.140625" style="188" customWidth="1"/>
    <col min="4" max="4" width="11.28515625" style="188" customWidth="1"/>
    <col min="5" max="5" width="19" style="188" customWidth="1"/>
    <col min="6" max="6" width="13.28515625" style="188" customWidth="1"/>
    <col min="7" max="7" width="11.42578125" style="188" customWidth="1"/>
    <col min="8" max="8" width="8.28515625" style="188" customWidth="1"/>
    <col min="9" max="9" width="6.5703125" style="188" customWidth="1"/>
    <col min="10" max="10" width="18.7109375" style="188" customWidth="1"/>
    <col min="11" max="12" width="12.7109375" style="188" customWidth="1"/>
    <col min="13" max="13" width="12.5703125" style="188" customWidth="1"/>
    <col min="14" max="14" width="15.28515625" style="188" customWidth="1"/>
    <col min="15" max="15" width="13.28515625" style="188" customWidth="1"/>
    <col min="16" max="16" width="12.7109375" style="188" customWidth="1"/>
    <col min="17" max="17" width="11.5703125" style="188" customWidth="1"/>
    <col min="18" max="18" width="9.7109375" style="188" customWidth="1"/>
    <col min="19" max="19" width="10.7109375" style="188" customWidth="1"/>
    <col min="20" max="21" width="14" style="188" customWidth="1"/>
    <col min="22" max="22" width="14" style="283" customWidth="1"/>
    <col min="23" max="23" width="12.5703125" style="283" customWidth="1"/>
    <col min="24" max="25" width="12.5703125" style="315" customWidth="1"/>
    <col min="26" max="26" width="12.140625" style="283" customWidth="1"/>
    <col min="27" max="27" width="12.5703125" style="315" customWidth="1"/>
    <col min="28" max="28" width="14.42578125" style="283" customWidth="1"/>
    <col min="29" max="29" width="12.5703125" style="315" customWidth="1"/>
    <col min="30" max="30" width="19.140625" style="188" customWidth="1"/>
    <col min="31" max="31" width="13.42578125" style="188" customWidth="1"/>
    <col min="32" max="32" width="16.7109375" style="376" customWidth="1"/>
    <col min="33" max="33" width="16.7109375" style="647" customWidth="1"/>
    <col min="34" max="35" width="16.7109375" style="188" customWidth="1"/>
    <col min="36" max="36" width="56.28515625" style="188" customWidth="1"/>
    <col min="37" max="40" width="14.140625" style="188" customWidth="1"/>
    <col min="41" max="41" width="33" style="188" bestFit="1" customWidth="1"/>
    <col min="42" max="42" width="27" style="188" bestFit="1" customWidth="1"/>
    <col min="43" max="43" width="13.85546875" style="188" bestFit="1" customWidth="1"/>
    <col min="44" max="44" width="18" style="188" bestFit="1" customWidth="1"/>
    <col min="45" max="45" width="20.28515625" style="188" bestFit="1" customWidth="1"/>
    <col min="46" max="46" width="20.42578125" style="188" bestFit="1" customWidth="1"/>
    <col min="47" max="16384" width="10.5703125" style="188"/>
  </cols>
  <sheetData>
    <row r="1" spans="1:46" ht="23.25" customHeight="1">
      <c r="A1" s="6" t="s">
        <v>23</v>
      </c>
      <c r="B1" s="6" t="s">
        <v>5</v>
      </c>
      <c r="C1" s="6" t="s">
        <v>1</v>
      </c>
      <c r="D1" s="20" t="s">
        <v>0</v>
      </c>
      <c r="E1" s="20" t="s">
        <v>3</v>
      </c>
      <c r="F1" s="6" t="s">
        <v>6</v>
      </c>
      <c r="G1" s="6" t="s">
        <v>2</v>
      </c>
      <c r="H1" s="6" t="s">
        <v>212</v>
      </c>
      <c r="I1" s="6" t="s">
        <v>285</v>
      </c>
      <c r="J1" s="6" t="s">
        <v>11</v>
      </c>
      <c r="K1" s="6" t="s">
        <v>12</v>
      </c>
      <c r="L1" s="6" t="s">
        <v>246</v>
      </c>
      <c r="M1" s="6" t="s">
        <v>251</v>
      </c>
      <c r="N1" s="21" t="s">
        <v>221</v>
      </c>
      <c r="O1" s="6" t="s">
        <v>17286</v>
      </c>
      <c r="P1" s="6" t="s">
        <v>552</v>
      </c>
      <c r="Q1" s="21" t="s">
        <v>15</v>
      </c>
      <c r="R1" s="6" t="s">
        <v>16</v>
      </c>
      <c r="S1" s="6" t="s">
        <v>227</v>
      </c>
      <c r="T1" s="6" t="s">
        <v>551</v>
      </c>
      <c r="U1" s="6" t="s">
        <v>228</v>
      </c>
      <c r="V1" s="281" t="s">
        <v>301</v>
      </c>
      <c r="W1" s="281" t="s">
        <v>4</v>
      </c>
      <c r="X1" s="310" t="s">
        <v>545</v>
      </c>
      <c r="Y1" s="310" t="s">
        <v>546</v>
      </c>
      <c r="Z1" s="281" t="s">
        <v>553</v>
      </c>
      <c r="AA1" s="310" t="s">
        <v>547</v>
      </c>
      <c r="AB1" s="281" t="s">
        <v>554</v>
      </c>
      <c r="AC1" s="310" t="s">
        <v>548</v>
      </c>
      <c r="AD1" s="6" t="s">
        <v>8</v>
      </c>
      <c r="AE1" s="6" t="s">
        <v>255</v>
      </c>
      <c r="AF1" s="321" t="s">
        <v>18</v>
      </c>
      <c r="AG1" s="643" t="s">
        <v>17285</v>
      </c>
      <c r="AH1" s="6" t="s">
        <v>542</v>
      </c>
      <c r="AI1" s="6" t="s">
        <v>543</v>
      </c>
      <c r="AJ1" s="6" t="s">
        <v>19</v>
      </c>
      <c r="AK1" s="6" t="s">
        <v>261</v>
      </c>
      <c r="AL1" s="6" t="s">
        <v>17891</v>
      </c>
      <c r="AM1" s="6" t="s">
        <v>17892</v>
      </c>
      <c r="AN1" s="6" t="s">
        <v>17893</v>
      </c>
      <c r="AO1" s="6" t="s">
        <v>17599</v>
      </c>
      <c r="AP1" s="6" t="s">
        <v>17773</v>
      </c>
      <c r="AQ1" s="6" t="s">
        <v>262</v>
      </c>
      <c r="AR1" s="6" t="s">
        <v>263</v>
      </c>
      <c r="AS1" s="6" t="s">
        <v>20</v>
      </c>
      <c r="AT1" s="6" t="s">
        <v>21</v>
      </c>
    </row>
    <row r="2" spans="1:46" s="334" customFormat="1" ht="13.5" hidden="1" customHeight="1">
      <c r="A2" s="126">
        <v>1</v>
      </c>
      <c r="B2" s="50" t="s">
        <v>24</v>
      </c>
      <c r="C2" s="1788" t="s">
        <v>90</v>
      </c>
      <c r="D2" s="270">
        <v>1</v>
      </c>
      <c r="E2" s="270" t="s">
        <v>275</v>
      </c>
      <c r="F2" s="1789">
        <v>59.13</v>
      </c>
      <c r="G2" s="455">
        <v>0</v>
      </c>
      <c r="H2" s="455">
        <v>9.74</v>
      </c>
      <c r="I2" s="455">
        <v>6.89</v>
      </c>
      <c r="J2" s="272">
        <f t="shared" ref="J2:J32" si="0">F2+0.3*G2+0.3*H2+0.3*I2</f>
        <v>64.119</v>
      </c>
      <c r="K2" s="126" t="s">
        <v>258</v>
      </c>
      <c r="L2" s="277"/>
      <c r="M2" s="277"/>
      <c r="N2" s="448">
        <v>275000</v>
      </c>
      <c r="O2" s="273">
        <v>283200</v>
      </c>
      <c r="P2" s="273">
        <f>0.96*Q2</f>
        <v>283200</v>
      </c>
      <c r="Q2" s="273">
        <v>295000</v>
      </c>
      <c r="R2" s="274"/>
      <c r="S2" s="275">
        <f t="shared" ref="S2:S31" si="1">N2/J2</f>
        <v>4288.9003259564251</v>
      </c>
      <c r="T2" s="275">
        <f t="shared" ref="T2:T8" si="2">P2/J2</f>
        <v>4416.7875356758532</v>
      </c>
      <c r="U2" s="275">
        <f t="shared" ref="U2:U7" si="3">Q2/J2</f>
        <v>4600.8203496623464</v>
      </c>
      <c r="V2" s="128"/>
      <c r="W2" s="103">
        <v>45353</v>
      </c>
      <c r="X2" s="313">
        <v>55000</v>
      </c>
      <c r="Y2" s="313"/>
      <c r="Z2" s="103"/>
      <c r="AA2" s="313"/>
      <c r="AB2" s="103"/>
      <c r="AC2" s="313">
        <v>220000</v>
      </c>
      <c r="AD2" s="126" t="s">
        <v>247</v>
      </c>
      <c r="AE2" s="126"/>
      <c r="AF2" s="274"/>
      <c r="AG2" s="274"/>
      <c r="AH2" s="126"/>
      <c r="AI2" s="126"/>
      <c r="AJ2" s="132" t="s">
        <v>17354</v>
      </c>
      <c r="AK2" s="132" t="s">
        <v>565</v>
      </c>
      <c r="AL2" s="132"/>
      <c r="AM2" s="132"/>
      <c r="AN2" s="132"/>
      <c r="AO2" s="1428" t="s">
        <v>17737</v>
      </c>
      <c r="AP2" s="132"/>
      <c r="AQ2" s="132"/>
      <c r="AR2" s="132"/>
      <c r="AS2" s="276">
        <f t="shared" ref="AS2:AS23" si="4">AT2*J2</f>
        <v>230828.4</v>
      </c>
      <c r="AT2" s="276">
        <v>3600</v>
      </c>
    </row>
    <row r="3" spans="1:46" s="334" customFormat="1" ht="13.5" hidden="1" customHeight="1">
      <c r="A3" s="126">
        <v>2</v>
      </c>
      <c r="B3" s="50" t="s">
        <v>25</v>
      </c>
      <c r="C3" s="268" t="s">
        <v>90</v>
      </c>
      <c r="D3" s="269">
        <v>1</v>
      </c>
      <c r="E3" s="270" t="s">
        <v>275</v>
      </c>
      <c r="F3" s="271">
        <v>59.14</v>
      </c>
      <c r="G3" s="455">
        <v>0</v>
      </c>
      <c r="H3" s="455">
        <v>20.05</v>
      </c>
      <c r="I3" s="455">
        <v>19.73</v>
      </c>
      <c r="J3" s="272">
        <f t="shared" si="0"/>
        <v>71.073999999999998</v>
      </c>
      <c r="K3" s="126" t="s">
        <v>258</v>
      </c>
      <c r="L3" s="126" t="s">
        <v>249</v>
      </c>
      <c r="M3" s="126" t="s">
        <v>249</v>
      </c>
      <c r="N3" s="276">
        <v>285000</v>
      </c>
      <c r="O3" s="273"/>
      <c r="P3" s="1790">
        <v>285000</v>
      </c>
      <c r="Q3" s="273">
        <v>296000</v>
      </c>
      <c r="R3" s="274"/>
      <c r="S3" s="275">
        <f t="shared" si="1"/>
        <v>4009.9051692602079</v>
      </c>
      <c r="T3" s="275">
        <f t="shared" si="2"/>
        <v>4009.9051692602079</v>
      </c>
      <c r="U3" s="275">
        <f t="shared" si="3"/>
        <v>4164.6734389509529</v>
      </c>
      <c r="V3" s="128"/>
      <c r="W3" s="103">
        <v>45126</v>
      </c>
      <c r="X3" s="313">
        <f>20%*N3</f>
        <v>57000</v>
      </c>
      <c r="Y3" s="313"/>
      <c r="Z3" s="103"/>
      <c r="AA3" s="313"/>
      <c r="AB3" s="103"/>
      <c r="AC3" s="313">
        <f>80%*N3</f>
        <v>228000</v>
      </c>
      <c r="AD3" s="126" t="s">
        <v>247</v>
      </c>
      <c r="AE3" s="126" t="s">
        <v>309</v>
      </c>
      <c r="AF3" s="274"/>
      <c r="AG3" s="642"/>
      <c r="AH3" s="126"/>
      <c r="AI3" s="126"/>
      <c r="AJ3" s="132" t="s">
        <v>733</v>
      </c>
      <c r="AK3" s="132" t="s">
        <v>734</v>
      </c>
      <c r="AL3" s="132"/>
      <c r="AM3" s="132"/>
      <c r="AN3" s="132"/>
      <c r="AO3" s="1428" t="s">
        <v>17738</v>
      </c>
      <c r="AP3" s="132"/>
      <c r="AQ3" s="132"/>
      <c r="AR3" s="132"/>
      <c r="AS3" s="276">
        <f t="shared" si="4"/>
        <v>255866.4</v>
      </c>
      <c r="AT3" s="276">
        <v>3600</v>
      </c>
    </row>
    <row r="4" spans="1:46" s="334" customFormat="1" ht="13.5" customHeight="1">
      <c r="A4" s="126">
        <v>3</v>
      </c>
      <c r="B4" s="8" t="s">
        <v>26</v>
      </c>
      <c r="C4" s="268" t="s">
        <v>91</v>
      </c>
      <c r="D4" s="269">
        <v>1</v>
      </c>
      <c r="E4" s="270" t="s">
        <v>275</v>
      </c>
      <c r="F4" s="271">
        <v>96.1</v>
      </c>
      <c r="G4" s="455">
        <v>0</v>
      </c>
      <c r="H4" s="455">
        <v>46.21</v>
      </c>
      <c r="I4" s="455">
        <v>36.96</v>
      </c>
      <c r="J4" s="272">
        <f t="shared" si="0"/>
        <v>121.05099999999999</v>
      </c>
      <c r="K4" s="126" t="s">
        <v>258</v>
      </c>
      <c r="L4" s="126"/>
      <c r="M4" s="276"/>
      <c r="N4" s="276">
        <v>400000</v>
      </c>
      <c r="O4" s="276">
        <v>440000</v>
      </c>
      <c r="P4" s="273">
        <f>0.93*Q4</f>
        <v>469650</v>
      </c>
      <c r="Q4" s="273">
        <v>505000</v>
      </c>
      <c r="R4" s="274">
        <f>-(100%-(N4/Q4))</f>
        <v>-0.20792079207920788</v>
      </c>
      <c r="S4" s="275">
        <f t="shared" si="1"/>
        <v>3304.3923635492483</v>
      </c>
      <c r="T4" s="275">
        <f>P4/J4</f>
        <v>3879.7696838522611</v>
      </c>
      <c r="U4" s="275">
        <f t="shared" si="3"/>
        <v>4171.7953589809258</v>
      </c>
      <c r="V4" s="128"/>
      <c r="W4" s="103">
        <v>45754</v>
      </c>
      <c r="X4" s="313">
        <v>80000</v>
      </c>
      <c r="Y4" s="313"/>
      <c r="Z4" s="103"/>
      <c r="AA4" s="313"/>
      <c r="AB4" s="103"/>
      <c r="AC4" s="313">
        <v>320000</v>
      </c>
      <c r="AD4" s="126" t="s">
        <v>247</v>
      </c>
      <c r="AE4" s="126"/>
      <c r="AF4" s="274"/>
      <c r="AG4" s="274"/>
      <c r="AH4" s="126"/>
      <c r="AI4" s="126"/>
      <c r="AJ4" s="1791" t="s">
        <v>17914</v>
      </c>
      <c r="AK4" s="132" t="s">
        <v>265</v>
      </c>
      <c r="AL4" s="132"/>
      <c r="AM4" s="132"/>
      <c r="AN4" s="132"/>
      <c r="AO4" s="132"/>
      <c r="AP4" s="132"/>
      <c r="AQ4" s="132"/>
      <c r="AR4" s="132"/>
      <c r="AS4" s="276">
        <f t="shared" si="4"/>
        <v>435783.6</v>
      </c>
      <c r="AT4" s="276">
        <v>3600</v>
      </c>
    </row>
    <row r="5" spans="1:46" s="334" customFormat="1" ht="12" customHeight="1">
      <c r="A5" s="126">
        <v>4</v>
      </c>
      <c r="B5" s="8" t="s">
        <v>27</v>
      </c>
      <c r="C5" s="268" t="s">
        <v>91</v>
      </c>
      <c r="D5" s="269">
        <v>1</v>
      </c>
      <c r="E5" s="270" t="s">
        <v>276</v>
      </c>
      <c r="F5" s="271">
        <v>91.74</v>
      </c>
      <c r="G5" s="455">
        <v>0</v>
      </c>
      <c r="H5" s="455">
        <v>61.35</v>
      </c>
      <c r="I5" s="455">
        <v>45.73</v>
      </c>
      <c r="J5" s="272">
        <f t="shared" si="0"/>
        <v>123.86399999999999</v>
      </c>
      <c r="K5" s="126" t="s">
        <v>258</v>
      </c>
      <c r="L5" s="126"/>
      <c r="M5" s="276"/>
      <c r="N5" s="276">
        <v>400000</v>
      </c>
      <c r="O5" s="273">
        <v>445000</v>
      </c>
      <c r="P5" s="273">
        <f>0.96*Q5</f>
        <v>494400</v>
      </c>
      <c r="Q5" s="273">
        <v>515000</v>
      </c>
      <c r="R5" s="274">
        <f>-(100%-(N5/Q5))</f>
        <v>-0.22330097087378642</v>
      </c>
      <c r="S5" s="275">
        <f t="shared" si="1"/>
        <v>3229.3483175095266</v>
      </c>
      <c r="T5" s="275">
        <f t="shared" si="2"/>
        <v>3991.474520441775</v>
      </c>
      <c r="U5" s="275">
        <f t="shared" si="3"/>
        <v>4157.7859587935154</v>
      </c>
      <c r="V5" s="128">
        <v>45636</v>
      </c>
      <c r="W5" s="103">
        <v>45754</v>
      </c>
      <c r="X5" s="313">
        <v>80000</v>
      </c>
      <c r="Y5" s="313"/>
      <c r="Z5" s="103"/>
      <c r="AA5" s="313"/>
      <c r="AB5" s="103"/>
      <c r="AC5" s="313">
        <v>320000</v>
      </c>
      <c r="AD5" s="126" t="s">
        <v>247</v>
      </c>
      <c r="AE5" s="126"/>
      <c r="AF5" s="274"/>
      <c r="AG5" s="274"/>
      <c r="AH5" s="126"/>
      <c r="AI5" s="126"/>
      <c r="AJ5" s="1791" t="s">
        <v>17914</v>
      </c>
      <c r="AK5" s="132" t="s">
        <v>265</v>
      </c>
      <c r="AL5" s="132"/>
      <c r="AM5" s="132"/>
      <c r="AN5" s="132"/>
      <c r="AO5" s="132"/>
      <c r="AP5" s="132"/>
      <c r="AQ5" s="132"/>
      <c r="AR5" s="132"/>
      <c r="AS5" s="276">
        <f t="shared" si="4"/>
        <v>445910.39999999997</v>
      </c>
      <c r="AT5" s="276">
        <v>3600</v>
      </c>
    </row>
    <row r="6" spans="1:46" s="334" customFormat="1" ht="13.5" customHeight="1">
      <c r="A6" s="126">
        <v>5</v>
      </c>
      <c r="B6" s="8" t="s">
        <v>28</v>
      </c>
      <c r="C6" s="268" t="s">
        <v>91</v>
      </c>
      <c r="D6" s="269">
        <v>1</v>
      </c>
      <c r="E6" s="269" t="s">
        <v>277</v>
      </c>
      <c r="F6" s="271">
        <v>95.8</v>
      </c>
      <c r="G6" s="455">
        <v>0</v>
      </c>
      <c r="H6" s="455">
        <v>38.340000000000003</v>
      </c>
      <c r="I6" s="455">
        <v>37.159999999999997</v>
      </c>
      <c r="J6" s="272">
        <f>F6+0.2*G6+0.2*H6+0.2*I6</f>
        <v>110.9</v>
      </c>
      <c r="K6" s="126" t="s">
        <v>258</v>
      </c>
      <c r="L6" s="126" t="s">
        <v>249</v>
      </c>
      <c r="M6" s="126" t="s">
        <v>249</v>
      </c>
      <c r="N6" s="324">
        <v>429120</v>
      </c>
      <c r="O6" s="273">
        <v>430000</v>
      </c>
      <c r="P6" s="273">
        <v>430000</v>
      </c>
      <c r="Q6" s="273">
        <v>447000</v>
      </c>
      <c r="R6" s="274"/>
      <c r="S6" s="275">
        <f t="shared" si="1"/>
        <v>3869.4319206492332</v>
      </c>
      <c r="T6" s="275">
        <f t="shared" si="2"/>
        <v>3877.3669972948601</v>
      </c>
      <c r="U6" s="275">
        <f t="shared" si="3"/>
        <v>4030.6582506762848</v>
      </c>
      <c r="V6" s="128"/>
      <c r="W6" s="103">
        <v>45257</v>
      </c>
      <c r="X6" s="313">
        <v>42912</v>
      </c>
      <c r="Y6" s="313"/>
      <c r="Z6" s="103"/>
      <c r="AA6" s="313"/>
      <c r="AB6" s="103"/>
      <c r="AC6" s="313">
        <v>386208</v>
      </c>
      <c r="AD6" s="126" t="s">
        <v>247</v>
      </c>
      <c r="AE6" s="126" t="s">
        <v>762</v>
      </c>
      <c r="AF6" s="274">
        <v>0.04</v>
      </c>
      <c r="AG6" s="642">
        <v>144</v>
      </c>
      <c r="AH6" s="126"/>
      <c r="AI6" s="126"/>
      <c r="AJ6" s="1791" t="s">
        <v>17191</v>
      </c>
      <c r="AK6" s="132" t="s">
        <v>265</v>
      </c>
      <c r="AL6" s="132"/>
      <c r="AM6" s="132"/>
      <c r="AN6" s="132"/>
      <c r="AO6" s="1428" t="s">
        <v>17739</v>
      </c>
      <c r="AP6" s="132"/>
      <c r="AQ6" s="132"/>
      <c r="AR6" s="132"/>
      <c r="AS6" s="276">
        <f t="shared" si="4"/>
        <v>399240</v>
      </c>
      <c r="AT6" s="276">
        <v>3600</v>
      </c>
    </row>
    <row r="7" spans="1:46" s="334" customFormat="1" ht="13.5" customHeight="1">
      <c r="A7" s="126">
        <v>6</v>
      </c>
      <c r="B7" s="8" t="s">
        <v>29</v>
      </c>
      <c r="C7" s="268" t="s">
        <v>91</v>
      </c>
      <c r="D7" s="269">
        <v>1</v>
      </c>
      <c r="E7" s="269" t="s">
        <v>278</v>
      </c>
      <c r="F7" s="271">
        <v>103.2</v>
      </c>
      <c r="G7" s="455">
        <v>0</v>
      </c>
      <c r="H7" s="455">
        <v>27.04</v>
      </c>
      <c r="I7" s="455">
        <v>32.200000000000003</v>
      </c>
      <c r="J7" s="272">
        <f t="shared" si="0"/>
        <v>120.97199999999999</v>
      </c>
      <c r="K7" s="126" t="s">
        <v>258</v>
      </c>
      <c r="L7" s="126" t="s">
        <v>249</v>
      </c>
      <c r="M7" s="126" t="s">
        <v>249</v>
      </c>
      <c r="N7" s="273">
        <v>453200</v>
      </c>
      <c r="O7" s="273"/>
      <c r="P7" s="273">
        <v>454000</v>
      </c>
      <c r="Q7" s="273">
        <v>472000</v>
      </c>
      <c r="R7" s="274">
        <f>-(100%-(N7/Q7))</f>
        <v>-3.9830508474576254E-2</v>
      </c>
      <c r="S7" s="275">
        <f t="shared" si="1"/>
        <v>3746.3214628178425</v>
      </c>
      <c r="T7" s="275">
        <f t="shared" si="2"/>
        <v>3752.9345633700364</v>
      </c>
      <c r="U7" s="275">
        <f t="shared" si="3"/>
        <v>3901.7293257943988</v>
      </c>
      <c r="V7" s="128"/>
      <c r="W7" s="128">
        <v>45079</v>
      </c>
      <c r="X7" s="275">
        <f>20%*N7</f>
        <v>90640</v>
      </c>
      <c r="Y7" s="275"/>
      <c r="Z7" s="128"/>
      <c r="AA7" s="275"/>
      <c r="AB7" s="128"/>
      <c r="AC7" s="275">
        <v>362560</v>
      </c>
      <c r="AD7" s="126" t="s">
        <v>247</v>
      </c>
      <c r="AE7" s="126" t="s">
        <v>762</v>
      </c>
      <c r="AF7" s="274">
        <v>0.04</v>
      </c>
      <c r="AG7" s="642"/>
      <c r="AH7" s="126" t="s">
        <v>589</v>
      </c>
      <c r="AI7" s="126" t="s">
        <v>589</v>
      </c>
      <c r="AJ7" s="1792" t="s">
        <v>592</v>
      </c>
      <c r="AK7" s="126" t="s">
        <v>265</v>
      </c>
      <c r="AL7" s="126"/>
      <c r="AM7" s="126"/>
      <c r="AN7" s="126"/>
      <c r="AO7" s="1428" t="s">
        <v>17740</v>
      </c>
      <c r="AP7" s="126"/>
      <c r="AQ7" s="126"/>
      <c r="AR7" s="126"/>
      <c r="AS7" s="276">
        <f t="shared" si="4"/>
        <v>435499.19999999995</v>
      </c>
      <c r="AT7" s="276">
        <v>3600</v>
      </c>
    </row>
    <row r="8" spans="1:46" s="334" customFormat="1" ht="13.5" hidden="1" customHeight="1">
      <c r="A8" s="126">
        <v>7</v>
      </c>
      <c r="B8" s="8" t="s">
        <v>30</v>
      </c>
      <c r="C8" s="268" t="s">
        <v>89</v>
      </c>
      <c r="D8" s="269">
        <v>2</v>
      </c>
      <c r="E8" s="270" t="s">
        <v>279</v>
      </c>
      <c r="F8" s="271">
        <v>144.38</v>
      </c>
      <c r="G8" s="456">
        <f>17.98+16.63</f>
        <v>34.61</v>
      </c>
      <c r="H8" s="455">
        <v>0</v>
      </c>
      <c r="I8" s="455">
        <v>0</v>
      </c>
      <c r="J8" s="272">
        <f t="shared" si="0"/>
        <v>154.76300000000001</v>
      </c>
      <c r="K8" s="126" t="s">
        <v>258</v>
      </c>
      <c r="L8" s="126"/>
      <c r="M8" s="126"/>
      <c r="N8" s="324">
        <v>733440</v>
      </c>
      <c r="O8" s="273"/>
      <c r="P8" s="273">
        <v>720000</v>
      </c>
      <c r="Q8" s="273">
        <v>749000</v>
      </c>
      <c r="R8" s="274"/>
      <c r="S8" s="275">
        <f t="shared" si="1"/>
        <v>4739.1172308626738</v>
      </c>
      <c r="T8" s="275">
        <f t="shared" si="2"/>
        <v>4652.2747685170225</v>
      </c>
      <c r="U8" s="275">
        <f>Q8/J8</f>
        <v>4839.6580578045141</v>
      </c>
      <c r="V8" s="128"/>
      <c r="W8" s="128">
        <v>45260</v>
      </c>
      <c r="X8" s="275">
        <v>73344</v>
      </c>
      <c r="Y8" s="275"/>
      <c r="Z8" s="128"/>
      <c r="AA8" s="275"/>
      <c r="AB8" s="128"/>
      <c r="AC8" s="275">
        <v>660096</v>
      </c>
      <c r="AD8" s="126" t="s">
        <v>247</v>
      </c>
      <c r="AE8" s="126" t="s">
        <v>17230</v>
      </c>
      <c r="AF8" s="274"/>
      <c r="AG8" s="642">
        <v>144</v>
      </c>
      <c r="AH8" s="126"/>
      <c r="AI8" s="126"/>
      <c r="AJ8" s="126" t="s">
        <v>17229</v>
      </c>
      <c r="AK8" s="126" t="s">
        <v>265</v>
      </c>
      <c r="AL8" s="126"/>
      <c r="AM8" s="126"/>
      <c r="AN8" s="126"/>
      <c r="AO8" s="1428" t="s">
        <v>17741</v>
      </c>
      <c r="AP8" s="126"/>
      <c r="AQ8" s="126"/>
      <c r="AR8" s="126"/>
      <c r="AS8" s="276">
        <f t="shared" si="4"/>
        <v>557146.80000000005</v>
      </c>
      <c r="AT8" s="276">
        <v>3600</v>
      </c>
    </row>
    <row r="9" spans="1:46" s="334" customFormat="1" ht="13.5" customHeight="1">
      <c r="A9" s="126">
        <v>8</v>
      </c>
      <c r="B9" s="8" t="s">
        <v>31</v>
      </c>
      <c r="C9" s="268" t="s">
        <v>91</v>
      </c>
      <c r="D9" s="269">
        <v>2</v>
      </c>
      <c r="E9" s="270" t="s">
        <v>280</v>
      </c>
      <c r="F9" s="271">
        <v>96.78</v>
      </c>
      <c r="G9" s="1793">
        <v>16.7</v>
      </c>
      <c r="H9" s="455">
        <v>0</v>
      </c>
      <c r="I9" s="455">
        <v>0</v>
      </c>
      <c r="J9" s="272">
        <f t="shared" si="0"/>
        <v>101.79</v>
      </c>
      <c r="K9" s="126" t="s">
        <v>258</v>
      </c>
      <c r="L9" s="277" t="s">
        <v>249</v>
      </c>
      <c r="M9" s="277" t="s">
        <v>249</v>
      </c>
      <c r="N9" s="324">
        <v>415000</v>
      </c>
      <c r="O9" s="273">
        <v>404000</v>
      </c>
      <c r="P9" s="273">
        <v>404000</v>
      </c>
      <c r="Q9" s="273">
        <v>420000</v>
      </c>
      <c r="R9" s="274">
        <f>-(100%-(N9/Q9))</f>
        <v>-1.1904761904761862E-2</v>
      </c>
      <c r="S9" s="275">
        <f t="shared" si="1"/>
        <v>4077.0213184006284</v>
      </c>
      <c r="T9" s="275">
        <f>O9/J9</f>
        <v>3968.9556930936237</v>
      </c>
      <c r="U9" s="275"/>
      <c r="V9" s="128"/>
      <c r="W9" s="113">
        <v>45099</v>
      </c>
      <c r="X9" s="325">
        <f>10%*N9</f>
        <v>41500</v>
      </c>
      <c r="Y9" s="325">
        <v>20750</v>
      </c>
      <c r="Z9" s="113">
        <v>45160</v>
      </c>
      <c r="AA9" s="325"/>
      <c r="AB9" s="113"/>
      <c r="AC9" s="325">
        <v>352750</v>
      </c>
      <c r="AD9" s="126" t="s">
        <v>577</v>
      </c>
      <c r="AE9" s="126"/>
      <c r="AF9" s="274">
        <v>0.03</v>
      </c>
      <c r="AG9" s="642"/>
      <c r="AH9" s="126" t="s">
        <v>589</v>
      </c>
      <c r="AI9" s="126" t="s">
        <v>589</v>
      </c>
      <c r="AJ9" s="1794" t="s">
        <v>586</v>
      </c>
      <c r="AK9" s="132" t="s">
        <v>517</v>
      </c>
      <c r="AL9" s="132"/>
      <c r="AM9" s="132"/>
      <c r="AN9" s="132"/>
      <c r="AO9" s="1428" t="s">
        <v>17742</v>
      </c>
      <c r="AP9" s="132"/>
      <c r="AQ9" s="112"/>
      <c r="AR9" s="112"/>
      <c r="AS9" s="276">
        <f t="shared" si="4"/>
        <v>366444</v>
      </c>
      <c r="AT9" s="276">
        <v>3600</v>
      </c>
    </row>
    <row r="10" spans="1:46" s="334" customFormat="1" ht="13.5" hidden="1" customHeight="1">
      <c r="A10" s="126">
        <v>9</v>
      </c>
      <c r="B10" s="8" t="s">
        <v>32</v>
      </c>
      <c r="C10" s="268" t="s">
        <v>90</v>
      </c>
      <c r="D10" s="269">
        <v>2</v>
      </c>
      <c r="E10" s="270" t="s">
        <v>275</v>
      </c>
      <c r="F10" s="271">
        <v>70.36</v>
      </c>
      <c r="G10" s="1793">
        <v>8.6300000000000008</v>
      </c>
      <c r="H10" s="455">
        <v>0</v>
      </c>
      <c r="I10" s="455">
        <v>0</v>
      </c>
      <c r="J10" s="272">
        <f t="shared" si="0"/>
        <v>72.948999999999998</v>
      </c>
      <c r="K10" s="126" t="s">
        <v>258</v>
      </c>
      <c r="L10" s="277" t="s">
        <v>249</v>
      </c>
      <c r="M10" s="277" t="s">
        <v>249</v>
      </c>
      <c r="N10" s="324">
        <v>294720</v>
      </c>
      <c r="O10" s="273">
        <v>294720</v>
      </c>
      <c r="P10" s="273">
        <v>295000</v>
      </c>
      <c r="Q10" s="273">
        <v>307000</v>
      </c>
      <c r="R10" s="274"/>
      <c r="S10" s="275">
        <f t="shared" si="1"/>
        <v>4040.0827975709058</v>
      </c>
      <c r="T10" s="275">
        <f>P10/J10</f>
        <v>4043.9210955599119</v>
      </c>
      <c r="U10" s="275">
        <f>Q10/J10</f>
        <v>4208.4195808030272</v>
      </c>
      <c r="V10" s="128"/>
      <c r="W10" s="103">
        <v>45135</v>
      </c>
      <c r="X10" s="313">
        <f>20%*N10</f>
        <v>58944</v>
      </c>
      <c r="Y10" s="313"/>
      <c r="Z10" s="103"/>
      <c r="AA10" s="313"/>
      <c r="AB10" s="103"/>
      <c r="AC10" s="313">
        <f>80%*N10</f>
        <v>235776</v>
      </c>
      <c r="AD10" s="126" t="s">
        <v>247</v>
      </c>
      <c r="AE10" s="126" t="s">
        <v>762</v>
      </c>
      <c r="AF10" s="274"/>
      <c r="AG10" s="642"/>
      <c r="AH10" s="126"/>
      <c r="AI10" s="126"/>
      <c r="AJ10" s="132" t="s">
        <v>760</v>
      </c>
      <c r="AK10" s="132" t="s">
        <v>761</v>
      </c>
      <c r="AL10" s="132"/>
      <c r="AM10" s="132"/>
      <c r="AN10" s="132"/>
      <c r="AO10" s="1428" t="s">
        <v>17743</v>
      </c>
      <c r="AP10" s="132"/>
      <c r="AQ10" s="132"/>
      <c r="AR10" s="132"/>
      <c r="AS10" s="276">
        <f t="shared" si="4"/>
        <v>262616.39999999997</v>
      </c>
      <c r="AT10" s="276">
        <v>3600</v>
      </c>
    </row>
    <row r="11" spans="1:46" s="334" customFormat="1" ht="13.5" hidden="1" customHeight="1">
      <c r="A11" s="126">
        <v>10</v>
      </c>
      <c r="B11" s="8" t="s">
        <v>33</v>
      </c>
      <c r="C11" s="268" t="s">
        <v>90</v>
      </c>
      <c r="D11" s="269">
        <v>2</v>
      </c>
      <c r="E11" s="270" t="s">
        <v>275</v>
      </c>
      <c r="F11" s="271">
        <v>51.74</v>
      </c>
      <c r="G11" s="1793">
        <v>19.29</v>
      </c>
      <c r="H11" s="455">
        <v>0</v>
      </c>
      <c r="I11" s="455">
        <v>0</v>
      </c>
      <c r="J11" s="272">
        <f t="shared" si="0"/>
        <v>57.527000000000001</v>
      </c>
      <c r="K11" s="126" t="s">
        <v>258</v>
      </c>
      <c r="L11" s="126" t="s">
        <v>249</v>
      </c>
      <c r="M11" s="126" t="s">
        <v>249</v>
      </c>
      <c r="N11" s="324">
        <v>259200</v>
      </c>
      <c r="O11" s="273">
        <v>259200</v>
      </c>
      <c r="P11" s="273">
        <v>260000</v>
      </c>
      <c r="Q11" s="1795">
        <v>270000</v>
      </c>
      <c r="R11" s="274">
        <f>-(100%-(N11/Q11))</f>
        <v>-4.0000000000000036E-2</v>
      </c>
      <c r="S11" s="275">
        <f t="shared" si="1"/>
        <v>4505.7103620908438</v>
      </c>
      <c r="T11" s="275">
        <f>O11/J11</f>
        <v>4505.7103620908438</v>
      </c>
      <c r="U11" s="275"/>
      <c r="V11" s="128"/>
      <c r="W11" s="103">
        <v>45065</v>
      </c>
      <c r="X11" s="313">
        <f>10%*N11</f>
        <v>25920</v>
      </c>
      <c r="Y11" s="313">
        <f>5%*N11</f>
        <v>12960</v>
      </c>
      <c r="Z11" s="103">
        <v>45249</v>
      </c>
      <c r="AA11" s="313">
        <f>5%*N11</f>
        <v>12960</v>
      </c>
      <c r="AB11" s="103">
        <v>45431</v>
      </c>
      <c r="AC11" s="313">
        <f>80%*N11</f>
        <v>207360</v>
      </c>
      <c r="AD11" s="126" t="s">
        <v>247</v>
      </c>
      <c r="AE11" s="126" t="s">
        <v>309</v>
      </c>
      <c r="AF11" s="274">
        <v>0.04</v>
      </c>
      <c r="AG11" s="642"/>
      <c r="AH11" s="126" t="s">
        <v>249</v>
      </c>
      <c r="AI11" s="126" t="s">
        <v>249</v>
      </c>
      <c r="AJ11" s="132" t="s">
        <v>556</v>
      </c>
      <c r="AK11" s="132" t="s">
        <v>265</v>
      </c>
      <c r="AL11" s="132"/>
      <c r="AM11" s="132"/>
      <c r="AN11" s="132"/>
      <c r="AO11" s="1428" t="s">
        <v>17744</v>
      </c>
      <c r="AP11" s="132"/>
      <c r="AQ11" s="132"/>
      <c r="AR11" s="132"/>
      <c r="AS11" s="276">
        <f t="shared" si="4"/>
        <v>207097.2</v>
      </c>
      <c r="AT11" s="276">
        <v>3600</v>
      </c>
    </row>
    <row r="12" spans="1:46" s="334" customFormat="1" ht="13.5" customHeight="1">
      <c r="A12" s="126">
        <v>11</v>
      </c>
      <c r="B12" s="8" t="s">
        <v>34</v>
      </c>
      <c r="C12" s="268" t="s">
        <v>91</v>
      </c>
      <c r="D12" s="269">
        <v>2</v>
      </c>
      <c r="E12" s="270" t="s">
        <v>281</v>
      </c>
      <c r="F12" s="271">
        <v>91.75</v>
      </c>
      <c r="G12" s="1793">
        <v>21.65</v>
      </c>
      <c r="H12" s="455">
        <v>0</v>
      </c>
      <c r="I12" s="455">
        <v>0</v>
      </c>
      <c r="J12" s="272">
        <f t="shared" si="0"/>
        <v>98.245000000000005</v>
      </c>
      <c r="K12" s="126" t="s">
        <v>258</v>
      </c>
      <c r="L12" s="277"/>
      <c r="M12" s="1796"/>
      <c r="N12" s="276">
        <v>399500</v>
      </c>
      <c r="O12" s="273">
        <v>390000</v>
      </c>
      <c r="P12" s="273">
        <f>0.96*Q12</f>
        <v>451200</v>
      </c>
      <c r="Q12" s="273">
        <v>470000</v>
      </c>
      <c r="R12" s="274">
        <f>-(100%-(N12/Q12))</f>
        <v>-0.15000000000000002</v>
      </c>
      <c r="S12" s="275">
        <f t="shared" si="1"/>
        <v>4066.3647004936638</v>
      </c>
      <c r="T12" s="275">
        <f>P12/J12</f>
        <v>4592.6001323222554</v>
      </c>
      <c r="U12" s="275">
        <f>Q12/J12</f>
        <v>4783.9584711690159</v>
      </c>
      <c r="V12" s="128"/>
      <c r="W12" s="103">
        <v>45740</v>
      </c>
      <c r="X12" s="313">
        <f>5000+74900</f>
        <v>79900</v>
      </c>
      <c r="Y12" s="313"/>
      <c r="Z12" s="103"/>
      <c r="AA12" s="313"/>
      <c r="AB12" s="103"/>
      <c r="AC12" s="313">
        <v>319600</v>
      </c>
      <c r="AD12" s="126" t="s">
        <v>549</v>
      </c>
      <c r="AE12" s="126"/>
      <c r="AF12" s="274"/>
      <c r="AG12" s="274"/>
      <c r="AH12" s="126"/>
      <c r="AI12" s="126"/>
      <c r="AJ12" s="1791" t="s">
        <v>17900</v>
      </c>
      <c r="AK12" s="132" t="s">
        <v>517</v>
      </c>
      <c r="AL12" s="132"/>
      <c r="AM12" s="132"/>
      <c r="AN12" s="132"/>
      <c r="AO12" s="132"/>
      <c r="AP12" s="132"/>
      <c r="AQ12" s="132"/>
      <c r="AR12" s="132"/>
      <c r="AS12" s="276">
        <f t="shared" si="4"/>
        <v>353682</v>
      </c>
      <c r="AT12" s="276">
        <v>3600</v>
      </c>
    </row>
    <row r="13" spans="1:46" s="334" customFormat="1" ht="13.5" customHeight="1">
      <c r="A13" s="126">
        <v>12</v>
      </c>
      <c r="B13" s="8" t="s">
        <v>35</v>
      </c>
      <c r="C13" s="268" t="s">
        <v>91</v>
      </c>
      <c r="D13" s="269">
        <v>2</v>
      </c>
      <c r="E13" s="269" t="s">
        <v>282</v>
      </c>
      <c r="F13" s="271">
        <v>94.54</v>
      </c>
      <c r="G13" s="1793">
        <v>21.46</v>
      </c>
      <c r="H13" s="455">
        <v>0</v>
      </c>
      <c r="I13" s="455">
        <v>0</v>
      </c>
      <c r="J13" s="272">
        <f>F13+G13+0.3*H13+0.3*I13</f>
        <v>116</v>
      </c>
      <c r="K13" s="126" t="s">
        <v>258</v>
      </c>
      <c r="L13" s="277" t="s">
        <v>249</v>
      </c>
      <c r="M13" s="277" t="s">
        <v>249</v>
      </c>
      <c r="N13" s="273">
        <v>401000</v>
      </c>
      <c r="O13" s="273">
        <v>401000</v>
      </c>
      <c r="P13" s="273">
        <v>401000</v>
      </c>
      <c r="Q13" s="273">
        <v>417000</v>
      </c>
      <c r="R13" s="274">
        <f>-(100%-(N13/Q13))</f>
        <v>-3.83693045563549E-2</v>
      </c>
      <c r="S13" s="275">
        <f>N13/J13</f>
        <v>3456.8965517241381</v>
      </c>
      <c r="T13" s="275">
        <f>O13/J13</f>
        <v>3456.8965517241381</v>
      </c>
      <c r="U13" s="275"/>
      <c r="V13" s="128"/>
      <c r="W13" s="103">
        <v>44952</v>
      </c>
      <c r="X13" s="313">
        <v>80200</v>
      </c>
      <c r="Y13" s="313"/>
      <c r="Z13" s="103"/>
      <c r="AA13" s="313"/>
      <c r="AB13" s="103"/>
      <c r="AC13" s="313">
        <v>320800</v>
      </c>
      <c r="AD13" s="126" t="s">
        <v>305</v>
      </c>
      <c r="AE13" s="126"/>
      <c r="AF13" s="274">
        <v>0.03</v>
      </c>
      <c r="AG13" s="642"/>
      <c r="AH13" s="126" t="s">
        <v>249</v>
      </c>
      <c r="AI13" s="126" t="s">
        <v>249</v>
      </c>
      <c r="AJ13" s="1791" t="s">
        <v>313</v>
      </c>
      <c r="AK13" s="132" t="s">
        <v>265</v>
      </c>
      <c r="AL13" s="132"/>
      <c r="AM13" s="132"/>
      <c r="AN13" s="132"/>
      <c r="AO13" s="1428" t="s">
        <v>17745</v>
      </c>
      <c r="AP13" s="132"/>
      <c r="AQ13" s="132"/>
      <c r="AR13" s="132"/>
      <c r="AS13" s="276">
        <f t="shared" si="4"/>
        <v>417600</v>
      </c>
      <c r="AT13" s="276">
        <v>3600</v>
      </c>
    </row>
    <row r="14" spans="1:46" s="334" customFormat="1" ht="13.5" hidden="1" customHeight="1">
      <c r="A14" s="126">
        <v>13</v>
      </c>
      <c r="B14" s="8" t="s">
        <v>36</v>
      </c>
      <c r="C14" s="268" t="s">
        <v>89</v>
      </c>
      <c r="D14" s="269">
        <v>2</v>
      </c>
      <c r="E14" s="269" t="s">
        <v>283</v>
      </c>
      <c r="F14" s="271">
        <v>134.44999999999999</v>
      </c>
      <c r="G14" s="1793">
        <v>16.100000000000001</v>
      </c>
      <c r="H14" s="455">
        <v>0</v>
      </c>
      <c r="I14" s="455">
        <v>0</v>
      </c>
      <c r="J14" s="272">
        <f t="shared" si="0"/>
        <v>139.28</v>
      </c>
      <c r="K14" s="126" t="s">
        <v>258</v>
      </c>
      <c r="L14" s="126"/>
      <c r="M14" s="126"/>
      <c r="N14" s="273">
        <v>713700</v>
      </c>
      <c r="O14" s="273">
        <f>P14*0.96</f>
        <v>700800</v>
      </c>
      <c r="P14" s="273">
        <v>730000</v>
      </c>
      <c r="Q14" s="273">
        <v>759000</v>
      </c>
      <c r="R14" s="274">
        <f>-(100%-(N14/P14))</f>
        <v>-2.2328767123287685E-2</v>
      </c>
      <c r="S14" s="275">
        <f t="shared" si="1"/>
        <v>5124.2102240091899</v>
      </c>
      <c r="T14" s="275">
        <f>P14/J14</f>
        <v>5241.2406662837448</v>
      </c>
      <c r="U14" s="275">
        <f>P14/J14</f>
        <v>5241.2406662837448</v>
      </c>
      <c r="V14" s="128"/>
      <c r="W14" s="103">
        <v>45259</v>
      </c>
      <c r="X14" s="313">
        <v>71370</v>
      </c>
      <c r="Y14" s="313"/>
      <c r="Z14" s="103"/>
      <c r="AA14" s="313"/>
      <c r="AB14" s="103"/>
      <c r="AC14" s="313">
        <v>642330</v>
      </c>
      <c r="AD14" s="126" t="s">
        <v>247</v>
      </c>
      <c r="AE14" s="126" t="s">
        <v>17230</v>
      </c>
      <c r="AF14" s="274"/>
      <c r="AG14" s="642">
        <v>144</v>
      </c>
      <c r="AH14" s="126"/>
      <c r="AI14" s="126"/>
      <c r="AJ14" s="112" t="s">
        <v>17252</v>
      </c>
      <c r="AK14" s="132" t="s">
        <v>265</v>
      </c>
      <c r="AL14" s="132"/>
      <c r="AM14" s="132"/>
      <c r="AN14" s="132"/>
      <c r="AO14" s="1428" t="s">
        <v>17746</v>
      </c>
      <c r="AP14" s="132"/>
      <c r="AQ14" s="132"/>
      <c r="AR14" s="132"/>
      <c r="AS14" s="276">
        <f t="shared" si="4"/>
        <v>501408</v>
      </c>
      <c r="AT14" s="276">
        <v>3600</v>
      </c>
    </row>
    <row r="15" spans="1:46" s="334" customFormat="1" ht="13.5" hidden="1" customHeight="1">
      <c r="A15" s="126">
        <v>14</v>
      </c>
      <c r="B15" s="8" t="s">
        <v>37</v>
      </c>
      <c r="C15" s="268" t="s">
        <v>89</v>
      </c>
      <c r="D15" s="269">
        <v>3</v>
      </c>
      <c r="E15" s="270" t="s">
        <v>279</v>
      </c>
      <c r="F15" s="271">
        <v>144.38</v>
      </c>
      <c r="G15" s="1793">
        <f>13.96+12.8</f>
        <v>26.76</v>
      </c>
      <c r="H15" s="455">
        <v>0</v>
      </c>
      <c r="I15" s="455">
        <v>0</v>
      </c>
      <c r="J15" s="272">
        <f t="shared" si="0"/>
        <v>152.40799999999999</v>
      </c>
      <c r="K15" s="126" t="s">
        <v>258</v>
      </c>
      <c r="L15" s="277" t="s">
        <v>249</v>
      </c>
      <c r="M15" s="277" t="s">
        <v>249</v>
      </c>
      <c r="N15" s="273">
        <v>780000</v>
      </c>
      <c r="O15" s="273">
        <f>P15*0.96</f>
        <v>720000</v>
      </c>
      <c r="P15" s="273">
        <v>750000</v>
      </c>
      <c r="Q15" s="273">
        <f>P15*1.04</f>
        <v>780000</v>
      </c>
      <c r="R15" s="274">
        <f t="shared" ref="R15:R21" si="5">-(100%-(N15/Q15))</f>
        <v>0</v>
      </c>
      <c r="S15" s="275">
        <f t="shared" si="1"/>
        <v>5117.8415831189968</v>
      </c>
      <c r="T15" s="275">
        <f>P15/J15</f>
        <v>4921.0015222298043</v>
      </c>
      <c r="U15" s="275"/>
      <c r="V15" s="128"/>
      <c r="W15" s="103">
        <v>45106</v>
      </c>
      <c r="X15" s="313">
        <v>78000</v>
      </c>
      <c r="Y15" s="313">
        <v>39000</v>
      </c>
      <c r="Z15" s="103">
        <v>45136</v>
      </c>
      <c r="AA15" s="313">
        <v>39000</v>
      </c>
      <c r="AB15" s="103">
        <v>45167</v>
      </c>
      <c r="AC15" s="313">
        <v>624000</v>
      </c>
      <c r="AD15" s="126" t="s">
        <v>549</v>
      </c>
      <c r="AE15" s="126"/>
      <c r="AF15" s="274">
        <v>0.04</v>
      </c>
      <c r="AG15" s="642"/>
      <c r="AH15" s="126" t="s">
        <v>589</v>
      </c>
      <c r="AI15" s="126" t="s">
        <v>589</v>
      </c>
      <c r="AJ15" s="132" t="s">
        <v>17774</v>
      </c>
      <c r="AK15" s="132" t="s">
        <v>517</v>
      </c>
      <c r="AL15" s="132"/>
      <c r="AM15" s="132"/>
      <c r="AN15" s="132"/>
      <c r="AO15" s="1428" t="s">
        <v>17747</v>
      </c>
      <c r="AP15" s="132"/>
      <c r="AQ15" s="132"/>
      <c r="AR15" s="132"/>
      <c r="AS15" s="276">
        <f t="shared" si="4"/>
        <v>548668.79999999993</v>
      </c>
      <c r="AT15" s="276">
        <v>3600</v>
      </c>
    </row>
    <row r="16" spans="1:46" s="334" customFormat="1" ht="13.5" customHeight="1">
      <c r="A16" s="126">
        <v>15</v>
      </c>
      <c r="B16" s="8" t="s">
        <v>38</v>
      </c>
      <c r="C16" s="268" t="s">
        <v>91</v>
      </c>
      <c r="D16" s="269">
        <v>3</v>
      </c>
      <c r="E16" s="270" t="s">
        <v>280</v>
      </c>
      <c r="F16" s="271">
        <v>96.06</v>
      </c>
      <c r="G16" s="1793">
        <v>16.309999999999999</v>
      </c>
      <c r="H16" s="455">
        <v>0</v>
      </c>
      <c r="I16" s="455">
        <v>0</v>
      </c>
      <c r="J16" s="272">
        <f t="shared" si="0"/>
        <v>100.953</v>
      </c>
      <c r="K16" s="126" t="s">
        <v>258</v>
      </c>
      <c r="L16" s="277" t="s">
        <v>249</v>
      </c>
      <c r="M16" s="277" t="s">
        <v>249</v>
      </c>
      <c r="N16" s="273">
        <v>418000</v>
      </c>
      <c r="O16" s="273">
        <v>418000</v>
      </c>
      <c r="P16" s="273">
        <v>418000</v>
      </c>
      <c r="Q16" s="273">
        <v>435000</v>
      </c>
      <c r="R16" s="274">
        <f t="shared" si="5"/>
        <v>-3.9080459770114984E-2</v>
      </c>
      <c r="S16" s="275">
        <f t="shared" si="1"/>
        <v>4140.5406476281041</v>
      </c>
      <c r="T16" s="275">
        <f t="shared" ref="T16:T24" si="6">O16/J16</f>
        <v>4140.5406476281041</v>
      </c>
      <c r="U16" s="275"/>
      <c r="V16" s="128"/>
      <c r="W16" s="103">
        <v>44918</v>
      </c>
      <c r="X16" s="313">
        <v>25000</v>
      </c>
      <c r="Y16" s="313">
        <v>58600</v>
      </c>
      <c r="Z16" s="103">
        <v>44972</v>
      </c>
      <c r="AA16" s="313"/>
      <c r="AB16" s="103"/>
      <c r="AC16" s="313">
        <v>334400</v>
      </c>
      <c r="AD16" s="126" t="s">
        <v>305</v>
      </c>
      <c r="AE16" s="126"/>
      <c r="AF16" s="274">
        <v>0.03</v>
      </c>
      <c r="AG16" s="642"/>
      <c r="AH16" s="126" t="s">
        <v>249</v>
      </c>
      <c r="AI16" s="126" t="s">
        <v>249</v>
      </c>
      <c r="AJ16" s="1791" t="s">
        <v>306</v>
      </c>
      <c r="AK16" s="132" t="s">
        <v>265</v>
      </c>
      <c r="AL16" s="132"/>
      <c r="AM16" s="132"/>
      <c r="AN16" s="132"/>
      <c r="AO16" s="1428" t="s">
        <v>17748</v>
      </c>
      <c r="AP16" s="132"/>
      <c r="AQ16" s="132"/>
      <c r="AR16" s="132"/>
      <c r="AS16" s="276">
        <f t="shared" si="4"/>
        <v>363430.8</v>
      </c>
      <c r="AT16" s="276">
        <v>3600</v>
      </c>
    </row>
    <row r="17" spans="1:46" s="334" customFormat="1" ht="13.5" customHeight="1">
      <c r="A17" s="126">
        <v>16</v>
      </c>
      <c r="B17" s="8" t="s">
        <v>39</v>
      </c>
      <c r="C17" s="268" t="s">
        <v>91</v>
      </c>
      <c r="D17" s="269">
        <v>3</v>
      </c>
      <c r="E17" s="270" t="s">
        <v>280</v>
      </c>
      <c r="F17" s="271">
        <v>96.06</v>
      </c>
      <c r="G17" s="1793">
        <v>16.309999999999999</v>
      </c>
      <c r="H17" s="455">
        <v>0</v>
      </c>
      <c r="I17" s="455">
        <v>0</v>
      </c>
      <c r="J17" s="272">
        <f t="shared" si="0"/>
        <v>100.953</v>
      </c>
      <c r="K17" s="126" t="s">
        <v>258</v>
      </c>
      <c r="L17" s="277" t="s">
        <v>249</v>
      </c>
      <c r="M17" s="277" t="s">
        <v>249</v>
      </c>
      <c r="N17" s="273">
        <v>435000</v>
      </c>
      <c r="O17" s="273">
        <v>418000</v>
      </c>
      <c r="P17" s="273">
        <v>435000</v>
      </c>
      <c r="Q17" s="273">
        <v>452000</v>
      </c>
      <c r="R17" s="274">
        <f t="shared" si="5"/>
        <v>-3.7610619469026552E-2</v>
      </c>
      <c r="S17" s="275">
        <f t="shared" si="1"/>
        <v>4308.935841431161</v>
      </c>
      <c r="T17" s="275">
        <f t="shared" si="6"/>
        <v>4140.5406476281041</v>
      </c>
      <c r="U17" s="275"/>
      <c r="V17" s="128"/>
      <c r="W17" s="103">
        <v>45036</v>
      </c>
      <c r="X17" s="313">
        <v>87000</v>
      </c>
      <c r="Y17" s="313">
        <v>43500</v>
      </c>
      <c r="Z17" s="103">
        <v>45402</v>
      </c>
      <c r="AA17" s="313"/>
      <c r="AB17" s="103"/>
      <c r="AC17" s="313">
        <v>304500</v>
      </c>
      <c r="AD17" s="126" t="s">
        <v>247</v>
      </c>
      <c r="AE17" s="126"/>
      <c r="AF17" s="274">
        <v>0.04</v>
      </c>
      <c r="AG17" s="642"/>
      <c r="AH17" s="126" t="s">
        <v>249</v>
      </c>
      <c r="AI17" s="126" t="s">
        <v>249</v>
      </c>
      <c r="AJ17" s="1791" t="s">
        <v>527</v>
      </c>
      <c r="AK17" s="132" t="s">
        <v>265</v>
      </c>
      <c r="AL17" s="132"/>
      <c r="AM17" s="132"/>
      <c r="AN17" s="132"/>
      <c r="AO17" s="1428" t="s">
        <v>17749</v>
      </c>
      <c r="AP17" s="132"/>
      <c r="AQ17" s="132"/>
      <c r="AR17" s="132"/>
      <c r="AS17" s="276">
        <f t="shared" si="4"/>
        <v>363430.8</v>
      </c>
      <c r="AT17" s="276">
        <v>3600</v>
      </c>
    </row>
    <row r="18" spans="1:46" s="334" customFormat="1" ht="13.5" hidden="1" customHeight="1">
      <c r="A18" s="126">
        <v>17</v>
      </c>
      <c r="B18" s="8" t="s">
        <v>40</v>
      </c>
      <c r="C18" s="268" t="s">
        <v>90</v>
      </c>
      <c r="D18" s="269">
        <v>3</v>
      </c>
      <c r="E18" s="270" t="s">
        <v>275</v>
      </c>
      <c r="F18" s="271">
        <v>51.74</v>
      </c>
      <c r="G18" s="1793">
        <v>14.56</v>
      </c>
      <c r="H18" s="455">
        <v>0</v>
      </c>
      <c r="I18" s="455">
        <v>0</v>
      </c>
      <c r="J18" s="272">
        <f t="shared" si="0"/>
        <v>56.108000000000004</v>
      </c>
      <c r="K18" s="126" t="s">
        <v>258</v>
      </c>
      <c r="L18" s="277" t="s">
        <v>249</v>
      </c>
      <c r="M18" s="277" t="s">
        <v>249</v>
      </c>
      <c r="N18" s="324">
        <v>280000</v>
      </c>
      <c r="O18" s="273">
        <v>269000</v>
      </c>
      <c r="P18" s="1790">
        <v>280000</v>
      </c>
      <c r="Q18" s="273">
        <v>291000</v>
      </c>
      <c r="R18" s="274">
        <f t="shared" si="5"/>
        <v>-3.7800687285223344E-2</v>
      </c>
      <c r="S18" s="275">
        <f t="shared" si="1"/>
        <v>4990.3757039994289</v>
      </c>
      <c r="T18" s="275">
        <f t="shared" si="6"/>
        <v>4794.3252299137375</v>
      </c>
      <c r="U18" s="275">
        <f>Q18/J18</f>
        <v>5186.4261780851211</v>
      </c>
      <c r="V18" s="128"/>
      <c r="W18" s="128">
        <v>45076</v>
      </c>
      <c r="X18" s="275">
        <f>20%*N18</f>
        <v>56000</v>
      </c>
      <c r="Y18" s="275"/>
      <c r="Z18" s="128"/>
      <c r="AA18" s="275"/>
      <c r="AB18" s="128"/>
      <c r="AC18" s="275">
        <v>224000</v>
      </c>
      <c r="AD18" s="126" t="s">
        <v>247</v>
      </c>
      <c r="AE18" s="126"/>
      <c r="AF18" s="274">
        <v>0.04</v>
      </c>
      <c r="AG18" s="642"/>
      <c r="AH18" s="126" t="s">
        <v>249</v>
      </c>
      <c r="AI18" s="126" t="s">
        <v>249</v>
      </c>
      <c r="AJ18" s="126" t="s">
        <v>17862</v>
      </c>
      <c r="AK18" s="126" t="s">
        <v>517</v>
      </c>
      <c r="AL18" s="126"/>
      <c r="AM18" s="126"/>
      <c r="AN18" s="126"/>
      <c r="AO18" s="1428" t="s">
        <v>17750</v>
      </c>
      <c r="AP18" s="1428" t="s">
        <v>17751</v>
      </c>
      <c r="AQ18" s="126"/>
      <c r="AR18" s="126"/>
      <c r="AS18" s="276">
        <f t="shared" si="4"/>
        <v>201988.80000000002</v>
      </c>
      <c r="AT18" s="276">
        <v>3600</v>
      </c>
    </row>
    <row r="19" spans="1:46" s="334" customFormat="1" ht="13.5" customHeight="1">
      <c r="A19" s="126">
        <v>18</v>
      </c>
      <c r="B19" s="8" t="s">
        <v>41</v>
      </c>
      <c r="C19" s="268" t="s">
        <v>91</v>
      </c>
      <c r="D19" s="269">
        <v>3</v>
      </c>
      <c r="E19" s="270" t="s">
        <v>281</v>
      </c>
      <c r="F19" s="271">
        <v>91.75</v>
      </c>
      <c r="G19" s="1793">
        <v>16.670000000000002</v>
      </c>
      <c r="H19" s="455">
        <v>0</v>
      </c>
      <c r="I19" s="455">
        <v>0</v>
      </c>
      <c r="J19" s="272">
        <f t="shared" si="0"/>
        <v>96.751000000000005</v>
      </c>
      <c r="K19" s="126" t="s">
        <v>258</v>
      </c>
      <c r="L19" s="277"/>
      <c r="M19" s="277"/>
      <c r="N19" s="276">
        <v>400000</v>
      </c>
      <c r="O19" s="273">
        <v>404000</v>
      </c>
      <c r="P19" s="273">
        <f>0.96*Q19</f>
        <v>456000</v>
      </c>
      <c r="Q19" s="273">
        <v>475000</v>
      </c>
      <c r="R19" s="274">
        <f t="shared" si="5"/>
        <v>-0.15789473684210531</v>
      </c>
      <c r="S19" s="275">
        <f t="shared" si="1"/>
        <v>4134.3241930315962</v>
      </c>
      <c r="T19" s="275">
        <f>P19/J19</f>
        <v>4713.1295800560201</v>
      </c>
      <c r="U19" s="275">
        <f>Q19/J19</f>
        <v>4909.5099792250203</v>
      </c>
      <c r="V19" s="128"/>
      <c r="W19" s="103">
        <v>45783</v>
      </c>
      <c r="X19" s="313">
        <v>80000</v>
      </c>
      <c r="Y19" s="313"/>
      <c r="Z19" s="103"/>
      <c r="AA19" s="313"/>
      <c r="AB19" s="103"/>
      <c r="AC19" s="313">
        <v>420000</v>
      </c>
      <c r="AD19" s="126" t="s">
        <v>549</v>
      </c>
      <c r="AE19" s="126"/>
      <c r="AF19" s="274"/>
      <c r="AG19" s="274"/>
      <c r="AH19" s="126"/>
      <c r="AI19" s="126"/>
      <c r="AJ19" s="1792" t="s">
        <v>17846</v>
      </c>
      <c r="AK19" s="132" t="s">
        <v>517</v>
      </c>
      <c r="AL19" s="132"/>
      <c r="AM19" s="132"/>
      <c r="AN19" s="132"/>
      <c r="AO19" s="1428" t="s">
        <v>17847</v>
      </c>
      <c r="AP19" s="132"/>
      <c r="AQ19" s="132"/>
      <c r="AR19" s="132"/>
      <c r="AS19" s="276">
        <f t="shared" si="4"/>
        <v>348303.60000000003</v>
      </c>
      <c r="AT19" s="276">
        <v>3600</v>
      </c>
    </row>
    <row r="20" spans="1:46" s="334" customFormat="1" ht="13.5" customHeight="1">
      <c r="A20" s="126">
        <v>19</v>
      </c>
      <c r="B20" s="8" t="s">
        <v>42</v>
      </c>
      <c r="C20" s="268" t="s">
        <v>91</v>
      </c>
      <c r="D20" s="269">
        <v>3</v>
      </c>
      <c r="E20" s="269" t="s">
        <v>282</v>
      </c>
      <c r="F20" s="271">
        <v>94.54</v>
      </c>
      <c r="G20" s="1793">
        <v>21.65</v>
      </c>
      <c r="H20" s="455">
        <v>0</v>
      </c>
      <c r="I20" s="455">
        <v>0</v>
      </c>
      <c r="J20" s="272">
        <f t="shared" si="0"/>
        <v>101.03500000000001</v>
      </c>
      <c r="K20" s="126" t="s">
        <v>258</v>
      </c>
      <c r="L20" s="277" t="s">
        <v>249</v>
      </c>
      <c r="M20" s="277" t="s">
        <v>249</v>
      </c>
      <c r="N20" s="273">
        <v>418000</v>
      </c>
      <c r="O20" s="273">
        <v>418000</v>
      </c>
      <c r="P20" s="273">
        <v>418000</v>
      </c>
      <c r="Q20" s="273">
        <v>435000</v>
      </c>
      <c r="R20" s="274">
        <f t="shared" si="5"/>
        <v>-3.9080459770114984E-2</v>
      </c>
      <c r="S20" s="275">
        <f t="shared" si="1"/>
        <v>4137.1801850843758</v>
      </c>
      <c r="T20" s="275">
        <f t="shared" si="6"/>
        <v>4137.1801850843758</v>
      </c>
      <c r="U20" s="275"/>
      <c r="V20" s="128"/>
      <c r="W20" s="103">
        <v>44932</v>
      </c>
      <c r="X20" s="313">
        <v>41800</v>
      </c>
      <c r="Y20" s="313">
        <v>41800</v>
      </c>
      <c r="Z20" s="103">
        <v>44942</v>
      </c>
      <c r="AA20" s="313"/>
      <c r="AB20" s="103"/>
      <c r="AC20" s="313">
        <v>334400</v>
      </c>
      <c r="AD20" s="126" t="s">
        <v>305</v>
      </c>
      <c r="AE20" s="126"/>
      <c r="AF20" s="274">
        <v>0.03</v>
      </c>
      <c r="AG20" s="642"/>
      <c r="AH20" s="126" t="s">
        <v>249</v>
      </c>
      <c r="AI20" s="126" t="s">
        <v>249</v>
      </c>
      <c r="AJ20" s="1792" t="s">
        <v>317</v>
      </c>
      <c r="AK20" s="132" t="s">
        <v>265</v>
      </c>
      <c r="AL20" s="132"/>
      <c r="AM20" s="132"/>
      <c r="AN20" s="132"/>
      <c r="AO20" s="1428" t="s">
        <v>17752</v>
      </c>
      <c r="AP20" s="132"/>
      <c r="AQ20" s="132"/>
      <c r="AR20" s="132"/>
      <c r="AS20" s="276">
        <f t="shared" si="4"/>
        <v>363726.00000000006</v>
      </c>
      <c r="AT20" s="276">
        <v>3600</v>
      </c>
    </row>
    <row r="21" spans="1:46" s="334" customFormat="1" ht="13.5" hidden="1" customHeight="1">
      <c r="A21" s="126">
        <v>20</v>
      </c>
      <c r="B21" s="8" t="s">
        <v>43</v>
      </c>
      <c r="C21" s="268" t="s">
        <v>89</v>
      </c>
      <c r="D21" s="269">
        <v>3</v>
      </c>
      <c r="E21" s="269" t="s">
        <v>593</v>
      </c>
      <c r="F21" s="271">
        <v>134.44</v>
      </c>
      <c r="G21" s="1793">
        <v>16.29</v>
      </c>
      <c r="H21" s="455">
        <v>0</v>
      </c>
      <c r="I21" s="455">
        <v>0</v>
      </c>
      <c r="J21" s="272">
        <f t="shared" si="0"/>
        <v>139.327</v>
      </c>
      <c r="K21" s="126" t="s">
        <v>258</v>
      </c>
      <c r="L21" s="277" t="s">
        <v>249</v>
      </c>
      <c r="M21" s="277" t="s">
        <v>249</v>
      </c>
      <c r="N21" s="273">
        <v>760000</v>
      </c>
      <c r="O21" s="273">
        <v>760000</v>
      </c>
      <c r="P21" s="273">
        <v>760000</v>
      </c>
      <c r="Q21" s="273">
        <v>790000</v>
      </c>
      <c r="R21" s="274">
        <f t="shared" si="5"/>
        <v>-3.7974683544303778E-2</v>
      </c>
      <c r="S21" s="275">
        <f t="shared" si="1"/>
        <v>5454.7933996999864</v>
      </c>
      <c r="T21" s="275">
        <f t="shared" si="6"/>
        <v>5454.7933996999864</v>
      </c>
      <c r="U21" s="275"/>
      <c r="V21" s="128"/>
      <c r="W21" s="103">
        <v>45083</v>
      </c>
      <c r="X21" s="313">
        <v>152000</v>
      </c>
      <c r="Y21" s="313"/>
      <c r="Z21" s="103"/>
      <c r="AA21" s="313"/>
      <c r="AB21" s="103"/>
      <c r="AC21" s="313">
        <v>608000</v>
      </c>
      <c r="AD21" s="126" t="s">
        <v>549</v>
      </c>
      <c r="AE21" s="126"/>
      <c r="AF21" s="274">
        <v>0.04</v>
      </c>
      <c r="AG21" s="642"/>
      <c r="AH21" s="126" t="s">
        <v>249</v>
      </c>
      <c r="AI21" s="126" t="s">
        <v>249</v>
      </c>
      <c r="AJ21" s="112" t="s">
        <v>518</v>
      </c>
      <c r="AK21" s="132" t="s">
        <v>517</v>
      </c>
      <c r="AL21" s="132"/>
      <c r="AM21" s="132"/>
      <c r="AN21" s="132"/>
      <c r="AO21" s="1428" t="s">
        <v>17753</v>
      </c>
      <c r="AP21" s="132"/>
      <c r="AQ21" s="132"/>
      <c r="AR21" s="132"/>
      <c r="AS21" s="276">
        <f t="shared" si="4"/>
        <v>501577.2</v>
      </c>
      <c r="AT21" s="276">
        <v>3600</v>
      </c>
    </row>
    <row r="22" spans="1:46" s="334" customFormat="1" ht="13.5" hidden="1" customHeight="1">
      <c r="A22" s="126">
        <v>21</v>
      </c>
      <c r="B22" s="8" t="s">
        <v>44</v>
      </c>
      <c r="C22" s="268" t="s">
        <v>89</v>
      </c>
      <c r="D22" s="269">
        <v>4</v>
      </c>
      <c r="E22" s="270" t="s">
        <v>594</v>
      </c>
      <c r="F22" s="271">
        <v>144.38</v>
      </c>
      <c r="G22" s="1793">
        <f>9.87+8.98</f>
        <v>18.850000000000001</v>
      </c>
      <c r="H22" s="455">
        <v>0</v>
      </c>
      <c r="I22" s="455">
        <v>0</v>
      </c>
      <c r="J22" s="272">
        <f t="shared" si="0"/>
        <v>150.035</v>
      </c>
      <c r="K22" s="126" t="s">
        <v>258</v>
      </c>
      <c r="L22" s="277" t="s">
        <v>249</v>
      </c>
      <c r="M22" s="277" t="s">
        <v>249</v>
      </c>
      <c r="N22" s="324">
        <v>712000</v>
      </c>
      <c r="O22" s="273">
        <v>780000</v>
      </c>
      <c r="P22" s="273">
        <v>780000</v>
      </c>
      <c r="Q22" s="273">
        <v>811000</v>
      </c>
      <c r="R22" s="274">
        <f>-(100%-(N22/P22))</f>
        <v>-8.7179487179487203E-2</v>
      </c>
      <c r="S22" s="275">
        <f t="shared" si="1"/>
        <v>4745.5593694804547</v>
      </c>
      <c r="T22" s="275">
        <f t="shared" si="6"/>
        <v>5198.7869497117345</v>
      </c>
      <c r="U22" s="275"/>
      <c r="V22" s="128"/>
      <c r="W22" s="103">
        <v>45083</v>
      </c>
      <c r="X22" s="313">
        <v>71200</v>
      </c>
      <c r="Y22" s="313"/>
      <c r="Z22" s="103"/>
      <c r="AA22" s="313"/>
      <c r="AB22" s="103"/>
      <c r="AC22" s="313">
        <v>640800</v>
      </c>
      <c r="AD22" s="126" t="s">
        <v>549</v>
      </c>
      <c r="AE22" s="126"/>
      <c r="AF22" s="274">
        <v>0</v>
      </c>
      <c r="AG22" s="642"/>
      <c r="AH22" s="126" t="s">
        <v>249</v>
      </c>
      <c r="AI22" s="126" t="s">
        <v>249</v>
      </c>
      <c r="AJ22" s="132" t="s">
        <v>539</v>
      </c>
      <c r="AK22" s="132" t="s">
        <v>517</v>
      </c>
      <c r="AL22" s="132"/>
      <c r="AM22" s="132"/>
      <c r="AN22" s="132"/>
      <c r="AO22" s="1428" t="s">
        <v>17754</v>
      </c>
      <c r="AP22" s="132"/>
      <c r="AQ22" s="132"/>
      <c r="AR22" s="132"/>
      <c r="AS22" s="276">
        <f t="shared" si="4"/>
        <v>540126</v>
      </c>
      <c r="AT22" s="276">
        <v>3600</v>
      </c>
    </row>
    <row r="23" spans="1:46" s="334" customFormat="1" ht="13.5" customHeight="1">
      <c r="A23" s="126">
        <v>22</v>
      </c>
      <c r="B23" s="8" t="s">
        <v>45</v>
      </c>
      <c r="C23" s="268" t="s">
        <v>91</v>
      </c>
      <c r="D23" s="269">
        <v>4</v>
      </c>
      <c r="E23" s="270" t="s">
        <v>280</v>
      </c>
      <c r="F23" s="271">
        <v>96.06</v>
      </c>
      <c r="G23" s="1793">
        <v>16.309999999999999</v>
      </c>
      <c r="H23" s="455">
        <v>0</v>
      </c>
      <c r="I23" s="455">
        <v>0</v>
      </c>
      <c r="J23" s="272">
        <f t="shared" si="0"/>
        <v>100.953</v>
      </c>
      <c r="K23" s="126" t="s">
        <v>258</v>
      </c>
      <c r="L23" s="277" t="s">
        <v>249</v>
      </c>
      <c r="M23" s="277" t="s">
        <v>249</v>
      </c>
      <c r="N23" s="273">
        <v>428000</v>
      </c>
      <c r="O23" s="273">
        <v>428000</v>
      </c>
      <c r="P23" s="273">
        <v>428000</v>
      </c>
      <c r="Q23" s="273">
        <v>445000</v>
      </c>
      <c r="R23" s="274">
        <f t="shared" ref="R23:R29" si="7">-(100%-(N23/Q23))</f>
        <v>-3.8202247191011285E-2</v>
      </c>
      <c r="S23" s="275">
        <f t="shared" si="1"/>
        <v>4239.5966439828435</v>
      </c>
      <c r="T23" s="275">
        <f t="shared" si="6"/>
        <v>4239.5966439828435</v>
      </c>
      <c r="U23" s="275"/>
      <c r="V23" s="128"/>
      <c r="W23" s="103">
        <v>44931</v>
      </c>
      <c r="X23" s="313">
        <v>85600</v>
      </c>
      <c r="Y23" s="313"/>
      <c r="Z23" s="103"/>
      <c r="AA23" s="313"/>
      <c r="AB23" s="103"/>
      <c r="AC23" s="313">
        <v>342400</v>
      </c>
      <c r="AD23" s="126" t="s">
        <v>305</v>
      </c>
      <c r="AE23" s="126"/>
      <c r="AF23" s="274">
        <v>0.03</v>
      </c>
      <c r="AG23" s="642"/>
      <c r="AH23" s="126" t="s">
        <v>249</v>
      </c>
      <c r="AI23" s="126" t="s">
        <v>249</v>
      </c>
      <c r="AJ23" s="1792" t="s">
        <v>316</v>
      </c>
      <c r="AK23" s="132" t="s">
        <v>265</v>
      </c>
      <c r="AL23" s="132"/>
      <c r="AM23" s="132"/>
      <c r="AN23" s="132"/>
      <c r="AO23" s="1428" t="s">
        <v>17755</v>
      </c>
      <c r="AP23" s="132"/>
      <c r="AQ23" s="132"/>
      <c r="AR23" s="132"/>
      <c r="AS23" s="276">
        <f t="shared" si="4"/>
        <v>363430.8</v>
      </c>
      <c r="AT23" s="276">
        <v>3600</v>
      </c>
    </row>
    <row r="24" spans="1:46" s="334" customFormat="1" ht="13.5" customHeight="1">
      <c r="A24" s="126">
        <v>23</v>
      </c>
      <c r="B24" s="8" t="s">
        <v>46</v>
      </c>
      <c r="C24" s="268" t="s">
        <v>91</v>
      </c>
      <c r="D24" s="269">
        <v>4</v>
      </c>
      <c r="E24" s="270" t="s">
        <v>280</v>
      </c>
      <c r="F24" s="271">
        <v>96.06</v>
      </c>
      <c r="G24" s="1793">
        <v>16.309999999999999</v>
      </c>
      <c r="H24" s="455">
        <v>0</v>
      </c>
      <c r="I24" s="455">
        <v>0</v>
      </c>
      <c r="J24" s="272">
        <f t="shared" si="0"/>
        <v>100.953</v>
      </c>
      <c r="K24" s="126" t="s">
        <v>258</v>
      </c>
      <c r="L24" s="277" t="s">
        <v>249</v>
      </c>
      <c r="M24" s="277" t="s">
        <v>249</v>
      </c>
      <c r="N24" s="273">
        <v>440000</v>
      </c>
      <c r="O24" s="273">
        <v>428000</v>
      </c>
      <c r="P24" s="273">
        <v>428000</v>
      </c>
      <c r="Q24" s="273">
        <v>445000</v>
      </c>
      <c r="R24" s="274">
        <f t="shared" si="7"/>
        <v>-1.1235955056179803E-2</v>
      </c>
      <c r="S24" s="275">
        <f t="shared" si="1"/>
        <v>4358.4638396085302</v>
      </c>
      <c r="T24" s="275">
        <f t="shared" si="6"/>
        <v>4239.5966439828435</v>
      </c>
      <c r="U24" s="275"/>
      <c r="V24" s="128"/>
      <c r="W24" s="103">
        <v>45090</v>
      </c>
      <c r="X24" s="313">
        <v>44000</v>
      </c>
      <c r="Y24" s="313">
        <v>22000</v>
      </c>
      <c r="Z24" s="103">
        <f>60+W24</f>
        <v>45150</v>
      </c>
      <c r="AA24" s="313"/>
      <c r="AB24" s="103"/>
      <c r="AC24" s="313">
        <v>374000</v>
      </c>
      <c r="AD24" s="126" t="s">
        <v>577</v>
      </c>
      <c r="AE24" s="126"/>
      <c r="AF24" s="274">
        <v>0.03</v>
      </c>
      <c r="AG24" s="642"/>
      <c r="AH24" s="126" t="s">
        <v>249</v>
      </c>
      <c r="AI24" s="126" t="s">
        <v>249</v>
      </c>
      <c r="AJ24" s="1792" t="s">
        <v>516</v>
      </c>
      <c r="AK24" s="132" t="s">
        <v>517</v>
      </c>
      <c r="AL24" s="132"/>
      <c r="AM24" s="132"/>
      <c r="AN24" s="132"/>
      <c r="AO24" s="1428" t="s">
        <v>17756</v>
      </c>
      <c r="AP24" s="132"/>
      <c r="AQ24" s="132"/>
      <c r="AR24" s="132"/>
      <c r="AS24" s="276"/>
      <c r="AT24" s="276">
        <v>3600</v>
      </c>
    </row>
    <row r="25" spans="1:46" s="334" customFormat="1" ht="13.5" hidden="1" customHeight="1">
      <c r="A25" s="126">
        <v>24</v>
      </c>
      <c r="B25" s="8" t="s">
        <v>47</v>
      </c>
      <c r="C25" s="268" t="s">
        <v>90</v>
      </c>
      <c r="D25" s="269">
        <v>4</v>
      </c>
      <c r="E25" s="270" t="s">
        <v>275</v>
      </c>
      <c r="F25" s="271">
        <v>51.74</v>
      </c>
      <c r="G25" s="1793">
        <v>10.42</v>
      </c>
      <c r="H25" s="455">
        <v>0</v>
      </c>
      <c r="I25" s="455">
        <v>0</v>
      </c>
      <c r="J25" s="272">
        <f t="shared" si="0"/>
        <v>54.866</v>
      </c>
      <c r="K25" s="126" t="s">
        <v>258</v>
      </c>
      <c r="L25" s="277" t="s">
        <v>249</v>
      </c>
      <c r="M25" s="277" t="s">
        <v>249</v>
      </c>
      <c r="N25" s="273">
        <v>290000</v>
      </c>
      <c r="O25" s="273">
        <v>290000</v>
      </c>
      <c r="P25" s="1790">
        <v>290000</v>
      </c>
      <c r="Q25" s="273">
        <v>302000</v>
      </c>
      <c r="R25" s="274">
        <f t="shared" si="7"/>
        <v>-3.9735099337748325E-2</v>
      </c>
      <c r="S25" s="275">
        <f t="shared" si="1"/>
        <v>5285.6049283709399</v>
      </c>
      <c r="T25" s="275">
        <f>P25/J25</f>
        <v>5285.6049283709399</v>
      </c>
      <c r="U25" s="275">
        <f>Q25/J25</f>
        <v>5504.3196150621516</v>
      </c>
      <c r="V25" s="128"/>
      <c r="W25" s="103">
        <v>45154</v>
      </c>
      <c r="X25" s="313">
        <f>20%*N25</f>
        <v>58000</v>
      </c>
      <c r="Y25" s="313"/>
      <c r="Z25" s="103"/>
      <c r="AA25" s="313"/>
      <c r="AB25" s="103"/>
      <c r="AC25" s="313">
        <f>80%*N25</f>
        <v>232000</v>
      </c>
      <c r="AD25" s="126" t="s">
        <v>247</v>
      </c>
      <c r="AE25" s="126"/>
      <c r="AF25" s="274"/>
      <c r="AG25" s="642"/>
      <c r="AH25" s="126"/>
      <c r="AI25" s="126"/>
      <c r="AJ25" s="132" t="s">
        <v>17170</v>
      </c>
      <c r="AK25" s="132" t="s">
        <v>734</v>
      </c>
      <c r="AL25" s="132"/>
      <c r="AM25" s="132"/>
      <c r="AN25" s="132"/>
      <c r="AO25" s="1428" t="s">
        <v>17757</v>
      </c>
      <c r="AP25" s="132"/>
      <c r="AQ25" s="132"/>
      <c r="AR25" s="132"/>
      <c r="AS25" s="276">
        <f t="shared" ref="AS25:AS32" si="8">AT25*J25</f>
        <v>197517.6</v>
      </c>
      <c r="AT25" s="276">
        <v>3600</v>
      </c>
    </row>
    <row r="26" spans="1:46" s="334" customFormat="1" ht="13.5" customHeight="1">
      <c r="A26" s="126">
        <v>25</v>
      </c>
      <c r="B26" s="8" t="s">
        <v>48</v>
      </c>
      <c r="C26" s="268" t="s">
        <v>91</v>
      </c>
      <c r="D26" s="269">
        <v>4</v>
      </c>
      <c r="E26" s="270" t="s">
        <v>281</v>
      </c>
      <c r="F26" s="271">
        <v>91.75</v>
      </c>
      <c r="G26" s="1793">
        <v>11.69</v>
      </c>
      <c r="H26" s="455">
        <v>0</v>
      </c>
      <c r="I26" s="455">
        <v>0</v>
      </c>
      <c r="J26" s="272">
        <f t="shared" si="0"/>
        <v>95.257000000000005</v>
      </c>
      <c r="K26" s="126" t="s">
        <v>258</v>
      </c>
      <c r="L26" s="1797"/>
      <c r="M26" s="448" t="s">
        <v>249</v>
      </c>
      <c r="N26" s="276">
        <v>395000</v>
      </c>
      <c r="O26" s="273">
        <v>430000</v>
      </c>
      <c r="P26" s="273">
        <f>0.96*Q26</f>
        <v>460800</v>
      </c>
      <c r="Q26" s="273">
        <v>480000</v>
      </c>
      <c r="R26" s="274">
        <f t="shared" si="7"/>
        <v>-0.17708333333333337</v>
      </c>
      <c r="S26" s="275">
        <f t="shared" si="1"/>
        <v>4146.6768846383993</v>
      </c>
      <c r="T26" s="275">
        <f>P26/J26</f>
        <v>4837.4397682060107</v>
      </c>
      <c r="U26" s="275">
        <f>Q26/J26</f>
        <v>5038.9997585479277</v>
      </c>
      <c r="V26" s="128">
        <v>45685</v>
      </c>
      <c r="W26" s="103">
        <v>45719</v>
      </c>
      <c r="X26" s="313">
        <f>20%*N26</f>
        <v>79000</v>
      </c>
      <c r="Y26" s="313"/>
      <c r="Z26" s="103"/>
      <c r="AA26" s="313"/>
      <c r="AB26" s="103"/>
      <c r="AC26" s="313">
        <f>80%*395000</f>
        <v>316000</v>
      </c>
      <c r="AD26" s="126" t="s">
        <v>549</v>
      </c>
      <c r="AE26" s="126"/>
      <c r="AF26" s="274"/>
      <c r="AG26" s="274"/>
      <c r="AH26" s="126"/>
      <c r="AI26" s="126"/>
      <c r="AJ26" s="334" t="s">
        <v>17850</v>
      </c>
      <c r="AK26" s="132" t="s">
        <v>517</v>
      </c>
      <c r="AL26" s="132"/>
      <c r="AM26" s="132"/>
      <c r="AN26" s="132"/>
      <c r="AO26" s="132" t="s">
        <v>17851</v>
      </c>
      <c r="AP26" s="132"/>
      <c r="AQ26" s="132"/>
      <c r="AR26" s="132"/>
      <c r="AS26" s="276">
        <f t="shared" si="8"/>
        <v>342925.2</v>
      </c>
      <c r="AT26" s="276">
        <v>3600</v>
      </c>
    </row>
    <row r="27" spans="1:46" s="334" customFormat="1" ht="13.5" customHeight="1">
      <c r="A27" s="126">
        <v>26</v>
      </c>
      <c r="B27" s="8" t="s">
        <v>49</v>
      </c>
      <c r="C27" s="268" t="s">
        <v>91</v>
      </c>
      <c r="D27" s="269">
        <v>4</v>
      </c>
      <c r="E27" s="269" t="s">
        <v>282</v>
      </c>
      <c r="F27" s="271">
        <v>94.54</v>
      </c>
      <c r="G27" s="1793">
        <v>21.65</v>
      </c>
      <c r="H27" s="455">
        <v>0</v>
      </c>
      <c r="I27" s="455">
        <v>0</v>
      </c>
      <c r="J27" s="272">
        <f t="shared" si="0"/>
        <v>101.03500000000001</v>
      </c>
      <c r="K27" s="126" t="s">
        <v>258</v>
      </c>
      <c r="L27" s="277" t="s">
        <v>249</v>
      </c>
      <c r="M27" s="277" t="s">
        <v>249</v>
      </c>
      <c r="N27" s="273">
        <v>428000</v>
      </c>
      <c r="O27" s="273">
        <v>428000</v>
      </c>
      <c r="P27" s="273">
        <v>428000</v>
      </c>
      <c r="Q27" s="273">
        <v>445000</v>
      </c>
      <c r="R27" s="274">
        <f t="shared" si="7"/>
        <v>-3.8202247191011285E-2</v>
      </c>
      <c r="S27" s="275">
        <f t="shared" si="1"/>
        <v>4236.1557875983563</v>
      </c>
      <c r="T27" s="275">
        <f>O27/J27</f>
        <v>4236.1557875983563</v>
      </c>
      <c r="U27" s="275"/>
      <c r="V27" s="128"/>
      <c r="W27" s="103">
        <v>44967</v>
      </c>
      <c r="X27" s="313">
        <v>42800</v>
      </c>
      <c r="Y27" s="313">
        <v>42800</v>
      </c>
      <c r="Z27" s="103">
        <v>44972</v>
      </c>
      <c r="AA27" s="313"/>
      <c r="AB27" s="103"/>
      <c r="AC27" s="313">
        <v>342400</v>
      </c>
      <c r="AD27" s="280" t="s">
        <v>305</v>
      </c>
      <c r="AE27" s="126"/>
      <c r="AF27" s="274">
        <v>0.03</v>
      </c>
      <c r="AG27" s="642"/>
      <c r="AH27" s="126" t="s">
        <v>249</v>
      </c>
      <c r="AI27" s="126" t="s">
        <v>249</v>
      </c>
      <c r="AJ27" s="1791" t="s">
        <v>321</v>
      </c>
      <c r="AK27" s="132" t="s">
        <v>265</v>
      </c>
      <c r="AL27" s="132"/>
      <c r="AM27" s="132"/>
      <c r="AN27" s="132"/>
      <c r="AO27" s="1428" t="s">
        <v>17759</v>
      </c>
      <c r="AP27" s="1428" t="s">
        <v>17758</v>
      </c>
      <c r="AQ27" s="132"/>
      <c r="AR27" s="132"/>
      <c r="AS27" s="276">
        <f t="shared" si="8"/>
        <v>363726.00000000006</v>
      </c>
      <c r="AT27" s="276">
        <v>3600</v>
      </c>
    </row>
    <row r="28" spans="1:46" s="334" customFormat="1" ht="13.5" hidden="1" customHeight="1">
      <c r="A28" s="126">
        <v>27</v>
      </c>
      <c r="B28" s="8" t="s">
        <v>50</v>
      </c>
      <c r="C28" s="268" t="s">
        <v>89</v>
      </c>
      <c r="D28" s="269">
        <v>4</v>
      </c>
      <c r="E28" s="269" t="s">
        <v>283</v>
      </c>
      <c r="F28" s="271">
        <v>134.44</v>
      </c>
      <c r="G28" s="1793">
        <v>16.29</v>
      </c>
      <c r="H28" s="455">
        <v>0</v>
      </c>
      <c r="I28" s="455">
        <v>0</v>
      </c>
      <c r="J28" s="272">
        <f t="shared" si="0"/>
        <v>139.327</v>
      </c>
      <c r="K28" s="126" t="s">
        <v>258</v>
      </c>
      <c r="L28" s="277" t="s">
        <v>249</v>
      </c>
      <c r="M28" s="277" t="s">
        <v>249</v>
      </c>
      <c r="N28" s="273">
        <v>790000</v>
      </c>
      <c r="O28" s="273">
        <f>P28*0.96</f>
        <v>758400</v>
      </c>
      <c r="P28" s="273">
        <v>790000</v>
      </c>
      <c r="Q28" s="273">
        <v>822000</v>
      </c>
      <c r="R28" s="274">
        <f t="shared" si="7"/>
        <v>-3.8929440389294356E-2</v>
      </c>
      <c r="S28" s="275">
        <f t="shared" si="1"/>
        <v>5670.1141917934074</v>
      </c>
      <c r="T28" s="275">
        <f>O28/J28</f>
        <v>5443.3096241216708</v>
      </c>
      <c r="U28" s="275"/>
      <c r="V28" s="128"/>
      <c r="W28" s="113">
        <v>45099</v>
      </c>
      <c r="X28" s="313">
        <v>59250</v>
      </c>
      <c r="Y28" s="313">
        <v>59250</v>
      </c>
      <c r="Z28" s="103">
        <v>45160</v>
      </c>
      <c r="AA28" s="313"/>
      <c r="AB28" s="103"/>
      <c r="AC28" s="313">
        <v>671500</v>
      </c>
      <c r="AD28" s="126" t="s">
        <v>577</v>
      </c>
      <c r="AE28" s="126"/>
      <c r="AF28" s="274">
        <v>0.03</v>
      </c>
      <c r="AG28" s="642"/>
      <c r="AH28" s="126" t="s">
        <v>589</v>
      </c>
      <c r="AI28" s="126" t="s">
        <v>589</v>
      </c>
      <c r="AJ28" s="132" t="s">
        <v>585</v>
      </c>
      <c r="AK28" s="132" t="s">
        <v>517</v>
      </c>
      <c r="AL28" s="132"/>
      <c r="AM28" s="132"/>
      <c r="AN28" s="132"/>
      <c r="AO28" s="1428" t="s">
        <v>17760</v>
      </c>
      <c r="AP28" s="1428" t="s">
        <v>17761</v>
      </c>
      <c r="AQ28" s="132"/>
      <c r="AR28" s="132"/>
      <c r="AS28" s="276">
        <f t="shared" si="8"/>
        <v>501577.2</v>
      </c>
      <c r="AT28" s="276">
        <v>3600</v>
      </c>
    </row>
    <row r="29" spans="1:46" s="334" customFormat="1" ht="13.5" hidden="1" customHeight="1">
      <c r="A29" s="126">
        <v>28</v>
      </c>
      <c r="B29" s="8" t="s">
        <v>51</v>
      </c>
      <c r="C29" s="268" t="s">
        <v>93</v>
      </c>
      <c r="D29" s="269">
        <v>5</v>
      </c>
      <c r="E29" s="269" t="s">
        <v>595</v>
      </c>
      <c r="F29" s="271">
        <v>188.9</v>
      </c>
      <c r="G29" s="456">
        <v>16.100000000000001</v>
      </c>
      <c r="H29" s="1798">
        <v>77.819999999999993</v>
      </c>
      <c r="I29" s="455">
        <v>0</v>
      </c>
      <c r="J29" s="272">
        <f t="shared" si="0"/>
        <v>217.07600000000002</v>
      </c>
      <c r="K29" s="126" t="s">
        <v>258</v>
      </c>
      <c r="L29" s="126" t="s">
        <v>249</v>
      </c>
      <c r="M29" s="126" t="s">
        <v>249</v>
      </c>
      <c r="N29" s="273">
        <v>1187000</v>
      </c>
      <c r="O29" s="273">
        <v>1300000</v>
      </c>
      <c r="P29" s="273">
        <v>1300000</v>
      </c>
      <c r="Q29" s="273">
        <f>P29*1.04</f>
        <v>1352000</v>
      </c>
      <c r="R29" s="274">
        <f t="shared" si="7"/>
        <v>-0.12204142011834318</v>
      </c>
      <c r="S29" s="275">
        <f t="shared" si="1"/>
        <v>5468.1309771692859</v>
      </c>
      <c r="T29" s="275">
        <f>O29/J29</f>
        <v>5988.6859901601274</v>
      </c>
      <c r="U29" s="275"/>
      <c r="V29" s="128"/>
      <c r="W29" s="103">
        <v>45058</v>
      </c>
      <c r="X29" s="313">
        <f>10%*N29</f>
        <v>118700</v>
      </c>
      <c r="Y29" s="313"/>
      <c r="Z29" s="103"/>
      <c r="AA29" s="313"/>
      <c r="AB29" s="103"/>
      <c r="AC29" s="313">
        <f>90%*N29</f>
        <v>1068300</v>
      </c>
      <c r="AD29" s="126" t="s">
        <v>549</v>
      </c>
      <c r="AE29" s="126"/>
      <c r="AF29" s="274">
        <v>0</v>
      </c>
      <c r="AG29" s="642"/>
      <c r="AH29" s="126" t="s">
        <v>249</v>
      </c>
      <c r="AI29" s="126" t="s">
        <v>720</v>
      </c>
      <c r="AJ29" s="132" t="s">
        <v>17852</v>
      </c>
      <c r="AK29" s="132" t="s">
        <v>517</v>
      </c>
      <c r="AL29" s="132"/>
      <c r="AM29" s="132"/>
      <c r="AN29" s="132"/>
      <c r="AO29" s="1428" t="s">
        <v>17762</v>
      </c>
      <c r="AP29" s="132"/>
      <c r="AQ29" s="132"/>
      <c r="AR29" s="132"/>
      <c r="AS29" s="276">
        <f t="shared" si="8"/>
        <v>781473.60000000009</v>
      </c>
      <c r="AT29" s="276">
        <v>3600</v>
      </c>
    </row>
    <row r="30" spans="1:46" s="334" customFormat="1" ht="13.5" customHeight="1">
      <c r="A30" s="126">
        <v>29</v>
      </c>
      <c r="B30" s="8" t="s">
        <v>52</v>
      </c>
      <c r="C30" s="268" t="s">
        <v>91</v>
      </c>
      <c r="D30" s="269">
        <v>5</v>
      </c>
      <c r="E30" s="270" t="s">
        <v>280</v>
      </c>
      <c r="F30" s="271">
        <v>95.33</v>
      </c>
      <c r="G30" s="1793">
        <v>16.309999999999999</v>
      </c>
      <c r="H30" s="1799">
        <v>26.29</v>
      </c>
      <c r="I30" s="455">
        <v>0</v>
      </c>
      <c r="J30" s="272">
        <f t="shared" si="0"/>
        <v>108.11</v>
      </c>
      <c r="K30" s="126" t="s">
        <v>258</v>
      </c>
      <c r="L30" s="277" t="s">
        <v>249</v>
      </c>
      <c r="M30" s="277" t="s">
        <v>249</v>
      </c>
      <c r="N30" s="324">
        <v>554000</v>
      </c>
      <c r="O30" s="273">
        <v>554000</v>
      </c>
      <c r="P30" s="273">
        <v>555000</v>
      </c>
      <c r="Q30" s="273">
        <v>577000</v>
      </c>
      <c r="R30" s="274"/>
      <c r="S30" s="275">
        <f t="shared" si="1"/>
        <v>5124.4103228193508</v>
      </c>
      <c r="T30" s="275">
        <f>P30/J30</f>
        <v>5133.6601609471836</v>
      </c>
      <c r="U30" s="275">
        <f>Q30/J30</f>
        <v>5337.1565997595044</v>
      </c>
      <c r="V30" s="128"/>
      <c r="W30" s="103">
        <v>45073</v>
      </c>
      <c r="X30" s="313">
        <f>20%*N30</f>
        <v>110800</v>
      </c>
      <c r="Y30" s="313">
        <v>18000</v>
      </c>
      <c r="Z30" s="313"/>
      <c r="AA30" s="313"/>
      <c r="AB30" s="103"/>
      <c r="AC30" s="313">
        <f>80%*N30-18000</f>
        <v>425200</v>
      </c>
      <c r="AD30" s="126" t="s">
        <v>247</v>
      </c>
      <c r="AE30" s="126"/>
      <c r="AF30" s="274">
        <v>0.04</v>
      </c>
      <c r="AG30" s="642"/>
      <c r="AH30" s="126" t="s">
        <v>249</v>
      </c>
      <c r="AI30" s="126" t="s">
        <v>249</v>
      </c>
      <c r="AJ30" s="334" t="s">
        <v>17927</v>
      </c>
      <c r="AK30" s="132" t="s">
        <v>734</v>
      </c>
      <c r="AL30" s="132"/>
      <c r="AM30" s="132"/>
      <c r="AN30" s="132"/>
      <c r="AO30" s="1428" t="s">
        <v>17763</v>
      </c>
      <c r="AP30" s="132"/>
      <c r="AQ30" s="132"/>
      <c r="AR30" s="132"/>
      <c r="AS30" s="276">
        <f t="shared" si="8"/>
        <v>389196</v>
      </c>
      <c r="AT30" s="276">
        <v>3600</v>
      </c>
    </row>
    <row r="31" spans="1:46" s="334" customFormat="1" ht="15">
      <c r="A31" s="126">
        <v>30</v>
      </c>
      <c r="B31" s="11" t="s">
        <v>53</v>
      </c>
      <c r="C31" s="268" t="s">
        <v>91</v>
      </c>
      <c r="D31" s="269">
        <v>5</v>
      </c>
      <c r="E31" s="270" t="s">
        <v>280</v>
      </c>
      <c r="F31" s="271">
        <v>95.33</v>
      </c>
      <c r="G31" s="1793">
        <v>16.309999999999999</v>
      </c>
      <c r="H31" s="1799">
        <v>25.68</v>
      </c>
      <c r="I31" s="455">
        <v>0</v>
      </c>
      <c r="J31" s="272">
        <f t="shared" si="0"/>
        <v>107.92699999999999</v>
      </c>
      <c r="K31" s="126" t="s">
        <v>258</v>
      </c>
      <c r="L31" s="277" t="s">
        <v>249</v>
      </c>
      <c r="M31" s="277" t="s">
        <v>249</v>
      </c>
      <c r="N31" s="273">
        <v>545000</v>
      </c>
      <c r="O31" s="273">
        <v>550000</v>
      </c>
      <c r="P31" s="273">
        <v>550000</v>
      </c>
      <c r="Q31" s="273">
        <v>550000</v>
      </c>
      <c r="R31" s="274">
        <f>-(100%-(N31/Q31))</f>
        <v>-9.0909090909090384E-3</v>
      </c>
      <c r="S31" s="275">
        <f t="shared" si="1"/>
        <v>5049.709525883236</v>
      </c>
      <c r="T31" s="275">
        <f>O31/J31</f>
        <v>5096.0371362124406</v>
      </c>
      <c r="U31" s="275"/>
      <c r="V31" s="128"/>
      <c r="W31" s="103">
        <v>45015</v>
      </c>
      <c r="X31" s="313">
        <v>54500</v>
      </c>
      <c r="Y31" s="313">
        <v>27250</v>
      </c>
      <c r="Z31" s="103">
        <v>45076</v>
      </c>
      <c r="AA31" s="313"/>
      <c r="AB31" s="103"/>
      <c r="AC31" s="313">
        <v>463250</v>
      </c>
      <c r="AD31" s="126" t="s">
        <v>577</v>
      </c>
      <c r="AE31" s="126"/>
      <c r="AF31" s="274">
        <v>0.03</v>
      </c>
      <c r="AG31" s="642"/>
      <c r="AH31" s="126" t="s">
        <v>589</v>
      </c>
      <c r="AI31" s="126" t="s">
        <v>589</v>
      </c>
      <c r="AJ31" s="132" t="s">
        <v>18028</v>
      </c>
      <c r="AK31" s="132" t="s">
        <v>517</v>
      </c>
      <c r="AL31" s="132"/>
      <c r="AM31" s="132"/>
      <c r="AN31" s="132"/>
      <c r="AO31" s="1428" t="s">
        <v>17756</v>
      </c>
      <c r="AP31" s="132"/>
      <c r="AQ31" s="132"/>
      <c r="AR31" s="132"/>
      <c r="AS31" s="276">
        <f t="shared" si="8"/>
        <v>388537.19999999995</v>
      </c>
      <c r="AT31" s="276">
        <v>3600</v>
      </c>
    </row>
    <row r="32" spans="1:46" s="334" customFormat="1" ht="13.5" hidden="1" customHeight="1">
      <c r="A32" s="126">
        <v>31</v>
      </c>
      <c r="B32" s="8" t="s">
        <v>54</v>
      </c>
      <c r="C32" s="268" t="s">
        <v>89</v>
      </c>
      <c r="D32" s="269">
        <v>5</v>
      </c>
      <c r="E32" s="269" t="s">
        <v>284</v>
      </c>
      <c r="F32" s="271">
        <v>125.88</v>
      </c>
      <c r="G32" s="1793">
        <v>21.65</v>
      </c>
      <c r="H32" s="1799">
        <v>104.53</v>
      </c>
      <c r="I32" s="455">
        <v>0</v>
      </c>
      <c r="J32" s="272">
        <f t="shared" si="0"/>
        <v>163.73400000000001</v>
      </c>
      <c r="K32" s="126" t="s">
        <v>258</v>
      </c>
      <c r="L32" s="277" t="s">
        <v>249</v>
      </c>
      <c r="M32" s="277" t="s">
        <v>249</v>
      </c>
      <c r="N32" s="276">
        <v>795600</v>
      </c>
      <c r="O32" s="273">
        <v>850000</v>
      </c>
      <c r="P32" s="273">
        <v>850000</v>
      </c>
      <c r="Q32" s="273">
        <f>P32*1.04</f>
        <v>884000</v>
      </c>
      <c r="R32" s="274">
        <f>-(100%-(N32/Q32))</f>
        <v>-9.9999999999999978E-2</v>
      </c>
      <c r="S32" s="275">
        <f>N32/J32</f>
        <v>4859.1007365605183</v>
      </c>
      <c r="T32" s="275">
        <f>P32/J32</f>
        <v>5191.3469407697849</v>
      </c>
      <c r="U32" s="275">
        <f>Q32/J32</f>
        <v>5399.0008184005765</v>
      </c>
      <c r="V32" s="128"/>
      <c r="W32" s="103">
        <v>45687</v>
      </c>
      <c r="X32" s="313">
        <f>5000+158120</f>
        <v>163120</v>
      </c>
      <c r="Y32" s="313"/>
      <c r="Z32" s="103"/>
      <c r="AA32" s="313"/>
      <c r="AB32" s="103"/>
      <c r="AC32" s="313">
        <v>632480</v>
      </c>
      <c r="AD32" s="126" t="s">
        <v>247</v>
      </c>
      <c r="AE32" s="126"/>
      <c r="AF32" s="274"/>
      <c r="AG32" s="274"/>
      <c r="AH32" s="126"/>
      <c r="AI32" s="126"/>
      <c r="AJ32" s="132" t="s">
        <v>17834</v>
      </c>
      <c r="AK32" s="132" t="s">
        <v>17651</v>
      </c>
      <c r="AL32" s="132"/>
      <c r="AM32" s="132"/>
      <c r="AN32" s="132"/>
      <c r="AO32" s="1428" t="s">
        <v>17833</v>
      </c>
      <c r="AP32" s="132"/>
      <c r="AQ32" s="132"/>
      <c r="AR32" s="132"/>
      <c r="AS32" s="276">
        <f t="shared" si="8"/>
        <v>589442.4</v>
      </c>
      <c r="AT32" s="276">
        <v>3600</v>
      </c>
    </row>
    <row r="33" spans="1:76" ht="13.5" hidden="1" customHeight="1">
      <c r="F33" s="222">
        <f>SUM(F2:F32)</f>
        <v>3112.49</v>
      </c>
      <c r="J33" s="193">
        <f>SUM(J2:J32)</f>
        <v>3439.3419999999992</v>
      </c>
      <c r="N33" s="195">
        <v>7956</v>
      </c>
      <c r="O33" s="195">
        <f>N33/2</f>
        <v>3978</v>
      </c>
      <c r="Q33" s="194">
        <f>SUM(Q2:Q32)</f>
        <v>16693000</v>
      </c>
      <c r="R33" s="223"/>
      <c r="W33" s="282"/>
      <c r="X33" s="314"/>
      <c r="Y33" s="314"/>
      <c r="Z33" s="282"/>
      <c r="AA33" s="314"/>
      <c r="AB33" s="282"/>
      <c r="AC33" s="314"/>
      <c r="AG33" s="376"/>
    </row>
    <row r="34" spans="1:76" ht="13.5" customHeight="1" thickBot="1">
      <c r="N34" s="195"/>
      <c r="O34" s="195"/>
      <c r="P34" s="195"/>
      <c r="R34" s="195"/>
    </row>
    <row r="35" spans="1:76" ht="13.5" customHeight="1">
      <c r="A35" s="196"/>
      <c r="B35" s="48"/>
      <c r="C35" s="48" t="s">
        <v>139</v>
      </c>
      <c r="D35" s="48" t="s">
        <v>140</v>
      </c>
      <c r="E35" s="197" t="s">
        <v>17</v>
      </c>
      <c r="F35" s="198"/>
      <c r="G35" s="1915" t="s">
        <v>555</v>
      </c>
      <c r="H35" s="1916"/>
      <c r="J35" s="1923" t="s">
        <v>17456</v>
      </c>
      <c r="K35" s="1924"/>
      <c r="L35" s="1924"/>
      <c r="M35" s="1924"/>
      <c r="N35" s="1924"/>
      <c r="O35" s="1924"/>
      <c r="P35" s="1924"/>
      <c r="Q35" s="1924"/>
      <c r="R35" s="1924"/>
      <c r="S35" s="1924"/>
      <c r="T35" s="1924"/>
      <c r="U35" s="1925"/>
    </row>
    <row r="36" spans="1:76" ht="13.5" customHeight="1">
      <c r="A36" s="1996" t="s">
        <v>258</v>
      </c>
      <c r="B36" s="1997"/>
      <c r="C36" s="50">
        <f>COUNTIF(K2:K32,A36)</f>
        <v>31</v>
      </c>
      <c r="D36" s="51">
        <f>SUMIF(K2:K32,A36,N2:N32)</f>
        <v>15514480</v>
      </c>
      <c r="E36" s="76">
        <f>AVERAGEIF(K2:K32,A36,S2:S32)</f>
        <v>4449.2005647352762</v>
      </c>
      <c r="F36" s="198"/>
      <c r="G36" s="225">
        <v>2022</v>
      </c>
      <c r="H36" s="227">
        <f>COUNTIFS(W2:W32,"&gt;="&amp;DATE(2022,1,1),W2:W32,"&lt;="&amp;DATE(2022,12,31))</f>
        <v>1</v>
      </c>
      <c r="J36" s="691" t="s">
        <v>17303</v>
      </c>
      <c r="K36" s="691" t="s">
        <v>17304</v>
      </c>
      <c r="L36" s="692" t="s">
        <v>17305</v>
      </c>
      <c r="M36" s="693" t="s">
        <v>17306</v>
      </c>
      <c r="N36" s="693" t="s">
        <v>17307</v>
      </c>
      <c r="O36" s="693" t="s">
        <v>17308</v>
      </c>
      <c r="P36" s="694" t="s">
        <v>17309</v>
      </c>
      <c r="Q36" s="694" t="s">
        <v>17310</v>
      </c>
      <c r="R36" s="694" t="s">
        <v>17311</v>
      </c>
      <c r="S36" s="694" t="s">
        <v>17312</v>
      </c>
      <c r="T36" s="694" t="s">
        <v>17313</v>
      </c>
      <c r="U36" s="694" t="s">
        <v>17314</v>
      </c>
    </row>
    <row r="37" spans="1:76" ht="13.5" customHeight="1">
      <c r="A37" s="2002" t="s">
        <v>102</v>
      </c>
      <c r="B37" s="2003"/>
      <c r="C37" s="53">
        <f>COUNTIF(K2:K32,A37)</f>
        <v>0</v>
      </c>
      <c r="D37" s="54">
        <f>SUMIF(K2:K32,A37,O2:O32)</f>
        <v>0</v>
      </c>
      <c r="E37" s="78" t="e">
        <f>AVERAGEIF(K2:K32,A37,T2:T32)</f>
        <v>#DIV/0!</v>
      </c>
      <c r="F37" s="198"/>
      <c r="G37" s="225">
        <v>2023</v>
      </c>
      <c r="H37" s="227">
        <f>COUNTIFS(W2:W32,"&gt;="&amp;DATE(2023,1,1),W2:W32,"&lt;="&amp;DATE(2023,12,31))</f>
        <v>23</v>
      </c>
      <c r="J37" s="2012" t="s">
        <v>455</v>
      </c>
      <c r="K37" s="2013"/>
      <c r="L37" s="2013"/>
      <c r="M37" s="2013"/>
      <c r="N37" s="2013"/>
      <c r="O37" s="2013"/>
      <c r="P37" s="2013"/>
      <c r="Q37" s="2013"/>
      <c r="R37" s="2013"/>
      <c r="S37" s="2013"/>
      <c r="T37" s="2014"/>
      <c r="U37" s="695">
        <f>COUNTIFS(W2:W32,"&gt;="&amp;DATE(2022,12,1),W2:W32,"&lt;="&amp;DATE(2022,12,31))</f>
        <v>1</v>
      </c>
    </row>
    <row r="38" spans="1:76" ht="13.5" customHeight="1" thickBot="1">
      <c r="A38" s="2008" t="s">
        <v>138</v>
      </c>
      <c r="B38" s="2009"/>
      <c r="C38" s="138">
        <f>COUNTIF(K2:K32,"")</f>
        <v>0</v>
      </c>
      <c r="D38" s="200">
        <f>SUMIF(K2:K32,"",P2:P32)</f>
        <v>0</v>
      </c>
      <c r="E38" s="201" t="e">
        <f>AVERAGEIF(K2:K32,"",T2:T32)</f>
        <v>#DIV/0!</v>
      </c>
      <c r="F38" s="198"/>
      <c r="G38" s="226">
        <v>2024</v>
      </c>
      <c r="H38" s="216">
        <f>COUNTIFS(W2:W32,"&gt;="&amp;DATE(2024,1,1),W2:W32,"&lt;="&amp;DATE(2024,12,31))</f>
        <v>1</v>
      </c>
      <c r="J38" s="1923" t="s">
        <v>17457</v>
      </c>
      <c r="K38" s="1924"/>
      <c r="L38" s="1924"/>
      <c r="M38" s="1924"/>
      <c r="N38" s="1924"/>
      <c r="O38" s="1924"/>
      <c r="P38" s="1924"/>
      <c r="Q38" s="1924"/>
      <c r="R38" s="1924"/>
      <c r="S38" s="1924"/>
      <c r="T38" s="1924"/>
      <c r="U38" s="1925"/>
    </row>
    <row r="39" spans="1:76" ht="15" customHeight="1" thickBot="1">
      <c r="A39" s="2010" t="s">
        <v>210</v>
      </c>
      <c r="B39" s="2011"/>
      <c r="C39" s="202">
        <f>COUNTIF(K1:K32,A39)</f>
        <v>0</v>
      </c>
      <c r="D39" s="203">
        <f>SUMIF(K2:K32,A39,N2:N32)</f>
        <v>0</v>
      </c>
      <c r="E39" s="204" t="e">
        <f>AVERAGEIF(K2:K32,A39,S2:S32)</f>
        <v>#DIV/0!</v>
      </c>
      <c r="F39" s="198"/>
      <c r="G39" s="226">
        <v>2025</v>
      </c>
      <c r="H39" s="216">
        <f>COUNTIFS(W2:W32,"&gt;="&amp;DATE(2025,1,1),W2:W32,"&lt;="&amp;DATE(2025,12,31))</f>
        <v>6</v>
      </c>
      <c r="J39" s="691" t="s">
        <v>17303</v>
      </c>
      <c r="K39" s="691" t="s">
        <v>17304</v>
      </c>
      <c r="L39" s="692" t="s">
        <v>17305</v>
      </c>
      <c r="M39" s="693" t="s">
        <v>17306</v>
      </c>
      <c r="N39" s="693" t="s">
        <v>17307</v>
      </c>
      <c r="O39" s="693" t="s">
        <v>17308</v>
      </c>
      <c r="P39" s="694" t="s">
        <v>17309</v>
      </c>
      <c r="Q39" s="694" t="s">
        <v>17310</v>
      </c>
      <c r="R39" s="694" t="s">
        <v>17311</v>
      </c>
      <c r="S39" s="694" t="s">
        <v>17312</v>
      </c>
      <c r="T39" s="694" t="s">
        <v>17313</v>
      </c>
      <c r="U39" s="694" t="s">
        <v>17314</v>
      </c>
    </row>
    <row r="40" spans="1:76" s="192" customFormat="1" ht="15" customHeight="1" thickBot="1">
      <c r="A40" s="1895" t="s">
        <v>269</v>
      </c>
      <c r="B40" s="1896"/>
      <c r="C40" s="205">
        <f>SUBTOTAL(9,C36:C39)</f>
        <v>31</v>
      </c>
      <c r="D40" s="206">
        <f>SUBTOTAL(9,D36:D39)</f>
        <v>15514480</v>
      </c>
      <c r="E40" s="207">
        <f>D40/J33</f>
        <v>4510.8860939098249</v>
      </c>
      <c r="F40" s="198"/>
      <c r="G40" s="308" t="s">
        <v>544</v>
      </c>
      <c r="H40" s="309">
        <f>(C36)/C40</f>
        <v>1</v>
      </c>
      <c r="I40" s="188"/>
      <c r="J40" s="695">
        <f>COUNTIFS(W2:W32,"&gt;="&amp;DATE(2023,1,1),W2:W32,"&lt;="&amp;DATE(2023,1,31))</f>
        <v>3</v>
      </c>
      <c r="K40" s="695">
        <f>COUNTIFS(W2:W32,"&gt;="&amp;DATE(2023,2,1),W2:W32,"&lt;="&amp;DATE(2023,2,28))</f>
        <v>1</v>
      </c>
      <c r="L40" s="695">
        <f>COUNTIFS(W2:W32,"&gt;="&amp;DATE(2023,3,1),W2:W32,"&lt;="&amp;DATE(2023,3,31))</f>
        <v>1</v>
      </c>
      <c r="M40" s="695">
        <f>COUNTIFS(W2:W32,"&gt;="&amp;DATE(2023,4,1),W2:W32,"&lt;="&amp;DATE(2023,4,30))</f>
        <v>1</v>
      </c>
      <c r="N40" s="695">
        <f>COUNTIFS(W2:W32,"&gt;="&amp;DATE(2023,5,1),W2:W32,"&lt;="&amp;DATE(2023,5,31))</f>
        <v>4</v>
      </c>
      <c r="O40" s="695">
        <f>COUNTIFS(W2:W32,"&gt;="&amp;DATE(2023,6,1),W2:W32,"&lt;="&amp;DATE(2023,6,30))</f>
        <v>7</v>
      </c>
      <c r="P40" s="695">
        <f>COUNTIFS(W2:W32,"&gt;="&amp;DATE(2023,7,1),W2:W32,"&lt;="&amp;DATE(2023,7,31))</f>
        <v>2</v>
      </c>
      <c r="Q40" s="695">
        <f>COUNTIFS(W2:W32,"&gt;="&amp;DATE(2023,8,1),W2:W32,"&lt;="&amp;DATE(2023,8,31))</f>
        <v>1</v>
      </c>
      <c r="R40" s="695">
        <f>COUNTIFS(W2:W32,"&gt;="&amp;DATE(2023,9,1),W2:W32,"&lt;="&amp;DATE(2023,9,30))</f>
        <v>0</v>
      </c>
      <c r="S40" s="695">
        <f>COUNTIFS(W2:W32,"&gt;="&amp;DATE(2023,10,1),W2:W32,"&lt;="&amp;DATE(2023,10,31))</f>
        <v>0</v>
      </c>
      <c r="T40" s="695">
        <f>COUNTIFS(W2:W32,"&gt;="&amp;DATE(2023,11,1),W2:W32,"&lt;="&amp;DATE(2023,11,30))</f>
        <v>3</v>
      </c>
      <c r="U40" s="695">
        <f>COUNTIFS(W2:W32,"&gt;="&amp;DATE(2023,12,1),W2:W32,"&lt;="&amp;DATE(2023,12,31))</f>
        <v>0</v>
      </c>
      <c r="V40" s="283"/>
      <c r="W40" s="283"/>
      <c r="X40" s="315"/>
      <c r="Y40" s="315"/>
      <c r="Z40" s="283"/>
      <c r="AA40" s="315"/>
      <c r="AB40" s="283"/>
      <c r="AC40" s="315"/>
      <c r="AD40" s="188"/>
      <c r="AE40" s="188"/>
      <c r="AF40" s="376"/>
      <c r="AG40" s="647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88"/>
      <c r="AX40" s="188"/>
      <c r="AY40" s="188"/>
      <c r="AZ40" s="188"/>
      <c r="BA40" s="188"/>
      <c r="BB40" s="188"/>
      <c r="BC40" s="188"/>
      <c r="BD40" s="188"/>
      <c r="BE40" s="188"/>
      <c r="BF40" s="188"/>
      <c r="BG40" s="188"/>
      <c r="BH40" s="188"/>
      <c r="BI40" s="188"/>
      <c r="BJ40" s="188"/>
      <c r="BK40" s="188"/>
      <c r="BL40" s="188"/>
      <c r="BM40" s="188"/>
      <c r="BN40" s="188"/>
      <c r="BO40" s="188"/>
      <c r="BP40" s="188"/>
      <c r="BQ40" s="188"/>
      <c r="BR40" s="188"/>
      <c r="BS40" s="188"/>
      <c r="BT40" s="188"/>
      <c r="BU40" s="188"/>
      <c r="BV40" s="188"/>
      <c r="BW40" s="188"/>
      <c r="BX40" s="188"/>
    </row>
    <row r="41" spans="1:76" ht="13.5" customHeight="1" thickBot="1">
      <c r="A41" s="198"/>
      <c r="B41" s="198"/>
      <c r="C41" s="198"/>
      <c r="D41" s="198"/>
      <c r="E41" s="198"/>
      <c r="F41" s="198"/>
      <c r="G41" s="198"/>
      <c r="H41" s="198"/>
      <c r="J41" s="1923" t="s">
        <v>17315</v>
      </c>
      <c r="K41" s="1924"/>
      <c r="L41" s="1924"/>
      <c r="M41" s="1924"/>
      <c r="N41" s="1924"/>
      <c r="O41" s="1924"/>
      <c r="P41" s="1924"/>
      <c r="Q41" s="1924"/>
      <c r="R41" s="1924"/>
      <c r="S41" s="1924"/>
      <c r="T41" s="1924"/>
      <c r="U41" s="1925"/>
    </row>
    <row r="42" spans="1:76" ht="13.5" customHeight="1" thickBot="1">
      <c r="A42" s="2006" t="s">
        <v>139</v>
      </c>
      <c r="B42" s="2007"/>
      <c r="C42" s="48" t="s">
        <v>90</v>
      </c>
      <c r="D42" s="48" t="s">
        <v>91</v>
      </c>
      <c r="E42" s="48" t="s">
        <v>89</v>
      </c>
      <c r="F42" s="208" t="s">
        <v>93</v>
      </c>
      <c r="G42" s="197" t="s">
        <v>141</v>
      </c>
      <c r="H42" s="198"/>
      <c r="J42" s="691" t="s">
        <v>17303</v>
      </c>
      <c r="K42" s="691" t="s">
        <v>17304</v>
      </c>
      <c r="L42" s="692" t="s">
        <v>17305</v>
      </c>
      <c r="M42" s="693" t="s">
        <v>17306</v>
      </c>
      <c r="N42" s="693" t="s">
        <v>17307</v>
      </c>
      <c r="O42" s="693" t="s">
        <v>17308</v>
      </c>
      <c r="P42" s="694" t="s">
        <v>17309</v>
      </c>
      <c r="Q42" s="694" t="s">
        <v>17310</v>
      </c>
      <c r="R42" s="694" t="s">
        <v>17311</v>
      </c>
      <c r="S42" s="694" t="s">
        <v>17312</v>
      </c>
      <c r="T42" s="694" t="s">
        <v>17313</v>
      </c>
      <c r="U42" s="694" t="s">
        <v>17314</v>
      </c>
    </row>
    <row r="43" spans="1:76" ht="13.5" customHeight="1">
      <c r="A43" s="1996" t="s">
        <v>258</v>
      </c>
      <c r="B43" s="1997"/>
      <c r="C43" s="50">
        <f>COUNTIFS(K2:K32,A43,C2:C32,C42)</f>
        <v>6</v>
      </c>
      <c r="D43" s="50">
        <f>COUNTIFS(K2:K32,A43,C2:C32,D42)</f>
        <v>17</v>
      </c>
      <c r="E43" s="50">
        <f>COUNTIFS(K2:K32,A43,C2:C32,E42)</f>
        <v>7</v>
      </c>
      <c r="F43" s="50">
        <f>COUNTIFS(K2:K32,A43,C2:C32,F42)</f>
        <v>1</v>
      </c>
      <c r="G43" s="209">
        <f>SUM(C43:F43)</f>
        <v>31</v>
      </c>
      <c r="H43" s="198"/>
      <c r="J43" s="695">
        <f>COUNTIFS(W2:W32,"&gt;="&amp;DATE(2024,1,1),W2:W32,"&lt;="&amp;DATE(2024,1,31))</f>
        <v>0</v>
      </c>
      <c r="K43" s="695">
        <f>COUNTIFS(W2:W32,"&gt;="&amp;DATE(2025,1,1),W2:W32,"&lt;="&amp;DATE(2025,1,31))</f>
        <v>1</v>
      </c>
      <c r="L43" s="695">
        <f>COUNTIFS(W2:W32,"&gt;="&amp;DATE(2024,3,1),W2:W32,"&lt;="&amp;DATE(2024,3,31))</f>
        <v>1</v>
      </c>
      <c r="M43" s="695">
        <f>COUNTIFS(W2:W32,"&gt;="&amp;DATE(2024,4,1),W2:W32,"&lt;="&amp;DATE(2024,4,31))</f>
        <v>0</v>
      </c>
      <c r="N43" s="695">
        <f>COUNTIFS(W2:W32,"&gt;="&amp;DATE(2024,5,1),W2:W32,"&lt;="&amp;DATE(2024,5,31))</f>
        <v>0</v>
      </c>
      <c r="O43" s="695">
        <f>COUNTIFS(W2:W32,"&gt;="&amp;DATE(2024,6,1),W2:W32,"&lt;="&amp;DATE(2024,6,31))</f>
        <v>0</v>
      </c>
      <c r="P43" s="695">
        <f>COUNTIFS(W2:W32,"&gt;="&amp;DATE(2024,7,1),W2:W32,"&lt;="&amp;DATE(2024,7,31))</f>
        <v>0</v>
      </c>
      <c r="Q43" s="695">
        <f>COUNTIFS(W2:W32,"&gt;="&amp;DATE(2024,8,1),W2:W32,"&lt;="&amp;DATE(2024,8,31))</f>
        <v>0</v>
      </c>
      <c r="R43" s="695">
        <f>COUNTIFS(W2:W32,"&gt;="&amp;DATE(2024,9,1),W2:W32,"&lt;="&amp;DATE(2024,9,31))</f>
        <v>0</v>
      </c>
      <c r="S43" s="695">
        <f>COUNTIFS(W2:W32,"&gt;="&amp;DATE(2024,10,1),W2:W32,"&lt;="&amp;DATE(2024,10,31))</f>
        <v>0</v>
      </c>
      <c r="T43" s="695">
        <f>COUNTIFS(W2:W32,"&gt;="&amp;DATE(2024,11,1),W2:W32,"&lt;="&amp;DATE(2024,11,31))</f>
        <v>0</v>
      </c>
      <c r="U43" s="695">
        <f>COUNTIFS(W2:W32,"&gt;="&amp;DATE(2024,12,1),W2:W32,"&lt;="&amp;DATE(2024,12,31))</f>
        <v>0</v>
      </c>
    </row>
    <row r="44" spans="1:76" ht="13.5" customHeight="1">
      <c r="A44" s="2002" t="s">
        <v>102</v>
      </c>
      <c r="B44" s="2015"/>
      <c r="C44" s="53">
        <f>COUNTIFS(K2:K32,A44,C2:C32,C42)</f>
        <v>0</v>
      </c>
      <c r="D44" s="53">
        <f>COUNTIFS(K2:K32,A44,C2:C32,D42)</f>
        <v>0</v>
      </c>
      <c r="E44" s="53">
        <f>COUNTIFS(K2:K32,A44,C2:C32,E42)</f>
        <v>0</v>
      </c>
      <c r="F44" s="210">
        <f>COUNTIFS(K2:K32,A44,C2:C32,F42)</f>
        <v>0</v>
      </c>
      <c r="G44" s="211">
        <f>SUM(C44:F44)</f>
        <v>0</v>
      </c>
      <c r="H44" s="198"/>
      <c r="J44" s="1923" t="s">
        <v>17817</v>
      </c>
      <c r="K44" s="1924"/>
      <c r="L44" s="1924"/>
      <c r="M44" s="1924"/>
      <c r="N44" s="1924"/>
      <c r="O44" s="1924"/>
      <c r="P44" s="1924"/>
      <c r="Q44" s="1924"/>
      <c r="R44" s="1924"/>
      <c r="S44" s="1924"/>
      <c r="T44" s="1924"/>
      <c r="U44" s="1925"/>
    </row>
    <row r="45" spans="1:76" ht="13.5" customHeight="1" thickBot="1">
      <c r="A45" s="1988" t="s">
        <v>138</v>
      </c>
      <c r="B45" s="1989"/>
      <c r="C45" s="138">
        <f>COUNTIFS(K2:K32,"",C2:C32,C42)</f>
        <v>0</v>
      </c>
      <c r="D45" s="138">
        <f>COUNTIFS(K2:K32,"",C2:C32,D42)</f>
        <v>0</v>
      </c>
      <c r="E45" s="138">
        <f>COUNTIFS(K2:K32,"",C2:C32,E42)</f>
        <v>0</v>
      </c>
      <c r="F45" s="212">
        <f>COUNTIFS(K2:K32,"",C2:C32,F42)</f>
        <v>0</v>
      </c>
      <c r="G45" s="213">
        <f>SUM(C45:F45)</f>
        <v>0</v>
      </c>
      <c r="H45" s="198"/>
      <c r="J45" s="691" t="s">
        <v>17303</v>
      </c>
      <c r="K45" s="691" t="s">
        <v>17304</v>
      </c>
      <c r="L45" s="692" t="s">
        <v>17305</v>
      </c>
      <c r="M45" s="693" t="s">
        <v>17306</v>
      </c>
      <c r="N45" s="693" t="s">
        <v>17307</v>
      </c>
      <c r="O45" s="693" t="s">
        <v>17308</v>
      </c>
      <c r="P45" s="694" t="s">
        <v>17309</v>
      </c>
      <c r="Q45" s="694" t="s">
        <v>17310</v>
      </c>
      <c r="R45" s="694" t="s">
        <v>17311</v>
      </c>
      <c r="S45" s="694" t="s">
        <v>17312</v>
      </c>
      <c r="T45" s="694" t="s">
        <v>17313</v>
      </c>
      <c r="U45" s="694" t="s">
        <v>17314</v>
      </c>
    </row>
    <row r="46" spans="1:76" ht="13.5" customHeight="1" thickBot="1">
      <c r="A46" s="1990" t="s">
        <v>210</v>
      </c>
      <c r="B46" s="1991"/>
      <c r="C46" s="202">
        <f>COUNTIFS(K2:K32,A46,C2:C32,C42)</f>
        <v>0</v>
      </c>
      <c r="D46" s="202">
        <f>COUNTIFS(K2:K32,A46,C2:C32,D42)</f>
        <v>0</v>
      </c>
      <c r="E46" s="202">
        <f>COUNTIFS(K2:K32,A46,C2:C32,E42)</f>
        <v>0</v>
      </c>
      <c r="F46" s="214">
        <f>COUNTIFS(K2:K32,A46,C2:C32,F42)</f>
        <v>0</v>
      </c>
      <c r="G46" s="215">
        <f>SUM(C46:F46)</f>
        <v>0</v>
      </c>
      <c r="H46" s="198"/>
      <c r="J46" s="695">
        <f>COUNTIFS(W2:W32,"&gt;="&amp;DATE(2025,1,1),W2:W32,"&lt;="&amp;DATE(2025,1,31))</f>
        <v>1</v>
      </c>
      <c r="K46" s="695">
        <f>COUNTIFS(W2:W32,"&gt;="&amp;DATE(2025,2,1),W2:W32,"&lt;="&amp;DATE(2025,2,28))</f>
        <v>0</v>
      </c>
      <c r="L46" s="695">
        <f>COUNTIFS(W2:W32,"&gt;="&amp;DATE(2025,3,1),W2:W32,"&lt;="&amp;DATE(2025,3,31))</f>
        <v>2</v>
      </c>
      <c r="M46" s="695">
        <f>COUNTIFS(W2:W32,"&gt;="&amp;DATE(2025,4,1),W2:W32,"&lt;="&amp;DATE(2025,4,30))</f>
        <v>2</v>
      </c>
      <c r="N46" s="695">
        <f>COUNTIFS(W2:W32,"&gt;="&amp;DATE(2025,5,1),W2:W32,"&lt;="&amp;DATE(2025,5,31))</f>
        <v>1</v>
      </c>
      <c r="O46" s="695">
        <f>COUNTIFS(W2:W32,"&gt;="&amp;DATE(2025,6,1),W2:W32,"&lt;="&amp;DATE(2025,6,30))</f>
        <v>0</v>
      </c>
      <c r="P46" s="695">
        <f>COUNTIFS(W2:W32,"&gt;="&amp;DATE(2025,7,1),W2:W32,"&lt;="&amp;DATE(2025,7,31))</f>
        <v>0</v>
      </c>
      <c r="Q46" s="695">
        <f>COUNTIFS(W2:W32,"&gt;="&amp;DATE(2025,8,1),W2:W32,"&lt;="&amp;DATE(2025,8,31))</f>
        <v>0</v>
      </c>
      <c r="R46" s="695">
        <f>COUNTIFS(W2:W32,"&gt;="&amp;DATE(2025,9,1),W2:W32,"&lt;="&amp;DATE(2025,9,30))</f>
        <v>0</v>
      </c>
      <c r="S46" s="695">
        <f>COUNTIFS(W2:W32,"&gt;="&amp;DATE(2025,10,1),W2:W32,"&lt;="&amp;DATE(2025,10,31))</f>
        <v>0</v>
      </c>
      <c r="T46" s="695">
        <f>COUNTIFS(W2:W32,"&gt;="&amp;DATE(2025,11,1),W2:W32,"&lt;="&amp;DATE(2025,11,30))</f>
        <v>0</v>
      </c>
      <c r="U46" s="695">
        <f>COUNTIFS(W2:W32,"&gt;="&amp;DATE(2025,12,1),W2:W32,"&lt;="&amp;DATE(2025,12,31))</f>
        <v>0</v>
      </c>
    </row>
    <row r="47" spans="1:76" ht="13.5" customHeight="1" thickBot="1">
      <c r="A47" s="1992" t="s">
        <v>141</v>
      </c>
      <c r="B47" s="1993"/>
      <c r="C47" s="56">
        <f>SUM(C43:C46)</f>
        <v>6</v>
      </c>
      <c r="D47" s="56">
        <f>SUM(D43:D46)</f>
        <v>17</v>
      </c>
      <c r="E47" s="56">
        <f>SUM(E43:E46)</f>
        <v>7</v>
      </c>
      <c r="F47" s="56">
        <f>SUM(F43:F46)</f>
        <v>1</v>
      </c>
      <c r="G47" s="216">
        <f>SUM(G43:G46)</f>
        <v>31</v>
      </c>
      <c r="H47" s="198"/>
      <c r="N47" s="195"/>
      <c r="Q47" s="195"/>
    </row>
    <row r="48" spans="1:76" ht="13.5" customHeight="1" thickBot="1">
      <c r="A48" s="198"/>
      <c r="B48" s="198"/>
      <c r="C48" s="198"/>
      <c r="D48" s="198"/>
      <c r="E48" s="198"/>
      <c r="F48" s="198"/>
      <c r="G48" s="198"/>
      <c r="H48" s="198"/>
      <c r="N48" s="195"/>
      <c r="Q48" s="195"/>
    </row>
    <row r="49" spans="1:21" ht="13.5" customHeight="1" thickBot="1">
      <c r="A49" s="198"/>
      <c r="B49" s="198"/>
      <c r="C49" s="198"/>
      <c r="D49" s="198"/>
      <c r="E49" s="198"/>
      <c r="F49" s="198"/>
      <c r="H49" s="198"/>
      <c r="J49" s="1890" t="s">
        <v>17437</v>
      </c>
      <c r="K49" s="1892"/>
      <c r="L49" s="1891"/>
      <c r="M49" s="1892"/>
      <c r="N49" s="1"/>
      <c r="O49" s="1890" t="s">
        <v>17441</v>
      </c>
      <c r="P49" s="1890"/>
      <c r="Q49" s="1892"/>
      <c r="R49" s="1892"/>
    </row>
    <row r="50" spans="1:21" ht="13.5" customHeight="1">
      <c r="A50" s="1994" t="s">
        <v>142</v>
      </c>
      <c r="B50" s="1995"/>
      <c r="C50" s="48" t="s">
        <v>90</v>
      </c>
      <c r="D50" s="48" t="s">
        <v>91</v>
      </c>
      <c r="E50" s="48" t="s">
        <v>89</v>
      </c>
      <c r="F50" s="208" t="s">
        <v>93</v>
      </c>
      <c r="G50" s="197" t="s">
        <v>141</v>
      </c>
      <c r="H50" s="198"/>
      <c r="J50" s="1275"/>
      <c r="K50" s="1276" t="s">
        <v>17438</v>
      </c>
      <c r="L50" s="1271">
        <v>2024</v>
      </c>
      <c r="M50" s="1011" t="s">
        <v>17444</v>
      </c>
      <c r="N50" s="1"/>
      <c r="O50" s="1010"/>
      <c r="P50" s="1282" t="s">
        <v>17438</v>
      </c>
      <c r="Q50" s="1276">
        <v>2024</v>
      </c>
      <c r="R50" s="1273" t="s">
        <v>17444</v>
      </c>
    </row>
    <row r="51" spans="1:21" ht="13.5" customHeight="1">
      <c r="A51" s="1996" t="s">
        <v>258</v>
      </c>
      <c r="B51" s="1997"/>
      <c r="C51" s="51">
        <f>AVERAGEIFS(S2:S32,K2:K32,A51,C2:C32,C50)</f>
        <v>4520.0965478747921</v>
      </c>
      <c r="D51" s="51">
        <f>AVERAGEIFS(S2:S32,K2:K32,A51,C2:C32,D50)</f>
        <v>4095.6335592264845</v>
      </c>
      <c r="E51" s="51">
        <f>AVERAGEIFS(S2:S32,K2:K32,A51,C2:C32,E50)</f>
        <v>5101.5338193607467</v>
      </c>
      <c r="F51" s="477">
        <f>AVERAGEIFS(S2:S32,K2:K32,A51,C2:C32,F50)</f>
        <v>5468.1309771692859</v>
      </c>
      <c r="G51" s="76">
        <f>AVERAGEIF(K2:K32,A51,S2:S32)</f>
        <v>4449.2005647352762</v>
      </c>
      <c r="H51" s="198"/>
      <c r="J51" s="1277" t="s">
        <v>17439</v>
      </c>
      <c r="K51" s="1278">
        <f>COUNTIFS(K2:K32,K31,AD2:AD32,J51)</f>
        <v>15</v>
      </c>
      <c r="L51" s="1272">
        <f>COUNTIFS(W2:W32,"&gt;="&amp;DATE(2024,1,1),W2:W32,"&lt;="&amp;DATE(2024,12,31),AD2:AD32,J51)</f>
        <v>1</v>
      </c>
      <c r="M51" s="343">
        <f>K51/(+$K$51+$K$52+$K$53+$K$54+$K$55)</f>
        <v>0.4838709677419355</v>
      </c>
      <c r="N51" s="1"/>
      <c r="O51" s="34" t="s">
        <v>265</v>
      </c>
      <c r="P51" s="1283">
        <f>COUNTIFS($K$2:$K$32,K13,$AK$2:$AK$32,AK6)</f>
        <v>13</v>
      </c>
      <c r="Q51" s="1278">
        <f>COUNTIFS(W2:W32,"&gt;="&amp;DATE(2024,1,1),W2:W32,"&lt;="&amp;DATE(2024,12,31),AK2:AK32,O51)</f>
        <v>0</v>
      </c>
      <c r="R51" s="1274">
        <f>P51/(+$P$51+$P$52+$P$53+$P$54+$P$55)</f>
        <v>0.43333333333333335</v>
      </c>
    </row>
    <row r="52" spans="1:21" ht="13.5" customHeight="1">
      <c r="A52" s="2002" t="s">
        <v>102</v>
      </c>
      <c r="B52" s="2003"/>
      <c r="C52" s="54" t="e">
        <f>AVERAGEIFS(T2:T32,K2:K32,A52,C2:C32,C50)</f>
        <v>#DIV/0!</v>
      </c>
      <c r="D52" s="54" t="e">
        <f>AVERAGEIFS(T2:T32,K2:K32,A52,C2:C32,D50)</f>
        <v>#DIV/0!</v>
      </c>
      <c r="E52" s="54" t="e">
        <f>AVERAGEIFS(T2:T32,K2:K32,A52,C2:C32,E50)</f>
        <v>#DIV/0!</v>
      </c>
      <c r="F52" s="210" t="e">
        <f>AVERAGEIFS(T2:T32,K2:K32,A52,C2:C32,F50)</f>
        <v>#DIV/0!</v>
      </c>
      <c r="G52" s="78" t="e">
        <f>AVERAGEIF(K2:K32,A52,T2:T32)</f>
        <v>#DIV/0!</v>
      </c>
      <c r="H52" s="198"/>
      <c r="J52" s="1277" t="s">
        <v>17445</v>
      </c>
      <c r="K52" s="1278">
        <f>COUNTIFS(K2:K32,K31,AD2:AD32,J52)</f>
        <v>5</v>
      </c>
      <c r="L52" s="1272">
        <f>COUNTIFS(W2:W32,"&gt;="&amp;DATE(2024,1,1),W2:W32,"&lt;="&amp;DATE(2024,12,31),AD2:AD32,J52)</f>
        <v>0</v>
      </c>
      <c r="M52" s="343">
        <f>K52/(+$K$51+$K$52+$K$53+$K$54+$K$55)</f>
        <v>0.16129032258064516</v>
      </c>
      <c r="N52" s="1"/>
      <c r="O52" s="34" t="s">
        <v>517</v>
      </c>
      <c r="P52" s="1283">
        <f>COUNTIFS($K$2:$K$32,K13,$AK$2:$AK$32,O52)</f>
        <v>12</v>
      </c>
      <c r="Q52" s="1278">
        <f>COUNTIFS(W2:W32,"&gt;="&amp;DATE(2024,1,1),W2:W32,"&lt;="&amp;DATE(2024,12,31),AK2:AK32,O52)</f>
        <v>0</v>
      </c>
      <c r="R52" s="1274">
        <f>P52/(+$P$51+$P$52+$P$53+$P$54+$P$55)</f>
        <v>0.4</v>
      </c>
    </row>
    <row r="53" spans="1:21" ht="13.5" customHeight="1">
      <c r="A53" s="2004" t="s">
        <v>138</v>
      </c>
      <c r="B53" s="2005"/>
      <c r="C53" s="80" t="e">
        <f>AVERAGEIFS(T2:T32,K2:K32,"",C2:C32,C50)</f>
        <v>#DIV/0!</v>
      </c>
      <c r="D53" s="80" t="e">
        <f>AVERAGEIFS(T2:T32,K2:K32,"",C2:C32,D50)</f>
        <v>#DIV/0!</v>
      </c>
      <c r="E53" s="80" t="e">
        <f>AVERAGEIFS(T2:T32,K2:K32,"",C2:C32,E50)</f>
        <v>#DIV/0!</v>
      </c>
      <c r="F53" s="218" t="e">
        <f>AVERAGEIFS(T2:T32,K2:K32,"",C2:C32,F50)</f>
        <v>#DIV/0!</v>
      </c>
      <c r="G53" s="81" t="e">
        <f>AVERAGEIF(K2:K32,"",T2:T32)</f>
        <v>#DIV/0!</v>
      </c>
      <c r="H53" s="198"/>
      <c r="J53" s="1279" t="s">
        <v>17440</v>
      </c>
      <c r="K53" s="1278">
        <f>COUNTIFS(K2:K32,K31,AD2:AD32,AD29)</f>
        <v>7</v>
      </c>
      <c r="L53" s="1272">
        <f>COUNTIFS(W2:W32,"&gt;="&amp;DATE(2024,1,1),W2:W32,"&lt;="&amp;DATE(2024,12,31),AD2:AD32,J53)</f>
        <v>0</v>
      </c>
      <c r="M53" s="343">
        <f>K53/(+$K$51+$K$52+$K$53+$K$54+$K$55)</f>
        <v>0.22580645161290322</v>
      </c>
      <c r="N53" s="1"/>
      <c r="O53" s="34" t="s">
        <v>565</v>
      </c>
      <c r="P53" s="1283">
        <f>COUNTIFS($K$2:$K$32,K13,$AK$2:$AK$32,O53)</f>
        <v>1</v>
      </c>
      <c r="Q53" s="1278">
        <f>COUNTIFS(W2:W32,"&gt;="&amp;DATE(2024,1,1),W2:W32,"&lt;="&amp;DATE(2024,12,31),AK2:AK32,O53)</f>
        <v>1</v>
      </c>
      <c r="R53" s="1274">
        <f>P53/(+$P$51+$P$52+$P$53+$P$54+$P$55)</f>
        <v>3.3333333333333333E-2</v>
      </c>
      <c r="U53" s="195"/>
    </row>
    <row r="54" spans="1:21" ht="13.5" customHeight="1" thickBot="1">
      <c r="A54" s="2000" t="s">
        <v>210</v>
      </c>
      <c r="B54" s="2001"/>
      <c r="C54" s="60" t="e">
        <f>AVERAGEIFS(S2:S32,K2:K32,A54,C2:C32,C50)</f>
        <v>#DIV/0!</v>
      </c>
      <c r="D54" s="60" t="e">
        <f>AVERAGEIFS(S2:S32,K2:K32,A54,C2:C32,D50)</f>
        <v>#DIV/0!</v>
      </c>
      <c r="E54" s="60" t="e">
        <f>AVERAGEIFS(S2:S32,K2:K32,A54,C2:C32,E50)</f>
        <v>#DIV/0!</v>
      </c>
      <c r="F54" s="219" t="e">
        <f>AVERAGEIFS(S2:S32,K2:K32,A54,C2:C32,F50)</f>
        <v>#DIV/0!</v>
      </c>
      <c r="G54" s="83" t="e">
        <f>AVERAGEIF(K2:K32,A54,S2:S32)</f>
        <v>#DIV/0!</v>
      </c>
      <c r="H54" s="198"/>
      <c r="J54" s="1279" t="s">
        <v>577</v>
      </c>
      <c r="K54" s="1278">
        <f>COUNTIFS(K2:K32,K31,AD2:AD32,AD31)</f>
        <v>4</v>
      </c>
      <c r="L54" s="1272">
        <f>COUNTIFS(W2:W32,"&gt;="&amp;DATE(2024,1,1),W2:W32,"&lt;="&amp;DATE(2024,12,31),AD2:AD32,J54)</f>
        <v>0</v>
      </c>
      <c r="M54" s="343">
        <f>K54/(+$K$51+$K$52+$K$53+$K$54+$K$55)</f>
        <v>0.12903225806451613</v>
      </c>
      <c r="N54" s="195"/>
      <c r="O54" s="22" t="s">
        <v>734</v>
      </c>
      <c r="P54" s="1284">
        <f>COUNTIFS($K$2:$K$32,K13,$AK$2:$AK$32,O54)</f>
        <v>3</v>
      </c>
      <c r="Q54" s="1285">
        <f>COUNTIFS(W2:W32,"&gt;="&amp;DATE(2024,1,1),W2:W32,"&lt;="&amp;DATE(2024,12,31),AK2:AK32,O54)</f>
        <v>0</v>
      </c>
      <c r="R54" s="1274">
        <f>P54/(+$P$51+$P$52+$P$53+$P$54+$P$55)</f>
        <v>0.1</v>
      </c>
      <c r="U54" s="195"/>
    </row>
    <row r="55" spans="1:21" ht="13.5" customHeight="1" thickBot="1">
      <c r="H55" s="198"/>
      <c r="J55" s="1280" t="s">
        <v>222</v>
      </c>
      <c r="K55" s="1281">
        <f>COUNTIFS(K2:K32,K31,AD2:AD32,J55)</f>
        <v>0</v>
      </c>
      <c r="L55" s="1272">
        <f>COUNTIFS(W2:W32,"&gt;="&amp;DATE(2024,1,1),W2:W32,"&lt;="&amp;DATE(2024,12,31),AD2:AD32,J55)</f>
        <v>0</v>
      </c>
      <c r="M55" s="343">
        <f>K55/(+$K$51+$K$52+$K$53+$K$54+$K$55)</f>
        <v>0</v>
      </c>
      <c r="N55" s="195"/>
      <c r="O55" s="130" t="s">
        <v>17200</v>
      </c>
      <c r="P55" s="1286">
        <f>COUNTIFS($K$2:$K$32,K13,$AK$2:$AK$32,AK10)</f>
        <v>1</v>
      </c>
      <c r="Q55" s="1287">
        <f>COUNTIFS(W2:W32,"&gt;="&amp;DATE(2024,1,1),W2:W32,"&lt;="&amp;DATE(2024,12,31),AK2:AK32,O55)</f>
        <v>0</v>
      </c>
      <c r="R55" s="1274">
        <f>P55/(+$P$51+$P$52+$P$53+$P$54+$P$55)</f>
        <v>3.3333333333333333E-2</v>
      </c>
    </row>
    <row r="56" spans="1:21" ht="13.5" customHeight="1">
      <c r="A56" s="1994" t="s">
        <v>192</v>
      </c>
      <c r="B56" s="1995"/>
      <c r="C56" s="48" t="s">
        <v>90</v>
      </c>
      <c r="D56" s="48" t="s">
        <v>91</v>
      </c>
      <c r="E56" s="48" t="s">
        <v>89</v>
      </c>
      <c r="F56" s="208" t="s">
        <v>93</v>
      </c>
      <c r="G56" s="197" t="s">
        <v>141</v>
      </c>
      <c r="H56" s="198"/>
      <c r="N56" s="195"/>
      <c r="O56" s="195"/>
      <c r="P56" s="195"/>
    </row>
    <row r="57" spans="1:21" ht="13.5" customHeight="1">
      <c r="A57" s="1996" t="s">
        <v>258</v>
      </c>
      <c r="B57" s="1997"/>
      <c r="C57" s="51">
        <f>AVERAGEIFS(N2:N32,K2:K32,A57,C2:C32,C56)</f>
        <v>280653.33333333331</v>
      </c>
      <c r="D57" s="51">
        <f>AVERAGEIFS(N2:N32,K2:K32,A57,C2:C32,D56)</f>
        <v>432871.76470588235</v>
      </c>
      <c r="E57" s="51">
        <f>AVERAGEIFS(N2:N32,K2:K32,A57,C2:C32,E56)</f>
        <v>754962.85714285716</v>
      </c>
      <c r="F57" s="217">
        <f>AVERAGEIFS(N2:N32,K2:K32,A57,C2:C32,F56)</f>
        <v>1187000</v>
      </c>
      <c r="G57" s="76">
        <f>AVERAGEIF(K2:K32,A57,N2:N32)</f>
        <v>500467.09677419357</v>
      </c>
      <c r="H57" s="198"/>
      <c r="N57" s="195"/>
      <c r="O57" s="195"/>
      <c r="P57" s="195"/>
    </row>
    <row r="58" spans="1:21" ht="13.5" customHeight="1">
      <c r="A58" s="2002" t="s">
        <v>102</v>
      </c>
      <c r="B58" s="2003"/>
      <c r="C58" s="54" t="e">
        <f>AVERAGEIFS(N2:N32,K2:K32,A58,C2:C32,C56)</f>
        <v>#DIV/0!</v>
      </c>
      <c r="D58" s="54" t="e">
        <f>AVERAGEIFS(N2:N32,K2:K32,A58,C2:C32,D56)</f>
        <v>#DIV/0!</v>
      </c>
      <c r="E58" s="54" t="e">
        <f>AVERAGEIFS(N2:N32,K2:K32,A58,C2:C32,E56)</f>
        <v>#DIV/0!</v>
      </c>
      <c r="F58" s="210" t="e">
        <f>AVERAGEIFS(N2:N32,K2:K32,A58,C2:C32,F56)</f>
        <v>#DIV/0!</v>
      </c>
      <c r="G58" s="78" t="e">
        <f>AVERAGEIF(K2:K32,A58,N2:N32)</f>
        <v>#DIV/0!</v>
      </c>
      <c r="H58" s="198"/>
      <c r="N58" s="195"/>
      <c r="O58" s="195"/>
      <c r="P58" s="195"/>
      <c r="R58" s="195"/>
    </row>
    <row r="59" spans="1:21" ht="13.5" customHeight="1" thickBot="1">
      <c r="A59" s="1998" t="s">
        <v>138</v>
      </c>
      <c r="B59" s="1999"/>
      <c r="C59" s="85" t="e">
        <f>AVERAGEIFS(O2:O32,K2:K32,"",C2:C32,C56)</f>
        <v>#DIV/0!</v>
      </c>
      <c r="D59" s="85" t="e">
        <f>AVERAGEIFS(O2:O32,K2:K32,"",C2:C32,D56)</f>
        <v>#DIV/0!</v>
      </c>
      <c r="E59" s="85" t="e">
        <f>AVERAGEIFS(O2:O32,K2:K32,"",C2:C32,E56)</f>
        <v>#DIV/0!</v>
      </c>
      <c r="F59" s="230" t="e">
        <f>AVERAGEIFS(Q2:Q32,K2:K32,"",C2:C32,F56)</f>
        <v>#DIV/0!</v>
      </c>
      <c r="G59" s="86" t="e">
        <f>AVERAGEIF(K2:K32,"",P2:P32)</f>
        <v>#DIV/0!</v>
      </c>
      <c r="H59" s="198"/>
      <c r="N59" s="195"/>
      <c r="O59" s="195"/>
      <c r="P59" s="195"/>
      <c r="R59" s="195"/>
    </row>
    <row r="60" spans="1:21" ht="13.5" customHeight="1" thickBot="1">
      <c r="A60" s="2000" t="s">
        <v>210</v>
      </c>
      <c r="B60" s="2001"/>
      <c r="C60" s="60" t="e">
        <f>AVERAGEIFS(N2:N32,K2:K32,A60,C2:C32,C56)</f>
        <v>#DIV/0!</v>
      </c>
      <c r="D60" s="60" t="e">
        <f>AVERAGEIFS(N2:N32,K2:K32,A60,C2:C32,D56)</f>
        <v>#DIV/0!</v>
      </c>
      <c r="E60" s="60" t="e">
        <f>AVERAGEIFS(N2:N32,K2:K32,A60,C2:C32,E56)</f>
        <v>#DIV/0!</v>
      </c>
      <c r="F60" s="220" t="e">
        <f>AVERAGEIFS(N2:N32,K2:K32,A60,C2:C32,F56)</f>
        <v>#DIV/0!</v>
      </c>
      <c r="G60" s="83" t="e">
        <f>AVERAGEIF(K2:K32,"",N2:N32)</f>
        <v>#DIV/0!</v>
      </c>
      <c r="H60" s="198"/>
      <c r="N60" s="195"/>
      <c r="O60" s="195"/>
      <c r="P60" s="195"/>
      <c r="R60" s="195"/>
    </row>
    <row r="61" spans="1:21" ht="13.5" customHeight="1" thickBot="1">
      <c r="H61" s="198"/>
      <c r="J61" s="376"/>
      <c r="K61" s="376"/>
      <c r="L61" s="376"/>
      <c r="M61" s="376"/>
      <c r="N61" s="195"/>
      <c r="O61" s="195"/>
      <c r="P61" s="195"/>
      <c r="R61" s="195"/>
    </row>
    <row r="62" spans="1:21" ht="13.5" customHeight="1">
      <c r="A62" s="1994" t="s">
        <v>234</v>
      </c>
      <c r="B62" s="1995"/>
      <c r="C62" s="48" t="s">
        <v>90</v>
      </c>
      <c r="D62" s="48" t="s">
        <v>91</v>
      </c>
      <c r="E62" s="48" t="s">
        <v>89</v>
      </c>
      <c r="F62" s="208" t="s">
        <v>93</v>
      </c>
      <c r="G62" s="197" t="s">
        <v>141</v>
      </c>
      <c r="H62" s="198"/>
      <c r="N62" s="195"/>
      <c r="O62" s="195"/>
      <c r="P62" s="195"/>
      <c r="R62" s="195"/>
    </row>
    <row r="63" spans="1:21" ht="13.5" customHeight="1">
      <c r="A63" s="1996" t="s">
        <v>258</v>
      </c>
      <c r="B63" s="1997"/>
      <c r="C63" s="258">
        <f>AVERAGEIFS(J2:J32,C2:C32,C62,K2:K32,A63)</f>
        <v>62.773833333333329</v>
      </c>
      <c r="D63" s="258">
        <f>AVERAGEIFS(J2:J32,C2:C32,D62,K2:K32,A63)</f>
        <v>106.27935294117646</v>
      </c>
      <c r="E63" s="258">
        <f>AVERAGEIFS(J2:J32,C2:C32,E62,K2:K32,A63)</f>
        <v>148.41057142857144</v>
      </c>
      <c r="F63" s="259">
        <f>AVERAGEIFS(J2:J32,C2:C32,F62,K2:K32,A63)</f>
        <v>217.07600000000002</v>
      </c>
      <c r="G63" s="260">
        <f>AVERAGEIF(K2:K32,A63,J2:J32)</f>
        <v>110.94651612903223</v>
      </c>
      <c r="H63" s="198"/>
      <c r="J63" s="315"/>
      <c r="N63" s="195"/>
      <c r="O63" s="195"/>
      <c r="P63" s="195"/>
    </row>
    <row r="64" spans="1:21" ht="13.5" customHeight="1">
      <c r="A64" s="2002" t="s">
        <v>102</v>
      </c>
      <c r="B64" s="2003"/>
      <c r="C64" s="261" t="e">
        <f>AVERAGEIFS(J2:J32,C2:C32,C62,K2:K32,A64)</f>
        <v>#DIV/0!</v>
      </c>
      <c r="D64" s="261" t="e">
        <f>AVERAGEIFS(J2:J32,C2:C32,D62,K2:K32,A64)</f>
        <v>#DIV/0!</v>
      </c>
      <c r="E64" s="261" t="e">
        <f>AVERAGEIFS(J2:J32,C2:C32,E62,K2:K32,A64)</f>
        <v>#DIV/0!</v>
      </c>
      <c r="F64" s="262" t="e">
        <f>AVERAGEIFS(J2:J32,C2:C32,F62,K2:K32,A64)</f>
        <v>#DIV/0!</v>
      </c>
      <c r="G64" s="263" t="e">
        <f>AVERAGEIF(K2:K32,A64,J2:J32)</f>
        <v>#DIV/0!</v>
      </c>
      <c r="H64" s="198"/>
      <c r="J64" s="315"/>
      <c r="K64" s="315"/>
      <c r="L64" s="315"/>
      <c r="N64" s="195"/>
      <c r="O64" s="195"/>
    </row>
    <row r="65" spans="1:14" ht="13.5" customHeight="1" thickBot="1">
      <c r="A65" s="1998" t="s">
        <v>138</v>
      </c>
      <c r="B65" s="1999"/>
      <c r="C65" s="221" t="e">
        <f>AVERAGEIFS(J2:J32,C2:C32,C62,K2:K32,"")</f>
        <v>#DIV/0!</v>
      </c>
      <c r="D65" s="221" t="e">
        <f>AVERAGEIFS(J2:J32,C2:C32,D62,K2:K32,"")</f>
        <v>#DIV/0!</v>
      </c>
      <c r="E65" s="221" t="e">
        <f>AVERAGEIFS(J2:J32,C2:C32,E62,K2:K32,"")</f>
        <v>#DIV/0!</v>
      </c>
      <c r="F65" s="231" t="e">
        <f>AVERAGEIFS(J2:J32,C2:C32,F62,K2:K32,"")</f>
        <v>#DIV/0!</v>
      </c>
      <c r="G65" s="264" t="e">
        <f>AVERAGEIF(K2:K32,"",J2:J32)</f>
        <v>#DIV/0!</v>
      </c>
      <c r="H65" s="198"/>
      <c r="N65" s="195"/>
    </row>
    <row r="66" spans="1:14" ht="13.5" customHeight="1" thickBot="1">
      <c r="A66" s="2000" t="s">
        <v>210</v>
      </c>
      <c r="B66" s="2001"/>
      <c r="C66" s="265" t="e">
        <f>AVERAGEIFS(J2:J32,C2:C32,C62,K2:K32,A66)</f>
        <v>#DIV/0!</v>
      </c>
      <c r="D66" s="265" t="e">
        <f>AVERAGEIFS(O14:O48,L14:L48,A66,C14:C45,D62)</f>
        <v>#VALUE!</v>
      </c>
      <c r="E66" s="265" t="e">
        <f>AVERAGEIFS(O14:O48,L14:L48,A66,C14:C45,E62)</f>
        <v>#VALUE!</v>
      </c>
      <c r="F66" s="266" t="e">
        <f>AVERAGEIFS(O14:O48,L14:L48,A66,C14:C45,F62)</f>
        <v>#VALUE!</v>
      </c>
      <c r="G66" s="267" t="e">
        <f>AVERAGEIF(K2:K32,A66,J2:J32)</f>
        <v>#DIV/0!</v>
      </c>
      <c r="H66" s="198"/>
      <c r="J66" s="315"/>
      <c r="K66" s="315"/>
      <c r="L66" s="315"/>
      <c r="M66" s="315"/>
      <c r="N66" s="195"/>
    </row>
    <row r="67" spans="1:14" ht="13.5" customHeight="1">
      <c r="J67" s="315"/>
      <c r="K67" s="315"/>
      <c r="L67" s="315"/>
      <c r="M67" s="315"/>
    </row>
    <row r="73" spans="1:14" ht="13.5" customHeight="1">
      <c r="L73" s="188">
        <v>399500</v>
      </c>
    </row>
    <row r="74" spans="1:14" ht="13.5" customHeight="1">
      <c r="L74" s="188">
        <f>4%*L73</f>
        <v>15980</v>
      </c>
    </row>
    <row r="75" spans="1:14" ht="13.5" customHeight="1">
      <c r="L75" s="188">
        <f>L74/2</f>
        <v>7990</v>
      </c>
    </row>
    <row r="76" spans="1:14" ht="13.5" customHeight="1">
      <c r="L76" s="1640">
        <f>10%*L75</f>
        <v>799</v>
      </c>
    </row>
  </sheetData>
  <sheetProtection selectLockedCells="1" selectUnlockedCells="1"/>
  <autoFilter ref="A1:BX33" xr:uid="{1B17A149-5DA7-4699-AEC2-54D25CB49FC5}">
    <filterColumn colId="2">
      <filters>
        <filter val="T2"/>
      </filters>
    </filterColumn>
  </autoFilter>
  <mergeCells count="34">
    <mergeCell ref="J44:U44"/>
    <mergeCell ref="G35:H35"/>
    <mergeCell ref="A42:B42"/>
    <mergeCell ref="A36:B36"/>
    <mergeCell ref="A37:B37"/>
    <mergeCell ref="A38:B38"/>
    <mergeCell ref="A39:B39"/>
    <mergeCell ref="A40:B40"/>
    <mergeCell ref="J38:U38"/>
    <mergeCell ref="J35:U35"/>
    <mergeCell ref="J37:T37"/>
    <mergeCell ref="J41:U41"/>
    <mergeCell ref="A43:B43"/>
    <mergeCell ref="A44:B44"/>
    <mergeCell ref="J49:M49"/>
    <mergeCell ref="O49:R49"/>
    <mergeCell ref="A65:B65"/>
    <mergeCell ref="A66:B66"/>
    <mergeCell ref="A58:B58"/>
    <mergeCell ref="A59:B59"/>
    <mergeCell ref="A60:B60"/>
    <mergeCell ref="A62:B62"/>
    <mergeCell ref="A63:B63"/>
    <mergeCell ref="A64:B64"/>
    <mergeCell ref="A57:B57"/>
    <mergeCell ref="A52:B52"/>
    <mergeCell ref="A53:B53"/>
    <mergeCell ref="A54:B54"/>
    <mergeCell ref="A56:B56"/>
    <mergeCell ref="A45:B45"/>
    <mergeCell ref="A46:B46"/>
    <mergeCell ref="A47:B47"/>
    <mergeCell ref="A50:B50"/>
    <mergeCell ref="A51:B51"/>
  </mergeCells>
  <phoneticPr fontId="11" type="noConversion"/>
  <conditionalFormatting sqref="V1:V1048576">
    <cfRule type="cellIs" dxfId="14" priority="1" operator="lessThan">
      <formula>TODAY()-15</formula>
    </cfRule>
  </conditionalFormatting>
  <hyperlinks>
    <hyperlink ref="AO2" r:id="rId1" xr:uid="{CEA1492A-2FDF-4B7B-AAE4-E7575A102B68}"/>
    <hyperlink ref="AO3" r:id="rId2" xr:uid="{3C581E5E-3EF5-4783-83AB-F3CEB6E73497}"/>
    <hyperlink ref="AO6" r:id="rId3" xr:uid="{63A347C6-DEA5-4D61-85F6-907708B78D9F}"/>
    <hyperlink ref="AO7" r:id="rId4" xr:uid="{2D68E222-7E67-4230-B677-36EBD618CB6E}"/>
    <hyperlink ref="AO8" r:id="rId5" xr:uid="{54902270-1786-4CD2-97F6-3F6AE712ECF9}"/>
    <hyperlink ref="AO9" r:id="rId6" xr:uid="{496DC50F-C5D1-45F0-9515-DBE399721252}"/>
    <hyperlink ref="AO10" r:id="rId7" xr:uid="{CC785BE3-7F7A-4A97-81DF-260E5B91B04D}"/>
    <hyperlink ref="AO11" r:id="rId8" xr:uid="{10519788-EEE5-4039-9288-98F93D50D398}"/>
    <hyperlink ref="AO13" r:id="rId9" xr:uid="{A16FE122-8E5A-4640-B769-240F210EC250}"/>
    <hyperlink ref="AO14" r:id="rId10" xr:uid="{5BD895A5-04CB-4CE9-98AE-2DD494816721}"/>
    <hyperlink ref="AO15" r:id="rId11" xr:uid="{9635C95A-BFDB-45F1-AECC-0B8788BF51A6}"/>
    <hyperlink ref="AO16" r:id="rId12" xr:uid="{D02B666A-D340-42E4-91BD-DDD98C94D48A}"/>
    <hyperlink ref="AO17" r:id="rId13" xr:uid="{0F2565D0-9906-43D7-96E0-ECB9C1015C2B}"/>
    <hyperlink ref="AO18" r:id="rId14" xr:uid="{EFC4DC51-713A-4F72-B136-8292C3D74EE2}"/>
    <hyperlink ref="AP18" r:id="rId15" xr:uid="{A0E84529-7B52-40EA-B0FD-FFAE4E38223C}"/>
    <hyperlink ref="AO20" r:id="rId16" xr:uid="{B0B2F70E-A2F1-4AA0-8FBE-B6DA19462AF3}"/>
    <hyperlink ref="AO21" r:id="rId17" xr:uid="{75EF70DE-D3DF-4C0D-8F06-FEFBEFA12953}"/>
    <hyperlink ref="AO22" r:id="rId18" xr:uid="{549D4AEF-2F49-405B-8CF1-D9E71B810FAA}"/>
    <hyperlink ref="AO23" r:id="rId19" xr:uid="{35CAA59A-50CC-4EF7-9E35-F48D7BC56507}"/>
    <hyperlink ref="AO24" r:id="rId20" xr:uid="{43C0E5B4-A6EF-48E6-8AE4-02F77642B594}"/>
    <hyperlink ref="AO25" r:id="rId21" xr:uid="{B0D9A23A-BE10-41CA-B08C-DC19C2DB0283}"/>
    <hyperlink ref="AO27" r:id="rId22" xr:uid="{D04DE3BD-DA22-4A4C-8560-9449D6EBB80A}"/>
    <hyperlink ref="AP27" r:id="rId23" xr:uid="{288C388C-942B-4466-A833-311913949C21}"/>
    <hyperlink ref="AO28" r:id="rId24" xr:uid="{09066E69-28C5-4962-B299-F986C238BA4D}"/>
    <hyperlink ref="AP28" r:id="rId25" xr:uid="{D17ABD2E-7CFD-444E-B1DE-0B04CDB640FF}"/>
    <hyperlink ref="AO29" r:id="rId26" xr:uid="{29E62AE6-D005-47DC-9E7D-A0CC7A36061D}"/>
    <hyperlink ref="AO30" r:id="rId27" xr:uid="{A848DDF9-60DE-4F2A-924D-B6F056927341}"/>
    <hyperlink ref="AO31" r:id="rId28" xr:uid="{C89C0C9A-DB9E-40C8-8748-2F2291C185BC}"/>
    <hyperlink ref="AO32" r:id="rId29" xr:uid="{A258430A-938E-4F31-96F3-A1979DAED82E}"/>
    <hyperlink ref="AO19" r:id="rId30" xr:uid="{83C86C4F-897A-455E-B5D9-9C3B7037E8B3}"/>
  </hyperlinks>
  <pageMargins left="0.7" right="0.7" top="0.75" bottom="0.75" header="0.3" footer="0.3"/>
  <pageSetup paperSize="8" scale="27" orientation="landscape" r:id="rId31"/>
  <legacyDrawing r:id="rId3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CCB0-804C-48D0-B529-0DEAB633DC31}">
  <sheetPr filterMode="1">
    <tabColor theme="4"/>
  </sheetPr>
  <dimension ref="A1:CA90"/>
  <sheetViews>
    <sheetView zoomScaleNormal="100" workbookViewId="0">
      <pane xSplit="2" ySplit="1" topLeftCell="J2" activePane="bottomRight" state="frozen"/>
      <selection pane="topRight" activeCell="C1" sqref="C1"/>
      <selection pane="bottomLeft" activeCell="A2" sqref="A2"/>
      <selection pane="bottomRight" activeCell="A27" sqref="A27:XFD27"/>
    </sheetView>
  </sheetViews>
  <sheetFormatPr defaultColWidth="10.5703125" defaultRowHeight="12.75"/>
  <cols>
    <col min="1" max="1" width="8.85546875" style="188" bestFit="1" customWidth="1"/>
    <col min="2" max="2" width="11.85546875" style="188" bestFit="1" customWidth="1"/>
    <col min="3" max="3" width="10.85546875" style="188" customWidth="1"/>
    <col min="4" max="4" width="11.28515625" style="188" customWidth="1"/>
    <col min="5" max="5" width="9.7109375" style="188" customWidth="1"/>
    <col min="6" max="6" width="13.28515625" style="188" customWidth="1"/>
    <col min="7" max="7" width="11.28515625" style="332" customWidth="1"/>
    <col min="8" max="8" width="8.28515625" style="188" customWidth="1"/>
    <col min="9" max="9" width="6.5703125" style="188" customWidth="1"/>
    <col min="10" max="10" width="16.140625" style="188" customWidth="1"/>
    <col min="11" max="12" width="9" style="188" customWidth="1"/>
    <col min="13" max="13" width="10" style="188" customWidth="1"/>
    <col min="14" max="14" width="10.7109375" style="188" customWidth="1"/>
    <col min="15" max="15" width="15.28515625" style="188" customWidth="1"/>
    <col min="16" max="16" width="15.28515625" style="195" customWidth="1"/>
    <col min="17" max="17" width="12.7109375" style="188" customWidth="1"/>
    <col min="18" max="18" width="11.5703125" style="188" customWidth="1"/>
    <col min="19" max="21" width="11" style="188" customWidth="1"/>
    <col min="22" max="22" width="10.7109375" style="188" customWidth="1"/>
    <col min="23" max="24" width="14" style="188" customWidth="1"/>
    <col min="25" max="25" width="14" style="283" customWidth="1"/>
    <col min="26" max="26" width="12.5703125" style="283" customWidth="1"/>
    <col min="27" max="27" width="12.5703125" style="315" customWidth="1"/>
    <col min="28" max="28" width="12.5703125" style="195" customWidth="1"/>
    <col min="29" max="29" width="13.28515625" style="195" customWidth="1"/>
    <col min="30" max="30" width="12.5703125" style="315" customWidth="1"/>
    <col min="31" max="31" width="10.28515625" style="283" customWidth="1"/>
    <col min="32" max="32" width="12.5703125" style="315" customWidth="1"/>
    <col min="33" max="33" width="12.28515625" style="195" customWidth="1"/>
    <col min="34" max="34" width="19.140625" style="188" customWidth="1"/>
    <col min="35" max="35" width="22.7109375" style="188" bestFit="1" customWidth="1"/>
    <col min="36" max="37" width="16.7109375" style="188" customWidth="1"/>
    <col min="38" max="38" width="0.28515625" style="188" customWidth="1"/>
    <col min="39" max="39" width="5.140625" style="188" customWidth="1"/>
    <col min="40" max="40" width="26.42578125" style="188" customWidth="1"/>
    <col min="41" max="41" width="13.85546875" style="188" bestFit="1" customWidth="1"/>
    <col min="42" max="46" width="13.85546875" style="188" hidden="1" customWidth="1"/>
    <col min="47" max="47" width="18" style="188" hidden="1" customWidth="1"/>
    <col min="48" max="48" width="20.28515625" style="188" hidden="1" customWidth="1"/>
    <col min="49" max="49" width="20.42578125" style="188" hidden="1" customWidth="1"/>
    <col min="50" max="50" width="0" style="188" hidden="1" customWidth="1"/>
    <col min="51" max="16384" width="10.5703125" style="188"/>
  </cols>
  <sheetData>
    <row r="1" spans="1:50" ht="23.25" customHeight="1">
      <c r="A1" s="6" t="s">
        <v>23</v>
      </c>
      <c r="B1" s="6" t="s">
        <v>5</v>
      </c>
      <c r="C1" s="20" t="s">
        <v>1</v>
      </c>
      <c r="D1" s="20" t="s">
        <v>0</v>
      </c>
      <c r="E1" s="20" t="s">
        <v>3</v>
      </c>
      <c r="F1" s="20" t="s">
        <v>6</v>
      </c>
      <c r="G1" s="356" t="s">
        <v>2</v>
      </c>
      <c r="H1" s="20" t="s">
        <v>212</v>
      </c>
      <c r="I1" s="20" t="s">
        <v>285</v>
      </c>
      <c r="J1" s="20" t="s">
        <v>11</v>
      </c>
      <c r="K1" s="20" t="s">
        <v>17169</v>
      </c>
      <c r="L1" s="20" t="s">
        <v>22</v>
      </c>
      <c r="M1" s="20" t="s">
        <v>12</v>
      </c>
      <c r="N1" s="20" t="s">
        <v>246</v>
      </c>
      <c r="O1" s="20" t="s">
        <v>251</v>
      </c>
      <c r="P1" s="577" t="s">
        <v>221</v>
      </c>
      <c r="Q1" s="20" t="s">
        <v>14</v>
      </c>
      <c r="R1" s="20" t="s">
        <v>552</v>
      </c>
      <c r="S1" s="349" t="s">
        <v>15</v>
      </c>
      <c r="T1" s="579" t="s">
        <v>17244</v>
      </c>
      <c r="U1" s="579" t="s">
        <v>17243</v>
      </c>
      <c r="V1" s="20" t="s">
        <v>16</v>
      </c>
      <c r="W1" s="20" t="s">
        <v>227</v>
      </c>
      <c r="X1" s="20" t="s">
        <v>551</v>
      </c>
      <c r="Y1" s="20" t="s">
        <v>228</v>
      </c>
      <c r="Z1" s="350" t="s">
        <v>301</v>
      </c>
      <c r="AA1" s="350" t="s">
        <v>4</v>
      </c>
      <c r="AB1" s="349" t="s">
        <v>545</v>
      </c>
      <c r="AC1" s="349" t="s">
        <v>546</v>
      </c>
      <c r="AD1" s="350" t="s">
        <v>553</v>
      </c>
      <c r="AE1" s="351" t="s">
        <v>547</v>
      </c>
      <c r="AF1" s="350" t="s">
        <v>554</v>
      </c>
      <c r="AG1" s="349" t="s">
        <v>548</v>
      </c>
      <c r="AH1" s="20" t="s">
        <v>8</v>
      </c>
      <c r="AI1" s="20" t="s">
        <v>255</v>
      </c>
      <c r="AJ1" s="20">
        <v>10323</v>
      </c>
      <c r="AK1" s="20" t="s">
        <v>17285</v>
      </c>
      <c r="AL1" s="20" t="s">
        <v>542</v>
      </c>
      <c r="AM1" s="20" t="s">
        <v>543</v>
      </c>
      <c r="AN1" s="20" t="s">
        <v>19</v>
      </c>
      <c r="AO1" s="20" t="s">
        <v>261</v>
      </c>
      <c r="AP1" s="20" t="s">
        <v>17891</v>
      </c>
      <c r="AQ1" s="20" t="s">
        <v>17892</v>
      </c>
      <c r="AR1" s="20" t="s">
        <v>17893</v>
      </c>
      <c r="AS1" s="20" t="s">
        <v>17599</v>
      </c>
      <c r="AT1" s="20" t="s">
        <v>17601</v>
      </c>
      <c r="AU1" s="20" t="s">
        <v>262</v>
      </c>
      <c r="AV1" s="20" t="s">
        <v>263</v>
      </c>
      <c r="AW1" s="20" t="s">
        <v>20</v>
      </c>
      <c r="AX1" s="20" t="s">
        <v>21</v>
      </c>
    </row>
    <row r="2" spans="1:50" s="334" customFormat="1" ht="13.5" hidden="1" customHeight="1">
      <c r="A2" s="126">
        <v>1</v>
      </c>
      <c r="B2" s="50" t="s">
        <v>24</v>
      </c>
      <c r="C2" s="545" t="s">
        <v>89</v>
      </c>
      <c r="D2" s="546">
        <v>2</v>
      </c>
      <c r="E2" s="546" t="s">
        <v>750</v>
      </c>
      <c r="F2" s="545">
        <v>130.5</v>
      </c>
      <c r="G2" s="581">
        <v>12.34</v>
      </c>
      <c r="H2" s="548"/>
      <c r="I2" s="548"/>
      <c r="J2" s="272">
        <f>F2+0.3*G2+0.3*H2</f>
        <v>134.202</v>
      </c>
      <c r="K2" s="272">
        <v>2</v>
      </c>
      <c r="L2" s="272">
        <v>1</v>
      </c>
      <c r="M2" s="126" t="s">
        <v>258</v>
      </c>
      <c r="N2" s="126"/>
      <c r="O2" s="126"/>
      <c r="P2" s="276">
        <v>511500</v>
      </c>
      <c r="Q2" s="273"/>
      <c r="R2" s="273">
        <f>0.93*S2</f>
        <v>511500</v>
      </c>
      <c r="S2" s="273">
        <v>550000</v>
      </c>
      <c r="T2" s="273"/>
      <c r="U2" s="273"/>
      <c r="V2" s="274">
        <f>1-(P2/S2)</f>
        <v>6.9999999999999951E-2</v>
      </c>
      <c r="W2" s="275">
        <f>P2/J2</f>
        <v>3811.4186077703762</v>
      </c>
      <c r="X2" s="275">
        <f>R2/J2</f>
        <v>3811.4186077703762</v>
      </c>
      <c r="Y2" s="275">
        <f t="shared" ref="Y2:Y38" si="0">S2/J2</f>
        <v>4098.2995782477165</v>
      </c>
      <c r="Z2" s="128"/>
      <c r="AA2" s="103">
        <v>45240</v>
      </c>
      <c r="AB2" s="575">
        <v>51150</v>
      </c>
      <c r="AC2" s="575"/>
      <c r="AD2" s="103"/>
      <c r="AE2" s="313"/>
      <c r="AF2" s="103"/>
      <c r="AG2" s="575">
        <v>460400</v>
      </c>
      <c r="AH2" s="126" t="s">
        <v>17189</v>
      </c>
      <c r="AI2" s="126" t="s">
        <v>309</v>
      </c>
      <c r="AJ2" s="126"/>
      <c r="AK2" s="126"/>
      <c r="AL2" s="126"/>
      <c r="AM2" s="126"/>
      <c r="AN2" s="132" t="s">
        <v>17245</v>
      </c>
      <c r="AO2" s="132" t="s">
        <v>17246</v>
      </c>
      <c r="AP2" s="132"/>
      <c r="AQ2" s="132"/>
      <c r="AR2" s="132"/>
      <c r="AS2" s="132" t="s">
        <v>17527</v>
      </c>
      <c r="AT2" s="132" t="s">
        <v>17528</v>
      </c>
      <c r="AU2" s="132"/>
      <c r="AV2" s="132"/>
      <c r="AW2" s="1169"/>
      <c r="AX2" s="276"/>
    </row>
    <row r="3" spans="1:50" s="334" customFormat="1" ht="13.5" hidden="1" customHeight="1">
      <c r="A3" s="126">
        <v>2</v>
      </c>
      <c r="B3" s="50" t="s">
        <v>25</v>
      </c>
      <c r="C3" s="545" t="s">
        <v>90</v>
      </c>
      <c r="D3" s="546">
        <v>2</v>
      </c>
      <c r="E3" s="546" t="s">
        <v>46</v>
      </c>
      <c r="F3" s="545">
        <v>56.13</v>
      </c>
      <c r="G3" s="581">
        <v>9.27</v>
      </c>
      <c r="H3" s="548"/>
      <c r="I3" s="548"/>
      <c r="J3" s="272">
        <f t="shared" ref="J3:J35" si="1">F3+0.3*G3+0.3*H3</f>
        <v>58.911000000000001</v>
      </c>
      <c r="K3" s="272">
        <v>1</v>
      </c>
      <c r="L3" s="272"/>
      <c r="M3" s="126" t="s">
        <v>258</v>
      </c>
      <c r="N3" s="126"/>
      <c r="O3" s="126"/>
      <c r="P3" s="276">
        <v>234500</v>
      </c>
      <c r="Q3" s="273"/>
      <c r="R3" s="273">
        <f>S3*0.96</f>
        <v>257280</v>
      </c>
      <c r="S3" s="273">
        <v>268000</v>
      </c>
      <c r="T3" s="273"/>
      <c r="U3" s="273"/>
      <c r="V3" s="274">
        <f t="shared" ref="V3:V35" si="2">1-(R3/S3)</f>
        <v>4.0000000000000036E-2</v>
      </c>
      <c r="W3" s="275">
        <f t="shared" ref="W3:W37" si="3">P3/J3</f>
        <v>3980.5808762370352</v>
      </c>
      <c r="X3" s="275">
        <f t="shared" ref="X3:X38" si="4">R3/J3</f>
        <v>4367.2658756429191</v>
      </c>
      <c r="Y3" s="275">
        <f t="shared" si="0"/>
        <v>4549.2352871280409</v>
      </c>
      <c r="Z3" s="128"/>
      <c r="AA3" s="103">
        <v>45512</v>
      </c>
      <c r="AB3" s="575">
        <v>23450</v>
      </c>
      <c r="AC3" s="575"/>
      <c r="AD3" s="103"/>
      <c r="AE3" s="313"/>
      <c r="AF3" s="103"/>
      <c r="AG3" s="575">
        <v>211050</v>
      </c>
      <c r="AH3" s="126" t="s">
        <v>274</v>
      </c>
      <c r="AI3" s="126"/>
      <c r="AJ3" s="126"/>
      <c r="AK3" s="126"/>
      <c r="AL3" s="126"/>
      <c r="AM3" s="401"/>
      <c r="AN3" s="132" t="s">
        <v>18356</v>
      </c>
      <c r="AO3" s="132" t="s">
        <v>517</v>
      </c>
      <c r="AP3" s="132"/>
      <c r="AQ3" s="132"/>
      <c r="AR3" s="132"/>
      <c r="AS3" s="132"/>
      <c r="AT3" s="132"/>
      <c r="AU3" s="132"/>
      <c r="AV3" s="132"/>
      <c r="AW3" s="276"/>
      <c r="AX3" s="276"/>
    </row>
    <row r="4" spans="1:50" s="334" customFormat="1" ht="13.5" hidden="1" customHeight="1">
      <c r="A4" s="126">
        <v>3</v>
      </c>
      <c r="B4" s="8" t="s">
        <v>26</v>
      </c>
      <c r="C4" s="545" t="s">
        <v>91</v>
      </c>
      <c r="D4" s="546">
        <v>2</v>
      </c>
      <c r="E4" s="546" t="s">
        <v>751</v>
      </c>
      <c r="F4" s="545">
        <v>96.19</v>
      </c>
      <c r="G4" s="581">
        <v>9.27</v>
      </c>
      <c r="H4" s="548"/>
      <c r="I4" s="548"/>
      <c r="J4" s="272">
        <f t="shared" si="1"/>
        <v>98.971000000000004</v>
      </c>
      <c r="K4" s="272">
        <v>1</v>
      </c>
      <c r="L4" s="272"/>
      <c r="M4" s="126" t="s">
        <v>258</v>
      </c>
      <c r="N4" s="126"/>
      <c r="O4" s="126"/>
      <c r="P4" s="276">
        <v>391500</v>
      </c>
      <c r="Q4" s="273">
        <f>0.9*S4</f>
        <v>391500</v>
      </c>
      <c r="R4" s="273">
        <f>S4*0.96</f>
        <v>417600</v>
      </c>
      <c r="S4" s="273">
        <v>435000</v>
      </c>
      <c r="T4" s="273">
        <v>399360</v>
      </c>
      <c r="U4" s="273">
        <v>416000</v>
      </c>
      <c r="V4" s="274">
        <v>0.04</v>
      </c>
      <c r="W4" s="275">
        <f t="shared" si="3"/>
        <v>3955.7041961786786</v>
      </c>
      <c r="X4" s="275">
        <f>Q4/J4</f>
        <v>3955.7041961786786</v>
      </c>
      <c r="Y4" s="275">
        <f t="shared" si="0"/>
        <v>4395.2268846429761</v>
      </c>
      <c r="Z4" s="128">
        <v>45882</v>
      </c>
      <c r="AA4" s="103">
        <v>45895</v>
      </c>
      <c r="AB4" s="575">
        <f>5000+34150</f>
        <v>39150</v>
      </c>
      <c r="AC4" s="575"/>
      <c r="AD4" s="103"/>
      <c r="AE4" s="313"/>
      <c r="AF4" s="103"/>
      <c r="AG4" s="575">
        <v>352350</v>
      </c>
      <c r="AH4" s="126" t="s">
        <v>17189</v>
      </c>
      <c r="AI4" s="126"/>
      <c r="AJ4" s="126"/>
      <c r="AK4" s="126"/>
      <c r="AL4" s="126"/>
      <c r="AM4" s="126"/>
      <c r="AN4" s="132" t="s">
        <v>18068</v>
      </c>
      <c r="AO4" s="132" t="s">
        <v>265</v>
      </c>
      <c r="AP4" s="132"/>
      <c r="AQ4" s="132"/>
      <c r="AR4" s="132"/>
      <c r="AS4" s="132"/>
      <c r="AT4" s="132"/>
      <c r="AU4" s="132"/>
      <c r="AV4" s="132"/>
      <c r="AW4" s="276"/>
      <c r="AX4" s="276"/>
    </row>
    <row r="5" spans="1:50" s="334" customFormat="1" ht="13.5" hidden="1" customHeight="1">
      <c r="A5" s="126">
        <v>4</v>
      </c>
      <c r="B5" s="8" t="s">
        <v>27</v>
      </c>
      <c r="C5" s="545" t="s">
        <v>91</v>
      </c>
      <c r="D5" s="546">
        <v>2</v>
      </c>
      <c r="E5" s="546" t="s">
        <v>751</v>
      </c>
      <c r="F5" s="545">
        <v>96.16</v>
      </c>
      <c r="G5" s="581">
        <v>9.27</v>
      </c>
      <c r="H5" s="548"/>
      <c r="I5" s="548"/>
      <c r="J5" s="272">
        <f t="shared" si="1"/>
        <v>98.941000000000003</v>
      </c>
      <c r="K5" s="272">
        <v>1</v>
      </c>
      <c r="L5" s="272"/>
      <c r="M5" s="126" t="s">
        <v>258</v>
      </c>
      <c r="N5" s="126"/>
      <c r="O5" s="126"/>
      <c r="P5" s="276">
        <v>391500</v>
      </c>
      <c r="Q5" s="273">
        <f>0.9*S5</f>
        <v>391500</v>
      </c>
      <c r="R5" s="273">
        <f>S5*0.96</f>
        <v>417600</v>
      </c>
      <c r="S5" s="273">
        <v>435000</v>
      </c>
      <c r="T5" s="273">
        <v>399360</v>
      </c>
      <c r="U5" s="273">
        <v>416000</v>
      </c>
      <c r="V5" s="274">
        <v>0.04</v>
      </c>
      <c r="W5" s="275">
        <f t="shared" si="3"/>
        <v>3956.9036092216575</v>
      </c>
      <c r="X5" s="275">
        <f>Q5/J5</f>
        <v>3956.9036092216575</v>
      </c>
      <c r="Y5" s="275">
        <f t="shared" si="0"/>
        <v>4396.559565801841</v>
      </c>
      <c r="Z5" s="128"/>
      <c r="AA5" s="103">
        <v>45861</v>
      </c>
      <c r="AB5" s="575">
        <f>10000+48725</f>
        <v>58725</v>
      </c>
      <c r="AC5" s="575"/>
      <c r="AD5" s="103"/>
      <c r="AE5" s="313"/>
      <c r="AF5" s="103"/>
      <c r="AG5" s="575">
        <f>85%*Q5</f>
        <v>332775</v>
      </c>
      <c r="AH5" s="126" t="s">
        <v>17778</v>
      </c>
      <c r="AI5" s="126"/>
      <c r="AJ5" s="126"/>
      <c r="AK5" s="126"/>
      <c r="AL5" s="126"/>
      <c r="AM5" s="126"/>
      <c r="AN5" s="132" t="s">
        <v>18063</v>
      </c>
      <c r="AO5" s="132" t="s">
        <v>265</v>
      </c>
      <c r="AP5" s="132"/>
      <c r="AQ5" s="132"/>
      <c r="AR5" s="132"/>
      <c r="AS5" s="132"/>
      <c r="AT5" s="132"/>
      <c r="AU5" s="132"/>
      <c r="AV5" s="132"/>
      <c r="AW5" s="276"/>
      <c r="AX5" s="276"/>
    </row>
    <row r="6" spans="1:50" s="334" customFormat="1" ht="13.5" hidden="1" customHeight="1">
      <c r="A6" s="126">
        <v>5</v>
      </c>
      <c r="B6" s="8" t="s">
        <v>28</v>
      </c>
      <c r="C6" s="545" t="s">
        <v>90</v>
      </c>
      <c r="D6" s="546">
        <v>2</v>
      </c>
      <c r="E6" s="546" t="s">
        <v>46</v>
      </c>
      <c r="F6" s="545">
        <v>56.77</v>
      </c>
      <c r="G6" s="581">
        <v>9.27</v>
      </c>
      <c r="H6" s="548"/>
      <c r="I6" s="548"/>
      <c r="J6" s="272">
        <f t="shared" si="1"/>
        <v>59.551000000000002</v>
      </c>
      <c r="K6" s="272">
        <v>1</v>
      </c>
      <c r="L6" s="272"/>
      <c r="M6" s="126" t="s">
        <v>258</v>
      </c>
      <c r="N6" s="126"/>
      <c r="O6" s="126"/>
      <c r="P6" s="273">
        <v>273600</v>
      </c>
      <c r="Q6" s="273"/>
      <c r="R6" s="273">
        <f t="shared" ref="R6:R35" si="5">S6*0.96</f>
        <v>273600</v>
      </c>
      <c r="S6" s="273">
        <v>285000</v>
      </c>
      <c r="T6" s="273"/>
      <c r="U6" s="273"/>
      <c r="V6" s="274">
        <f t="shared" si="2"/>
        <v>4.0000000000000036E-2</v>
      </c>
      <c r="W6" s="275">
        <f t="shared" si="3"/>
        <v>4594.3812866282678</v>
      </c>
      <c r="X6" s="275">
        <f t="shared" si="4"/>
        <v>4594.3812866282678</v>
      </c>
      <c r="Y6" s="275">
        <f t="shared" si="0"/>
        <v>4785.813840237779</v>
      </c>
      <c r="Z6" s="128"/>
      <c r="AA6" s="103">
        <v>45523</v>
      </c>
      <c r="AB6" s="575">
        <f>20%*R6</f>
        <v>54720</v>
      </c>
      <c r="AC6" s="575"/>
      <c r="AD6" s="103"/>
      <c r="AE6" s="313"/>
      <c r="AF6" s="103"/>
      <c r="AG6" s="575">
        <f>80%*R6</f>
        <v>218880</v>
      </c>
      <c r="AH6" s="126" t="s">
        <v>222</v>
      </c>
      <c r="AI6" s="126"/>
      <c r="AJ6" s="126"/>
      <c r="AK6" s="126"/>
      <c r="AL6" s="126"/>
      <c r="AM6" s="126"/>
      <c r="AN6" s="132" t="s">
        <v>17596</v>
      </c>
      <c r="AO6" s="132" t="s">
        <v>265</v>
      </c>
      <c r="AP6" s="132"/>
      <c r="AQ6" s="132"/>
      <c r="AR6" s="132"/>
      <c r="AS6" s="132"/>
      <c r="AT6" s="132"/>
      <c r="AU6" s="132"/>
      <c r="AV6" s="132"/>
      <c r="AW6" s="276"/>
      <c r="AX6" s="276"/>
    </row>
    <row r="7" spans="1:50" s="334" customFormat="1" ht="13.5" hidden="1" customHeight="1">
      <c r="A7" s="126">
        <v>6</v>
      </c>
      <c r="B7" s="8" t="s">
        <v>29</v>
      </c>
      <c r="C7" s="545" t="s">
        <v>90</v>
      </c>
      <c r="D7" s="546">
        <v>2</v>
      </c>
      <c r="E7" s="546" t="s">
        <v>46</v>
      </c>
      <c r="F7" s="545">
        <v>58.2</v>
      </c>
      <c r="G7" s="581">
        <v>18.54</v>
      </c>
      <c r="H7" s="548"/>
      <c r="I7" s="548"/>
      <c r="J7" s="272">
        <f t="shared" si="1"/>
        <v>63.762</v>
      </c>
      <c r="K7" s="272">
        <v>1</v>
      </c>
      <c r="L7" s="272"/>
      <c r="M7" s="126" t="s">
        <v>258</v>
      </c>
      <c r="N7" s="126"/>
      <c r="O7" s="126"/>
      <c r="P7" s="273">
        <v>277440</v>
      </c>
      <c r="Q7" s="273"/>
      <c r="R7" s="273">
        <f t="shared" si="5"/>
        <v>277440</v>
      </c>
      <c r="S7" s="273">
        <v>289000</v>
      </c>
      <c r="T7" s="273"/>
      <c r="U7" s="273"/>
      <c r="V7" s="274">
        <f t="shared" si="2"/>
        <v>4.0000000000000036E-2</v>
      </c>
      <c r="W7" s="275">
        <f t="shared" si="3"/>
        <v>4351.1809541733319</v>
      </c>
      <c r="X7" s="275">
        <f t="shared" si="4"/>
        <v>4351.1809541733319</v>
      </c>
      <c r="Y7" s="275">
        <f t="shared" si="0"/>
        <v>4532.4801605972207</v>
      </c>
      <c r="Z7" s="128"/>
      <c r="AA7" s="128">
        <v>45540</v>
      </c>
      <c r="AB7" s="276">
        <v>55488</v>
      </c>
      <c r="AC7" s="276"/>
      <c r="AD7" s="128"/>
      <c r="AE7" s="275"/>
      <c r="AF7" s="128"/>
      <c r="AG7" s="276">
        <v>221952</v>
      </c>
      <c r="AH7" s="126" t="s">
        <v>17189</v>
      </c>
      <c r="AI7" s="126" t="s">
        <v>17484</v>
      </c>
      <c r="AJ7" s="126"/>
      <c r="AK7" s="126"/>
      <c r="AL7" s="126"/>
      <c r="AM7" s="126"/>
      <c r="AN7" s="126" t="s">
        <v>17512</v>
      </c>
      <c r="AO7" s="126" t="s">
        <v>265</v>
      </c>
      <c r="AP7" s="126"/>
      <c r="AQ7" s="126"/>
      <c r="AR7" s="126"/>
      <c r="AS7" s="126"/>
      <c r="AT7" s="126"/>
      <c r="AU7" s="126"/>
      <c r="AV7" s="126"/>
      <c r="AW7" s="276"/>
      <c r="AX7" s="276"/>
    </row>
    <row r="8" spans="1:50" s="1766" customFormat="1" ht="13.5" hidden="1" customHeight="1">
      <c r="A8" s="301">
        <v>7</v>
      </c>
      <c r="B8" s="1757" t="s">
        <v>30</v>
      </c>
      <c r="C8" s="1758" t="s">
        <v>91</v>
      </c>
      <c r="D8" s="1310">
        <v>2</v>
      </c>
      <c r="E8" s="1310" t="s">
        <v>752</v>
      </c>
      <c r="F8" s="1758">
        <v>97.52</v>
      </c>
      <c r="G8" s="1759">
        <v>18.350000000000001</v>
      </c>
      <c r="H8" s="1760"/>
      <c r="I8" s="1760"/>
      <c r="J8" s="1761">
        <f t="shared" si="1"/>
        <v>103.02499999999999</v>
      </c>
      <c r="K8" s="1761">
        <v>1</v>
      </c>
      <c r="L8" s="1761"/>
      <c r="M8" s="301" t="s">
        <v>210</v>
      </c>
      <c r="N8" s="301"/>
      <c r="O8" s="301"/>
      <c r="P8" s="302">
        <v>434000</v>
      </c>
      <c r="Q8" s="1762">
        <f>0.9*S8</f>
        <v>399600</v>
      </c>
      <c r="R8" s="1762">
        <f t="shared" si="5"/>
        <v>426240</v>
      </c>
      <c r="S8" s="1762">
        <v>444000</v>
      </c>
      <c r="T8" s="1762">
        <v>419328</v>
      </c>
      <c r="U8" s="1762">
        <v>436800</v>
      </c>
      <c r="V8" s="1763">
        <v>0.04</v>
      </c>
      <c r="W8" s="1764">
        <f t="shared" si="3"/>
        <v>4212.5697646202379</v>
      </c>
      <c r="X8" s="1764">
        <f>Q8/J8</f>
        <v>3878.6702256733806</v>
      </c>
      <c r="Y8" s="1764">
        <f t="shared" si="0"/>
        <v>4309.6335840815336</v>
      </c>
      <c r="Z8" s="1765">
        <v>45934</v>
      </c>
      <c r="AA8" s="1765"/>
      <c r="AB8" s="302">
        <f>5000+38400</f>
        <v>43400</v>
      </c>
      <c r="AC8" s="302"/>
      <c r="AD8" s="1765"/>
      <c r="AE8" s="1764"/>
      <c r="AF8" s="1765"/>
      <c r="AG8" s="302">
        <f>0.9*434000</f>
        <v>390600</v>
      </c>
      <c r="AH8" s="301" t="s">
        <v>17778</v>
      </c>
      <c r="AI8" s="301"/>
      <c r="AJ8" s="301"/>
      <c r="AK8" s="301"/>
      <c r="AL8" s="301"/>
      <c r="AM8" s="301"/>
      <c r="AN8" s="301" t="s">
        <v>18376</v>
      </c>
      <c r="AO8" s="301" t="s">
        <v>17442</v>
      </c>
      <c r="AP8" s="301"/>
      <c r="AQ8" s="301"/>
      <c r="AR8" s="301"/>
      <c r="AS8" s="301"/>
      <c r="AT8" s="301"/>
      <c r="AU8" s="301"/>
      <c r="AV8" s="301"/>
      <c r="AW8" s="302"/>
      <c r="AX8" s="302"/>
    </row>
    <row r="9" spans="1:50" s="334" customFormat="1" ht="13.5" hidden="1" customHeight="1">
      <c r="A9" s="126">
        <v>8</v>
      </c>
      <c r="B9" s="8" t="s">
        <v>31</v>
      </c>
      <c r="C9" s="545" t="s">
        <v>91</v>
      </c>
      <c r="D9" s="546">
        <v>2</v>
      </c>
      <c r="E9" s="546" t="s">
        <v>753</v>
      </c>
      <c r="F9" s="545">
        <v>108.16</v>
      </c>
      <c r="G9" s="547">
        <v>11.14</v>
      </c>
      <c r="H9" s="548"/>
      <c r="I9" s="548"/>
      <c r="J9" s="272">
        <f t="shared" si="1"/>
        <v>111.502</v>
      </c>
      <c r="K9" s="272">
        <v>1</v>
      </c>
      <c r="L9" s="272"/>
      <c r="M9" s="126" t="s">
        <v>258</v>
      </c>
      <c r="N9" s="126"/>
      <c r="O9" s="126"/>
      <c r="P9" s="273">
        <f>S9*0.9</f>
        <v>432000</v>
      </c>
      <c r="Q9" s="273">
        <f>R9</f>
        <v>460800</v>
      </c>
      <c r="R9" s="273">
        <f t="shared" si="5"/>
        <v>460800</v>
      </c>
      <c r="S9" s="273">
        <v>480000</v>
      </c>
      <c r="T9" s="273">
        <v>484224</v>
      </c>
      <c r="U9" s="273">
        <v>504400</v>
      </c>
      <c r="V9" s="274">
        <v>0.04</v>
      </c>
      <c r="W9" s="275">
        <f t="shared" si="3"/>
        <v>3874.3699664580008</v>
      </c>
      <c r="X9" s="275">
        <f>R9/J9</f>
        <v>4132.6612975552007</v>
      </c>
      <c r="Y9" s="275">
        <f t="shared" si="0"/>
        <v>4304.8555182866676</v>
      </c>
      <c r="Z9" s="128"/>
      <c r="AA9" s="113">
        <v>45782</v>
      </c>
      <c r="AB9" s="751">
        <f>5000+38200</f>
        <v>43200</v>
      </c>
      <c r="AC9" s="751">
        <v>43200</v>
      </c>
      <c r="AD9" s="113"/>
      <c r="AE9" s="325"/>
      <c r="AF9" s="1620"/>
      <c r="AG9" s="751">
        <v>345600</v>
      </c>
      <c r="AH9" s="126" t="s">
        <v>17189</v>
      </c>
      <c r="AI9" s="126"/>
      <c r="AJ9" s="126"/>
      <c r="AK9" s="126"/>
      <c r="AL9" s="126"/>
      <c r="AM9" s="126"/>
      <c r="AN9" s="112" t="s">
        <v>17995</v>
      </c>
      <c r="AO9" s="132" t="s">
        <v>565</v>
      </c>
      <c r="AP9" s="132"/>
      <c r="AQ9" s="132"/>
      <c r="AR9" s="132"/>
      <c r="AS9" s="132"/>
      <c r="AT9" s="132"/>
      <c r="AU9" s="112"/>
      <c r="AV9" s="112"/>
      <c r="AW9" s="276"/>
      <c r="AX9" s="276"/>
    </row>
    <row r="10" spans="1:50" s="334" customFormat="1" ht="13.5" hidden="1" customHeight="1">
      <c r="A10" s="126">
        <v>9</v>
      </c>
      <c r="B10" s="8" t="s">
        <v>32</v>
      </c>
      <c r="C10" s="545" t="s">
        <v>90</v>
      </c>
      <c r="D10" s="546">
        <v>2</v>
      </c>
      <c r="E10" s="546" t="s">
        <v>28</v>
      </c>
      <c r="F10" s="545">
        <v>58.42</v>
      </c>
      <c r="G10" s="547">
        <v>3.68</v>
      </c>
      <c r="H10" s="548"/>
      <c r="I10" s="548"/>
      <c r="J10" s="272">
        <f t="shared" si="1"/>
        <v>59.524000000000001</v>
      </c>
      <c r="K10" s="272">
        <v>1</v>
      </c>
      <c r="L10" s="272"/>
      <c r="M10" s="126" t="s">
        <v>258</v>
      </c>
      <c r="N10" s="126"/>
      <c r="O10" s="126"/>
      <c r="P10" s="273">
        <v>234325</v>
      </c>
      <c r="Q10" s="273"/>
      <c r="R10" s="273">
        <f t="shared" si="5"/>
        <v>247200</v>
      </c>
      <c r="S10" s="273">
        <f>250000*1.03</f>
        <v>257500</v>
      </c>
      <c r="T10" s="273"/>
      <c r="U10" s="273"/>
      <c r="V10" s="274">
        <f t="shared" si="2"/>
        <v>4.0000000000000036E-2</v>
      </c>
      <c r="W10" s="275">
        <f t="shared" si="3"/>
        <v>3936.6474027283111</v>
      </c>
      <c r="X10" s="275">
        <f t="shared" si="4"/>
        <v>4152.9467105705262</v>
      </c>
      <c r="Y10" s="275">
        <f t="shared" si="0"/>
        <v>4325.9861568442984</v>
      </c>
      <c r="Z10" s="128"/>
      <c r="AA10" s="103">
        <v>45267</v>
      </c>
      <c r="AB10" s="575">
        <v>23432</v>
      </c>
      <c r="AC10" s="575"/>
      <c r="AD10" s="103"/>
      <c r="AE10" s="313"/>
      <c r="AF10" s="103"/>
      <c r="AG10" s="575">
        <v>210893</v>
      </c>
      <c r="AH10" s="126" t="s">
        <v>17189</v>
      </c>
      <c r="AI10" s="126"/>
      <c r="AJ10" s="126"/>
      <c r="AK10" s="126"/>
      <c r="AL10" s="126"/>
      <c r="AM10" s="401"/>
      <c r="AN10" s="132" t="s">
        <v>17256</v>
      </c>
      <c r="AO10" s="132" t="s">
        <v>265</v>
      </c>
      <c r="AP10" s="132"/>
      <c r="AQ10" s="132"/>
      <c r="AR10" s="132"/>
      <c r="AS10" s="132" t="s">
        <v>17529</v>
      </c>
      <c r="AT10" s="132">
        <v>929093632</v>
      </c>
      <c r="AU10" s="132"/>
      <c r="AV10" s="276"/>
      <c r="AW10" s="1170"/>
      <c r="AX10" s="276"/>
    </row>
    <row r="11" spans="1:50" s="334" customFormat="1" ht="13.5" hidden="1" customHeight="1">
      <c r="A11" s="126">
        <v>10</v>
      </c>
      <c r="B11" s="8" t="s">
        <v>33</v>
      </c>
      <c r="C11" s="545" t="s">
        <v>89</v>
      </c>
      <c r="D11" s="546">
        <v>3</v>
      </c>
      <c r="E11" s="546" t="s">
        <v>750</v>
      </c>
      <c r="F11" s="545">
        <v>130.5</v>
      </c>
      <c r="G11" s="547">
        <v>9.86</v>
      </c>
      <c r="H11" s="548"/>
      <c r="I11" s="548"/>
      <c r="J11" s="272">
        <f t="shared" si="1"/>
        <v>133.458</v>
      </c>
      <c r="K11" s="272">
        <v>2</v>
      </c>
      <c r="L11" s="272">
        <v>1</v>
      </c>
      <c r="M11" s="126" t="s">
        <v>258</v>
      </c>
      <c r="N11" s="126"/>
      <c r="O11" s="126"/>
      <c r="P11" s="273">
        <v>516150</v>
      </c>
      <c r="Q11" s="273"/>
      <c r="R11" s="273">
        <v>537000</v>
      </c>
      <c r="S11" s="273">
        <v>555000</v>
      </c>
      <c r="T11" s="273"/>
      <c r="U11" s="273"/>
      <c r="V11" s="274">
        <f>1-(P11/S11)</f>
        <v>6.9999999999999951E-2</v>
      </c>
      <c r="W11" s="275">
        <f t="shared" si="3"/>
        <v>3867.5088791979501</v>
      </c>
      <c r="X11" s="275">
        <f t="shared" si="4"/>
        <v>4023.7378051521828</v>
      </c>
      <c r="Y11" s="275">
        <f t="shared" si="0"/>
        <v>4158.6116980623119</v>
      </c>
      <c r="Z11" s="128"/>
      <c r="AA11" s="103">
        <v>45240</v>
      </c>
      <c r="AB11" s="575">
        <v>51615</v>
      </c>
      <c r="AC11" s="575"/>
      <c r="AD11" s="103"/>
      <c r="AE11" s="313"/>
      <c r="AF11" s="103"/>
      <c r="AG11" s="575">
        <v>464535</v>
      </c>
      <c r="AH11" s="126" t="s">
        <v>17189</v>
      </c>
      <c r="AI11" s="126" t="s">
        <v>17248</v>
      </c>
      <c r="AJ11" s="550"/>
      <c r="AK11" s="550"/>
      <c r="AL11" s="126"/>
      <c r="AM11" s="126"/>
      <c r="AN11" s="132" t="s">
        <v>17247</v>
      </c>
      <c r="AO11" s="132" t="s">
        <v>517</v>
      </c>
      <c r="AP11" s="132"/>
      <c r="AQ11" s="132"/>
      <c r="AR11" s="132"/>
      <c r="AS11" s="132" t="s">
        <v>17530</v>
      </c>
      <c r="AT11" s="132" t="s">
        <v>17531</v>
      </c>
      <c r="AU11" s="132"/>
      <c r="AV11" s="132"/>
      <c r="AW11" s="1169"/>
      <c r="AX11" s="276"/>
    </row>
    <row r="12" spans="1:50" s="334" customFormat="1" ht="13.5" hidden="1" customHeight="1">
      <c r="A12" s="126">
        <v>11</v>
      </c>
      <c r="B12" s="8" t="s">
        <v>34</v>
      </c>
      <c r="C12" s="545" t="s">
        <v>90</v>
      </c>
      <c r="D12" s="546">
        <v>3</v>
      </c>
      <c r="E12" s="546" t="s">
        <v>46</v>
      </c>
      <c r="F12" s="545">
        <v>56.13</v>
      </c>
      <c r="G12" s="547">
        <v>7.4</v>
      </c>
      <c r="H12" s="548"/>
      <c r="I12" s="548"/>
      <c r="J12" s="272">
        <f t="shared" si="1"/>
        <v>58.35</v>
      </c>
      <c r="K12" s="272">
        <v>1</v>
      </c>
      <c r="L12" s="272"/>
      <c r="M12" s="126" t="s">
        <v>258</v>
      </c>
      <c r="N12" s="126"/>
      <c r="O12" s="126"/>
      <c r="P12" s="273">
        <v>272640</v>
      </c>
      <c r="Q12" s="273"/>
      <c r="R12" s="273">
        <f t="shared" si="5"/>
        <v>278400</v>
      </c>
      <c r="S12" s="273">
        <v>290000</v>
      </c>
      <c r="T12" s="273">
        <v>272640</v>
      </c>
      <c r="U12" s="273">
        <v>284000</v>
      </c>
      <c r="V12" s="274">
        <f>1-(P12/S12)</f>
        <v>5.9862068965517268E-2</v>
      </c>
      <c r="W12" s="275">
        <f t="shared" si="3"/>
        <v>4672.4935732647809</v>
      </c>
      <c r="X12" s="275">
        <f t="shared" si="4"/>
        <v>4771.2082262210797</v>
      </c>
      <c r="Y12" s="275">
        <f t="shared" si="0"/>
        <v>4970.0085689802909</v>
      </c>
      <c r="Z12" s="128"/>
      <c r="AA12" s="103">
        <v>45260</v>
      </c>
      <c r="AB12" s="575">
        <v>54528</v>
      </c>
      <c r="AC12" s="575"/>
      <c r="AD12" s="103"/>
      <c r="AE12" s="313"/>
      <c r="AF12" s="103"/>
      <c r="AG12" s="575">
        <v>218112</v>
      </c>
      <c r="AH12" s="126" t="s">
        <v>17189</v>
      </c>
      <c r="AI12" s="126"/>
      <c r="AJ12" s="126"/>
      <c r="AK12" s="126">
        <v>143</v>
      </c>
      <c r="AL12" s="126"/>
      <c r="AM12" s="126"/>
      <c r="AN12" s="132" t="s">
        <v>17251</v>
      </c>
      <c r="AO12" s="132" t="s">
        <v>265</v>
      </c>
      <c r="AP12" s="132"/>
      <c r="AQ12" s="132"/>
      <c r="AR12" s="132"/>
      <c r="AS12" s="132" t="s">
        <v>17532</v>
      </c>
      <c r="AT12" s="132">
        <v>919180952</v>
      </c>
      <c r="AU12" s="132"/>
      <c r="AV12" s="132"/>
      <c r="AW12" s="1169"/>
      <c r="AX12" s="276"/>
    </row>
    <row r="13" spans="1:50" s="334" customFormat="1" ht="13.5" hidden="1" customHeight="1">
      <c r="A13" s="126">
        <v>12</v>
      </c>
      <c r="B13" s="8" t="s">
        <v>35</v>
      </c>
      <c r="C13" s="545" t="s">
        <v>91</v>
      </c>
      <c r="D13" s="546">
        <v>3</v>
      </c>
      <c r="E13" s="546" t="s">
        <v>751</v>
      </c>
      <c r="F13" s="545">
        <v>96.19</v>
      </c>
      <c r="G13" s="547">
        <v>7.41</v>
      </c>
      <c r="H13" s="548"/>
      <c r="I13" s="548"/>
      <c r="J13" s="272">
        <f t="shared" si="1"/>
        <v>98.412999999999997</v>
      </c>
      <c r="K13" s="272">
        <v>1</v>
      </c>
      <c r="L13" s="272"/>
      <c r="M13" s="126" t="s">
        <v>258</v>
      </c>
      <c r="N13" s="126"/>
      <c r="O13" s="126"/>
      <c r="P13" s="276">
        <v>422400</v>
      </c>
      <c r="Q13" s="273">
        <f>0.9*S13</f>
        <v>396000</v>
      </c>
      <c r="R13" s="273">
        <f t="shared" si="5"/>
        <v>422400</v>
      </c>
      <c r="S13" s="273">
        <v>440000</v>
      </c>
      <c r="T13" s="273">
        <v>404352</v>
      </c>
      <c r="U13" s="273">
        <v>421200</v>
      </c>
      <c r="V13" s="274">
        <v>0.04</v>
      </c>
      <c r="W13" s="275">
        <f t="shared" si="3"/>
        <v>4292.1158789997262</v>
      </c>
      <c r="X13" s="275">
        <f>Q13/J13</f>
        <v>4023.8586365622427</v>
      </c>
      <c r="Y13" s="275">
        <f t="shared" si="0"/>
        <v>4470.9540406247143</v>
      </c>
      <c r="Z13" s="128">
        <v>45876</v>
      </c>
      <c r="AA13" s="103">
        <v>45905</v>
      </c>
      <c r="AB13" s="575">
        <f>5000+37240</f>
        <v>42240</v>
      </c>
      <c r="AC13" s="575"/>
      <c r="AD13" s="103"/>
      <c r="AE13" s="313"/>
      <c r="AF13" s="103"/>
      <c r="AG13" s="575">
        <v>380160</v>
      </c>
      <c r="AH13" s="126" t="s">
        <v>17189</v>
      </c>
      <c r="AI13" s="126"/>
      <c r="AJ13" s="550"/>
      <c r="AK13" s="550"/>
      <c r="AL13" s="126"/>
      <c r="AM13" s="126"/>
      <c r="AN13" s="132" t="s">
        <v>18069</v>
      </c>
      <c r="AO13" s="132" t="s">
        <v>265</v>
      </c>
      <c r="AP13" s="132"/>
      <c r="AQ13" s="132"/>
      <c r="AR13" s="132"/>
      <c r="AS13" s="132"/>
      <c r="AT13" s="132"/>
      <c r="AU13" s="132"/>
      <c r="AV13" s="132"/>
      <c r="AW13" s="276"/>
      <c r="AX13" s="276"/>
    </row>
    <row r="14" spans="1:50" s="334" customFormat="1" ht="13.5" hidden="1" customHeight="1">
      <c r="A14" s="126">
        <v>13</v>
      </c>
      <c r="B14" s="8" t="s">
        <v>36</v>
      </c>
      <c r="C14" s="545" t="s">
        <v>91</v>
      </c>
      <c r="D14" s="546">
        <v>3</v>
      </c>
      <c r="E14" s="546" t="s">
        <v>751</v>
      </c>
      <c r="F14" s="545">
        <v>96.16</v>
      </c>
      <c r="G14" s="547">
        <v>7.41</v>
      </c>
      <c r="H14" s="548"/>
      <c r="I14" s="548"/>
      <c r="J14" s="272">
        <f t="shared" si="1"/>
        <v>98.382999999999996</v>
      </c>
      <c r="K14" s="272">
        <v>1</v>
      </c>
      <c r="L14" s="272"/>
      <c r="M14" s="126" t="s">
        <v>258</v>
      </c>
      <c r="N14" s="126"/>
      <c r="O14" s="126"/>
      <c r="P14" s="276">
        <v>440000</v>
      </c>
      <c r="Q14" s="273">
        <f>0.9*S14</f>
        <v>396000</v>
      </c>
      <c r="R14" s="273">
        <f t="shared" si="5"/>
        <v>422400</v>
      </c>
      <c r="S14" s="273">
        <v>440000</v>
      </c>
      <c r="T14" s="273">
        <v>404352</v>
      </c>
      <c r="U14" s="273">
        <v>421200</v>
      </c>
      <c r="V14" s="274">
        <v>0.04</v>
      </c>
      <c r="W14" s="275">
        <f>P14/J14</f>
        <v>4472.3173719036831</v>
      </c>
      <c r="X14" s="275">
        <f>Q14/J14</f>
        <v>4025.0856347133144</v>
      </c>
      <c r="Y14" s="275">
        <f t="shared" si="0"/>
        <v>4472.3173719036831</v>
      </c>
      <c r="Z14" s="128">
        <v>45863</v>
      </c>
      <c r="AA14" s="103">
        <v>45889</v>
      </c>
      <c r="AB14" s="575">
        <f>10000+78000</f>
        <v>88000</v>
      </c>
      <c r="AC14" s="575"/>
      <c r="AD14" s="103"/>
      <c r="AE14" s="313"/>
      <c r="AF14" s="103"/>
      <c r="AG14" s="575">
        <f>80%*P14</f>
        <v>352000</v>
      </c>
      <c r="AH14" s="126" t="s">
        <v>17778</v>
      </c>
      <c r="AI14" s="126"/>
      <c r="AJ14" s="126"/>
      <c r="AK14" s="126"/>
      <c r="AL14" s="126"/>
      <c r="AM14" s="126"/>
      <c r="AN14" s="112" t="s">
        <v>18061</v>
      </c>
      <c r="AO14" s="132" t="s">
        <v>563</v>
      </c>
      <c r="AP14" s="132"/>
      <c r="AQ14" s="132"/>
      <c r="AR14" s="132"/>
      <c r="AS14" s="1428" t="s">
        <v>18062</v>
      </c>
      <c r="AT14" s="132">
        <v>3862359501</v>
      </c>
      <c r="AU14" s="132"/>
      <c r="AV14" s="132"/>
      <c r="AW14" s="276"/>
      <c r="AX14" s="276"/>
    </row>
    <row r="15" spans="1:50" s="334" customFormat="1" ht="13.5" hidden="1" customHeight="1">
      <c r="A15" s="126">
        <v>14</v>
      </c>
      <c r="B15" s="8" t="s">
        <v>37</v>
      </c>
      <c r="C15" s="545" t="s">
        <v>90</v>
      </c>
      <c r="D15" s="546">
        <v>3</v>
      </c>
      <c r="E15" s="546" t="s">
        <v>46</v>
      </c>
      <c r="F15" s="545">
        <v>56.77</v>
      </c>
      <c r="G15" s="547">
        <v>7.41</v>
      </c>
      <c r="H15" s="548"/>
      <c r="I15" s="548"/>
      <c r="J15" s="272">
        <f t="shared" si="1"/>
        <v>58.993000000000002</v>
      </c>
      <c r="K15" s="272">
        <v>1</v>
      </c>
      <c r="L15" s="272"/>
      <c r="M15" s="126" t="s">
        <v>258</v>
      </c>
      <c r="N15" s="126"/>
      <c r="O15" s="276"/>
      <c r="P15" s="273">
        <v>262080</v>
      </c>
      <c r="Q15" s="273"/>
      <c r="R15" s="273">
        <f t="shared" si="5"/>
        <v>262080</v>
      </c>
      <c r="S15" s="273">
        <v>273000</v>
      </c>
      <c r="T15" s="273"/>
      <c r="U15" s="273"/>
      <c r="V15" s="274">
        <f t="shared" si="2"/>
        <v>4.0000000000000036E-2</v>
      </c>
      <c r="W15" s="275">
        <f t="shared" si="3"/>
        <v>4442.5609818114008</v>
      </c>
      <c r="X15" s="275">
        <f t="shared" si="4"/>
        <v>4442.5609818114008</v>
      </c>
      <c r="Y15" s="275">
        <f t="shared" si="0"/>
        <v>4627.6676893868762</v>
      </c>
      <c r="Z15" s="128"/>
      <c r="AA15" s="103">
        <v>45323</v>
      </c>
      <c r="AB15" s="575">
        <v>52416</v>
      </c>
      <c r="AC15" s="575"/>
      <c r="AD15" s="103"/>
      <c r="AE15" s="313"/>
      <c r="AF15" s="103"/>
      <c r="AG15" s="575">
        <v>209664</v>
      </c>
      <c r="AH15" s="126" t="s">
        <v>17189</v>
      </c>
      <c r="AI15" s="126" t="s">
        <v>309</v>
      </c>
      <c r="AJ15" s="126"/>
      <c r="AK15" s="126"/>
      <c r="AL15" s="126"/>
      <c r="AM15" s="126"/>
      <c r="AN15" s="132" t="s">
        <v>18377</v>
      </c>
      <c r="AO15" s="132" t="s">
        <v>734</v>
      </c>
      <c r="AP15" s="132"/>
      <c r="AQ15" s="132"/>
      <c r="AR15" s="132"/>
      <c r="AS15" s="132" t="s">
        <v>17533</v>
      </c>
      <c r="AT15" s="132">
        <v>967857992</v>
      </c>
      <c r="AU15" s="132"/>
      <c r="AV15" s="1171"/>
      <c r="AW15" s="1169"/>
      <c r="AX15" s="276"/>
    </row>
    <row r="16" spans="1:50" s="334" customFormat="1" ht="13.5" hidden="1" customHeight="1">
      <c r="A16" s="126">
        <v>15</v>
      </c>
      <c r="B16" s="8" t="s">
        <v>38</v>
      </c>
      <c r="C16" s="545" t="s">
        <v>90</v>
      </c>
      <c r="D16" s="546">
        <v>3</v>
      </c>
      <c r="E16" s="546" t="s">
        <v>46</v>
      </c>
      <c r="F16" s="545">
        <v>58.2</v>
      </c>
      <c r="G16" s="547">
        <v>14.82</v>
      </c>
      <c r="H16" s="548"/>
      <c r="I16" s="548"/>
      <c r="J16" s="272">
        <f t="shared" si="1"/>
        <v>62.646000000000001</v>
      </c>
      <c r="K16" s="272">
        <v>1</v>
      </c>
      <c r="L16" s="272"/>
      <c r="M16" s="126" t="s">
        <v>258</v>
      </c>
      <c r="N16" s="126"/>
      <c r="O16" s="126"/>
      <c r="P16" s="273">
        <v>264000</v>
      </c>
      <c r="Q16" s="273"/>
      <c r="R16" s="273">
        <f t="shared" si="5"/>
        <v>264000</v>
      </c>
      <c r="S16" s="273">
        <v>275000</v>
      </c>
      <c r="T16" s="273"/>
      <c r="U16" s="273"/>
      <c r="V16" s="274">
        <f t="shared" si="2"/>
        <v>4.0000000000000036E-2</v>
      </c>
      <c r="W16" s="275">
        <f t="shared" si="3"/>
        <v>4214.1557322095587</v>
      </c>
      <c r="X16" s="275">
        <f t="shared" si="4"/>
        <v>4214.1557322095587</v>
      </c>
      <c r="Y16" s="275">
        <f t="shared" si="0"/>
        <v>4389.7455543849564</v>
      </c>
      <c r="Z16" s="128"/>
      <c r="AA16" s="103">
        <v>45483</v>
      </c>
      <c r="AB16" s="575">
        <f>10%*P16</f>
        <v>26400</v>
      </c>
      <c r="AC16" s="575"/>
      <c r="AD16" s="103"/>
      <c r="AE16" s="313"/>
      <c r="AF16" s="103"/>
      <c r="AG16" s="575">
        <f>90%*P16</f>
        <v>237600</v>
      </c>
      <c r="AH16" s="126" t="s">
        <v>274</v>
      </c>
      <c r="AI16" s="126"/>
      <c r="AJ16" s="550"/>
      <c r="AK16" s="550"/>
      <c r="AL16" s="126"/>
      <c r="AM16" s="126"/>
      <c r="AN16" s="132" t="s">
        <v>17197</v>
      </c>
      <c r="AO16" s="132" t="s">
        <v>517</v>
      </c>
      <c r="AP16" s="132"/>
      <c r="AQ16" s="132"/>
      <c r="AR16" s="132"/>
      <c r="AS16" s="132"/>
      <c r="AT16" s="132"/>
      <c r="AU16" s="132"/>
      <c r="AV16" s="132"/>
      <c r="AW16" s="276"/>
      <c r="AX16" s="276"/>
    </row>
    <row r="17" spans="1:51" s="192" customFormat="1" ht="13.5" hidden="1" customHeight="1">
      <c r="A17" s="129">
        <v>16</v>
      </c>
      <c r="B17" s="7" t="s">
        <v>39</v>
      </c>
      <c r="C17" s="576" t="s">
        <v>91</v>
      </c>
      <c r="D17" s="352">
        <v>3</v>
      </c>
      <c r="E17" s="352" t="s">
        <v>752</v>
      </c>
      <c r="F17" s="576">
        <v>97.52</v>
      </c>
      <c r="G17" s="353">
        <v>14.67</v>
      </c>
      <c r="H17" s="354"/>
      <c r="I17" s="354"/>
      <c r="J17" s="189">
        <f t="shared" si="1"/>
        <v>101.92099999999999</v>
      </c>
      <c r="K17" s="189">
        <v>1</v>
      </c>
      <c r="L17" s="189"/>
      <c r="M17" s="129"/>
      <c r="N17" s="129"/>
      <c r="O17" s="191"/>
      <c r="P17" s="191"/>
      <c r="Q17" s="229">
        <f>0.91*R17</f>
        <v>401856</v>
      </c>
      <c r="R17" s="229">
        <f>S17*0.96</f>
        <v>441600</v>
      </c>
      <c r="S17" s="229">
        <v>460000</v>
      </c>
      <c r="T17" s="229"/>
      <c r="U17" s="229">
        <v>425000</v>
      </c>
      <c r="V17" s="190">
        <v>0.04</v>
      </c>
      <c r="W17" s="93">
        <f t="shared" si="3"/>
        <v>0</v>
      </c>
      <c r="X17" s="93">
        <f>Q17/J17</f>
        <v>3942.8184574327179</v>
      </c>
      <c r="Y17" s="93">
        <f t="shared" si="0"/>
        <v>4513.2995162920306</v>
      </c>
      <c r="Z17" s="35"/>
      <c r="AA17" s="33"/>
      <c r="AB17" s="580"/>
      <c r="AC17" s="580"/>
      <c r="AD17" s="33"/>
      <c r="AE17" s="311"/>
      <c r="AF17" s="33"/>
      <c r="AG17" s="580"/>
      <c r="AH17" s="129"/>
      <c r="AI17" s="129"/>
      <c r="AJ17" s="343"/>
      <c r="AK17" s="343"/>
      <c r="AL17" s="129"/>
      <c r="AM17" s="129"/>
      <c r="AN17" s="36"/>
      <c r="AO17" s="36"/>
      <c r="AP17" s="36"/>
      <c r="AQ17" s="36"/>
      <c r="AR17" s="36"/>
      <c r="AS17" s="36"/>
      <c r="AT17" s="36"/>
      <c r="AU17" s="36"/>
      <c r="AV17" s="36"/>
      <c r="AW17" s="191"/>
      <c r="AX17" s="191"/>
    </row>
    <row r="18" spans="1:51" s="334" customFormat="1" ht="13.5" hidden="1" customHeight="1">
      <c r="A18" s="126">
        <v>17</v>
      </c>
      <c r="B18" s="8" t="s">
        <v>40</v>
      </c>
      <c r="C18" s="545" t="s">
        <v>91</v>
      </c>
      <c r="D18" s="546">
        <v>3</v>
      </c>
      <c r="E18" s="546" t="s">
        <v>753</v>
      </c>
      <c r="F18" s="545">
        <v>108.16</v>
      </c>
      <c r="G18" s="547">
        <v>11.14</v>
      </c>
      <c r="H18" s="548"/>
      <c r="I18" s="548"/>
      <c r="J18" s="272">
        <f t="shared" si="1"/>
        <v>111.502</v>
      </c>
      <c r="K18" s="272">
        <v>1</v>
      </c>
      <c r="L18" s="272"/>
      <c r="M18" s="126" t="s">
        <v>258</v>
      </c>
      <c r="N18" s="126"/>
      <c r="O18" s="126"/>
      <c r="P18" s="273">
        <v>523200</v>
      </c>
      <c r="Q18" s="273"/>
      <c r="R18" s="273">
        <v>523200</v>
      </c>
      <c r="S18" s="273">
        <v>544000</v>
      </c>
      <c r="T18" s="273">
        <f>U18*0.96</f>
        <v>470400</v>
      </c>
      <c r="U18" s="273">
        <v>490000</v>
      </c>
      <c r="V18" s="274">
        <v>0.04</v>
      </c>
      <c r="W18" s="275">
        <f t="shared" si="3"/>
        <v>4692.2925149324674</v>
      </c>
      <c r="X18" s="275">
        <f t="shared" si="4"/>
        <v>4692.2925149324674</v>
      </c>
      <c r="Y18" s="275">
        <f t="shared" si="0"/>
        <v>4878.8362540582229</v>
      </c>
      <c r="Z18" s="128"/>
      <c r="AA18" s="103">
        <v>45327</v>
      </c>
      <c r="AB18" s="575">
        <v>104640</v>
      </c>
      <c r="AC18" s="575"/>
      <c r="AD18" s="103"/>
      <c r="AE18" s="313"/>
      <c r="AF18" s="103"/>
      <c r="AG18" s="575">
        <v>418560</v>
      </c>
      <c r="AH18" s="126" t="s">
        <v>17189</v>
      </c>
      <c r="AI18" s="126" t="s">
        <v>17297</v>
      </c>
      <c r="AJ18" s="126"/>
      <c r="AK18" s="126"/>
      <c r="AL18" s="126"/>
      <c r="AM18" s="126"/>
      <c r="AN18" s="126" t="s">
        <v>17296</v>
      </c>
      <c r="AO18" s="132" t="s">
        <v>565</v>
      </c>
      <c r="AP18" s="132"/>
      <c r="AQ18" s="132"/>
      <c r="AR18" s="132"/>
      <c r="AS18" s="132"/>
      <c r="AT18" s="132"/>
      <c r="AU18" s="132"/>
      <c r="AV18" s="132"/>
      <c r="AW18" s="276"/>
      <c r="AX18" s="276"/>
    </row>
    <row r="19" spans="1:51" s="334" customFormat="1" ht="13.5" customHeight="1">
      <c r="A19" s="126">
        <v>18</v>
      </c>
      <c r="B19" s="8" t="s">
        <v>41</v>
      </c>
      <c r="C19" s="545" t="s">
        <v>90</v>
      </c>
      <c r="D19" s="546">
        <v>3</v>
      </c>
      <c r="E19" s="546" t="s">
        <v>28</v>
      </c>
      <c r="F19" s="545">
        <v>58.42</v>
      </c>
      <c r="G19" s="547">
        <v>3.68</v>
      </c>
      <c r="H19" s="548"/>
      <c r="I19" s="548"/>
      <c r="J19" s="272">
        <f t="shared" si="1"/>
        <v>59.524000000000001</v>
      </c>
      <c r="K19" s="272">
        <v>1</v>
      </c>
      <c r="L19" s="272"/>
      <c r="M19" s="126" t="s">
        <v>258</v>
      </c>
      <c r="N19" s="126"/>
      <c r="O19" s="126"/>
      <c r="P19" s="273">
        <v>244800</v>
      </c>
      <c r="Q19" s="273"/>
      <c r="R19" s="273">
        <f>S19*0.96</f>
        <v>244800</v>
      </c>
      <c r="S19" s="273">
        <v>255000</v>
      </c>
      <c r="T19" s="273"/>
      <c r="U19" s="273"/>
      <c r="V19" s="274">
        <f t="shared" si="2"/>
        <v>4.0000000000000036E-2</v>
      </c>
      <c r="W19" s="275">
        <f t="shared" si="3"/>
        <v>4112.6268395941133</v>
      </c>
      <c r="X19" s="275">
        <f t="shared" si="4"/>
        <v>4112.6268395941133</v>
      </c>
      <c r="Y19" s="275">
        <f t="shared" si="0"/>
        <v>4283.9862912438675</v>
      </c>
      <c r="Z19" s="128"/>
      <c r="AA19" s="103">
        <v>45190</v>
      </c>
      <c r="AB19" s="575">
        <v>48960</v>
      </c>
      <c r="AC19" s="575"/>
      <c r="AD19" s="103"/>
      <c r="AE19" s="313"/>
      <c r="AF19" s="103"/>
      <c r="AG19" s="575">
        <v>195840</v>
      </c>
      <c r="AH19" s="126" t="s">
        <v>17189</v>
      </c>
      <c r="AI19" s="126" t="s">
        <v>17201</v>
      </c>
      <c r="AJ19" s="126"/>
      <c r="AK19" s="126"/>
      <c r="AL19" s="126"/>
      <c r="AM19" s="126"/>
      <c r="AN19" s="126" t="s">
        <v>17194</v>
      </c>
      <c r="AO19" s="132" t="s">
        <v>265</v>
      </c>
      <c r="AP19" s="132"/>
      <c r="AQ19" s="132"/>
      <c r="AR19" s="132"/>
      <c r="AS19" s="132"/>
      <c r="AT19" s="132"/>
      <c r="AU19" s="132"/>
      <c r="AV19" s="132"/>
      <c r="AW19" s="276"/>
      <c r="AX19" s="276"/>
    </row>
    <row r="20" spans="1:51" s="334" customFormat="1" ht="13.5" hidden="1" customHeight="1">
      <c r="A20" s="126">
        <v>19</v>
      </c>
      <c r="B20" s="8" t="s">
        <v>42</v>
      </c>
      <c r="C20" s="545" t="s">
        <v>89</v>
      </c>
      <c r="D20" s="546">
        <v>4</v>
      </c>
      <c r="E20" s="546" t="s">
        <v>750</v>
      </c>
      <c r="F20" s="545">
        <v>125.65</v>
      </c>
      <c r="G20" s="547">
        <v>9.6</v>
      </c>
      <c r="H20" s="548"/>
      <c r="I20" s="548"/>
      <c r="J20" s="272">
        <f t="shared" si="1"/>
        <v>128.53</v>
      </c>
      <c r="K20" s="272">
        <v>2</v>
      </c>
      <c r="L20" s="272">
        <v>1</v>
      </c>
      <c r="M20" s="126" t="s">
        <v>258</v>
      </c>
      <c r="N20" s="126"/>
      <c r="O20" s="126"/>
      <c r="P20" s="273">
        <v>520800</v>
      </c>
      <c r="Q20" s="273"/>
      <c r="R20" s="273">
        <f>S20*0.93</f>
        <v>520800</v>
      </c>
      <c r="S20" s="273">
        <v>560000</v>
      </c>
      <c r="T20" s="273"/>
      <c r="U20" s="273"/>
      <c r="V20" s="274">
        <f>1-(P20/S20)</f>
        <v>6.9999999999999951E-2</v>
      </c>
      <c r="W20" s="275">
        <f t="shared" si="3"/>
        <v>4051.9723021862601</v>
      </c>
      <c r="X20" s="275">
        <f t="shared" si="4"/>
        <v>4051.9723021862601</v>
      </c>
      <c r="Y20" s="275">
        <f t="shared" si="0"/>
        <v>4356.9594647164085</v>
      </c>
      <c r="Z20" s="128"/>
      <c r="AA20" s="103">
        <v>45239</v>
      </c>
      <c r="AB20" s="575">
        <v>52080</v>
      </c>
      <c r="AC20" s="575"/>
      <c r="AD20" s="103"/>
      <c r="AE20" s="313"/>
      <c r="AF20" s="103"/>
      <c r="AG20" s="575">
        <v>468720</v>
      </c>
      <c r="AH20" s="126" t="s">
        <v>274</v>
      </c>
      <c r="AI20" s="126"/>
      <c r="AJ20" s="126"/>
      <c r="AK20" s="126"/>
      <c r="AL20" s="126"/>
      <c r="AM20" s="126"/>
      <c r="AN20" s="112" t="s">
        <v>17190</v>
      </c>
      <c r="AO20" s="132" t="s">
        <v>517</v>
      </c>
      <c r="AP20" s="132"/>
      <c r="AQ20" s="132"/>
      <c r="AR20" s="132"/>
      <c r="AS20" s="132"/>
      <c r="AT20" s="132"/>
      <c r="AU20" s="132"/>
      <c r="AV20" s="132"/>
      <c r="AW20" s="276"/>
      <c r="AX20" s="276"/>
    </row>
    <row r="21" spans="1:51" s="334" customFormat="1" ht="13.5" hidden="1" customHeight="1">
      <c r="A21" s="126">
        <v>20</v>
      </c>
      <c r="B21" s="8" t="s">
        <v>43</v>
      </c>
      <c r="C21" s="545" t="s">
        <v>90</v>
      </c>
      <c r="D21" s="546">
        <v>4</v>
      </c>
      <c r="E21" s="546" t="s">
        <v>46</v>
      </c>
      <c r="F21" s="545">
        <v>54.45</v>
      </c>
      <c r="G21" s="547">
        <v>7.4</v>
      </c>
      <c r="H21" s="548"/>
      <c r="I21" s="548"/>
      <c r="J21" s="272">
        <f t="shared" si="1"/>
        <v>56.67</v>
      </c>
      <c r="K21" s="272">
        <v>1</v>
      </c>
      <c r="L21" s="272"/>
      <c r="M21" s="126" t="s">
        <v>258</v>
      </c>
      <c r="N21" s="126"/>
      <c r="O21" s="126"/>
      <c r="P21" s="273">
        <v>256000</v>
      </c>
      <c r="Q21" s="273"/>
      <c r="R21" s="273">
        <f t="shared" si="5"/>
        <v>283200</v>
      </c>
      <c r="S21" s="273">
        <v>295000</v>
      </c>
      <c r="T21" s="273">
        <v>259200</v>
      </c>
      <c r="U21" s="273">
        <v>270000</v>
      </c>
      <c r="V21" s="274">
        <f t="shared" si="2"/>
        <v>4.0000000000000036E-2</v>
      </c>
      <c r="W21" s="275">
        <f t="shared" si="3"/>
        <v>4517.3813305099702</v>
      </c>
      <c r="X21" s="275">
        <f t="shared" si="4"/>
        <v>4997.3530968766545</v>
      </c>
      <c r="Y21" s="275">
        <f t="shared" si="0"/>
        <v>5205.5761425798482</v>
      </c>
      <c r="Z21" s="128"/>
      <c r="AA21" s="103">
        <v>45317</v>
      </c>
      <c r="AB21" s="575">
        <v>51200</v>
      </c>
      <c r="AC21" s="575"/>
      <c r="AD21" s="103"/>
      <c r="AE21" s="313"/>
      <c r="AF21" s="103"/>
      <c r="AG21" s="575">
        <v>204800</v>
      </c>
      <c r="AH21" s="126" t="s">
        <v>274</v>
      </c>
      <c r="AI21" s="126"/>
      <c r="AJ21" s="126"/>
      <c r="AK21" s="126"/>
      <c r="AL21" s="126"/>
      <c r="AM21" s="126"/>
      <c r="AN21" s="112" t="s">
        <v>17204</v>
      </c>
      <c r="AO21" s="132" t="s">
        <v>517</v>
      </c>
      <c r="AP21" s="132"/>
      <c r="AQ21" s="132"/>
      <c r="AR21" s="132"/>
      <c r="AS21" s="132"/>
      <c r="AT21" s="132"/>
      <c r="AU21" s="132"/>
      <c r="AV21" s="132"/>
      <c r="AW21" s="276"/>
      <c r="AX21" s="276"/>
    </row>
    <row r="22" spans="1:51" s="334" customFormat="1" ht="13.5" hidden="1" customHeight="1">
      <c r="A22" s="126">
        <v>21</v>
      </c>
      <c r="B22" s="8" t="s">
        <v>44</v>
      </c>
      <c r="C22" s="545" t="s">
        <v>91</v>
      </c>
      <c r="D22" s="546">
        <v>4</v>
      </c>
      <c r="E22" s="546" t="s">
        <v>751</v>
      </c>
      <c r="F22" s="545">
        <v>93.67</v>
      </c>
      <c r="G22" s="547">
        <v>8.24</v>
      </c>
      <c r="H22" s="548"/>
      <c r="I22" s="548"/>
      <c r="J22" s="272">
        <f t="shared" si="1"/>
        <v>96.141999999999996</v>
      </c>
      <c r="K22" s="272">
        <v>1</v>
      </c>
      <c r="L22" s="272"/>
      <c r="M22" s="126" t="s">
        <v>258</v>
      </c>
      <c r="N22" s="126"/>
      <c r="O22" s="126"/>
      <c r="P22" s="276">
        <f>0.9*S22</f>
        <v>400500</v>
      </c>
      <c r="Q22" s="273">
        <f>0.9*S22</f>
        <v>400500</v>
      </c>
      <c r="R22" s="273">
        <f>S22*0.96</f>
        <v>427200</v>
      </c>
      <c r="S22" s="273">
        <v>445000</v>
      </c>
      <c r="T22" s="273">
        <v>426400</v>
      </c>
      <c r="U22" s="273">
        <v>426400</v>
      </c>
      <c r="V22" s="274">
        <v>0.04</v>
      </c>
      <c r="W22" s="275">
        <f t="shared" si="3"/>
        <v>4165.7132158681952</v>
      </c>
      <c r="X22" s="275">
        <f>Q22/J22</f>
        <v>4165.7132158681952</v>
      </c>
      <c r="Y22" s="275">
        <f t="shared" si="0"/>
        <v>4628.5702398535504</v>
      </c>
      <c r="Z22" s="128">
        <v>45743</v>
      </c>
      <c r="AA22" s="103">
        <v>45814</v>
      </c>
      <c r="AB22" s="575">
        <f>5000+115150</f>
        <v>120150</v>
      </c>
      <c r="AC22" s="575"/>
      <c r="AD22" s="103"/>
      <c r="AE22" s="313"/>
      <c r="AF22" s="103"/>
      <c r="AG22" s="575">
        <v>280350</v>
      </c>
      <c r="AH22" s="126" t="s">
        <v>17189</v>
      </c>
      <c r="AI22" s="126"/>
      <c r="AJ22" s="550"/>
      <c r="AK22" s="550"/>
      <c r="AL22" s="126"/>
      <c r="AM22" s="126"/>
      <c r="AN22" s="132" t="s">
        <v>18025</v>
      </c>
      <c r="AO22" s="132" t="s">
        <v>565</v>
      </c>
      <c r="AP22" s="132"/>
      <c r="AQ22" s="132"/>
      <c r="AR22" s="132"/>
      <c r="AS22" s="132"/>
      <c r="AT22" s="132"/>
      <c r="AU22" s="132"/>
      <c r="AV22" s="132"/>
      <c r="AW22" s="276"/>
      <c r="AX22" s="276"/>
    </row>
    <row r="23" spans="1:51" s="334" customFormat="1" ht="12.75" hidden="1" customHeight="1">
      <c r="A23" s="126">
        <v>22</v>
      </c>
      <c r="B23" s="8" t="s">
        <v>45</v>
      </c>
      <c r="C23" s="545" t="s">
        <v>91</v>
      </c>
      <c r="D23" s="546">
        <v>4</v>
      </c>
      <c r="E23" s="546" t="s">
        <v>751</v>
      </c>
      <c r="F23" s="545">
        <v>93.64</v>
      </c>
      <c r="G23" s="547">
        <v>8.23</v>
      </c>
      <c r="H23" s="548"/>
      <c r="I23" s="548"/>
      <c r="J23" s="272">
        <f t="shared" si="1"/>
        <v>96.108999999999995</v>
      </c>
      <c r="K23" s="272">
        <v>1</v>
      </c>
      <c r="L23" s="272">
        <v>1</v>
      </c>
      <c r="M23" s="98" t="s">
        <v>258</v>
      </c>
      <c r="N23" s="126"/>
      <c r="O23" s="126"/>
      <c r="P23" s="273">
        <v>445000</v>
      </c>
      <c r="Q23" s="273"/>
      <c r="R23" s="273">
        <f t="shared" si="5"/>
        <v>427200</v>
      </c>
      <c r="S23" s="273">
        <v>445000</v>
      </c>
      <c r="T23" s="273">
        <v>409344</v>
      </c>
      <c r="U23" s="273">
        <v>426400</v>
      </c>
      <c r="V23" s="274">
        <f t="shared" si="2"/>
        <v>4.0000000000000036E-2</v>
      </c>
      <c r="W23" s="275">
        <f t="shared" si="3"/>
        <v>4630.1595063937821</v>
      </c>
      <c r="X23" s="275">
        <f t="shared" si="4"/>
        <v>4444.9531261380307</v>
      </c>
      <c r="Y23" s="275">
        <f t="shared" si="0"/>
        <v>4630.1595063937821</v>
      </c>
      <c r="Z23" s="128"/>
      <c r="AA23" s="103">
        <v>45455</v>
      </c>
      <c r="AB23" s="575">
        <v>89000</v>
      </c>
      <c r="AC23" s="575"/>
      <c r="AD23" s="103"/>
      <c r="AE23" s="313"/>
      <c r="AF23" s="103"/>
      <c r="AG23" s="575">
        <v>356000</v>
      </c>
      <c r="AH23" s="126" t="s">
        <v>17189</v>
      </c>
      <c r="AI23" s="126" t="s">
        <v>17486</v>
      </c>
      <c r="AJ23" s="550"/>
      <c r="AK23" s="550"/>
      <c r="AL23" s="126"/>
      <c r="AM23" s="126"/>
      <c r="AN23" s="126" t="s">
        <v>17487</v>
      </c>
      <c r="AO23" s="132" t="s">
        <v>565</v>
      </c>
      <c r="AP23" s="132"/>
      <c r="AQ23" s="132"/>
      <c r="AR23" s="132"/>
      <c r="AS23" s="132"/>
      <c r="AT23" s="132"/>
      <c r="AU23" s="132"/>
      <c r="AV23" s="132"/>
      <c r="AW23" s="276"/>
      <c r="AX23" s="276"/>
    </row>
    <row r="24" spans="1:51" s="736" customFormat="1" ht="15" hidden="1">
      <c r="A24" s="98">
        <v>23</v>
      </c>
      <c r="B24" s="722" t="s">
        <v>46</v>
      </c>
      <c r="C24" s="723" t="s">
        <v>89</v>
      </c>
      <c r="D24" s="724">
        <v>4</v>
      </c>
      <c r="E24" s="724" t="s">
        <v>46</v>
      </c>
      <c r="F24" s="723">
        <v>110.63</v>
      </c>
      <c r="G24" s="725">
        <v>21.35</v>
      </c>
      <c r="H24" s="294"/>
      <c r="I24" s="294"/>
      <c r="J24" s="726">
        <f t="shared" si="1"/>
        <v>117.035</v>
      </c>
      <c r="K24" s="726">
        <v>2</v>
      </c>
      <c r="L24" s="726">
        <v>1</v>
      </c>
      <c r="M24" s="98" t="s">
        <v>258</v>
      </c>
      <c r="N24" s="98"/>
      <c r="O24" s="126"/>
      <c r="P24" s="727">
        <v>591360</v>
      </c>
      <c r="Q24" s="727"/>
      <c r="R24" s="727">
        <f>S24*0.96</f>
        <v>591360</v>
      </c>
      <c r="S24" s="727">
        <v>616000</v>
      </c>
      <c r="T24" s="727">
        <v>591360</v>
      </c>
      <c r="U24" s="727">
        <v>616000</v>
      </c>
      <c r="V24" s="728">
        <f t="shared" si="2"/>
        <v>4.0000000000000036E-2</v>
      </c>
      <c r="W24" s="729">
        <f t="shared" si="3"/>
        <v>5052.8474388003588</v>
      </c>
      <c r="X24" s="729">
        <f t="shared" si="4"/>
        <v>5052.8474388003588</v>
      </c>
      <c r="Y24" s="729">
        <f t="shared" si="0"/>
        <v>5263.382748750374</v>
      </c>
      <c r="Z24" s="730"/>
      <c r="AA24" s="731">
        <v>45370</v>
      </c>
      <c r="AB24" s="732">
        <v>59136</v>
      </c>
      <c r="AC24" s="732"/>
      <c r="AD24" s="731"/>
      <c r="AE24" s="733"/>
      <c r="AF24" s="731"/>
      <c r="AG24" s="732">
        <v>532224</v>
      </c>
      <c r="AH24" s="126" t="s">
        <v>17189</v>
      </c>
      <c r="AI24" s="98"/>
      <c r="AJ24" s="98"/>
      <c r="AK24" s="98"/>
      <c r="AL24" s="98"/>
      <c r="AM24" s="98"/>
      <c r="AN24" s="98" t="s">
        <v>17242</v>
      </c>
      <c r="AO24" s="734" t="s">
        <v>265</v>
      </c>
      <c r="AP24" s="734"/>
      <c r="AQ24" s="734"/>
      <c r="AR24" s="734"/>
      <c r="AS24" s="734"/>
      <c r="AT24" s="734"/>
      <c r="AU24" s="734"/>
      <c r="AV24" s="734"/>
      <c r="AW24" s="735"/>
      <c r="AX24" s="735"/>
    </row>
    <row r="25" spans="1:51" s="334" customFormat="1" ht="13.5" hidden="1" customHeight="1">
      <c r="A25" s="126">
        <v>24</v>
      </c>
      <c r="B25" s="8" t="s">
        <v>47</v>
      </c>
      <c r="C25" s="545" t="s">
        <v>91</v>
      </c>
      <c r="D25" s="546">
        <v>4</v>
      </c>
      <c r="E25" s="546" t="s">
        <v>752</v>
      </c>
      <c r="F25" s="545">
        <v>94.72</v>
      </c>
      <c r="G25" s="547">
        <v>14.38</v>
      </c>
      <c r="H25" s="548"/>
      <c r="I25" s="548"/>
      <c r="J25" s="272">
        <f t="shared" si="1"/>
        <v>99.033999999999992</v>
      </c>
      <c r="K25" s="272">
        <v>1</v>
      </c>
      <c r="L25" s="272"/>
      <c r="M25" s="126" t="s">
        <v>258</v>
      </c>
      <c r="N25" s="126"/>
      <c r="O25" s="126"/>
      <c r="P25" s="276">
        <v>446000</v>
      </c>
      <c r="Q25" s="273">
        <f>0.9*S25</f>
        <v>418500</v>
      </c>
      <c r="R25" s="273">
        <f t="shared" si="5"/>
        <v>446400</v>
      </c>
      <c r="S25" s="273">
        <v>465000</v>
      </c>
      <c r="T25" s="273">
        <v>429312</v>
      </c>
      <c r="U25" s="273">
        <v>447200</v>
      </c>
      <c r="V25" s="274">
        <f t="shared" si="2"/>
        <v>4.0000000000000036E-2</v>
      </c>
      <c r="W25" s="275">
        <f t="shared" si="3"/>
        <v>4503.5038471636008</v>
      </c>
      <c r="X25" s="275">
        <f>Q25/J25</f>
        <v>4225.8214350627059</v>
      </c>
      <c r="Y25" s="275">
        <f t="shared" si="0"/>
        <v>4695.3571500696735</v>
      </c>
      <c r="Z25" s="128">
        <v>45920</v>
      </c>
      <c r="AA25" s="103">
        <v>45975</v>
      </c>
      <c r="AB25" s="575">
        <f>5000+39600</f>
        <v>44600</v>
      </c>
      <c r="AC25" s="575"/>
      <c r="AD25" s="103"/>
      <c r="AE25" s="313"/>
      <c r="AF25" s="103"/>
      <c r="AG25" s="575">
        <v>401400</v>
      </c>
      <c r="AH25" s="126" t="s">
        <v>18083</v>
      </c>
      <c r="AI25" s="126"/>
      <c r="AJ25" s="126"/>
      <c r="AK25" s="126"/>
      <c r="AL25" s="126"/>
      <c r="AM25" s="126"/>
      <c r="AN25" s="132" t="s">
        <v>18084</v>
      </c>
      <c r="AO25" s="132" t="s">
        <v>17442</v>
      </c>
      <c r="AP25" s="132"/>
      <c r="AQ25" s="132"/>
      <c r="AR25" s="132"/>
      <c r="AS25" s="132"/>
      <c r="AT25" s="132"/>
      <c r="AU25" s="132"/>
      <c r="AV25" s="132"/>
      <c r="AW25" s="276"/>
      <c r="AX25" s="276"/>
    </row>
    <row r="26" spans="1:51" s="334" customFormat="1" ht="13.5" hidden="1" customHeight="1">
      <c r="A26" s="126">
        <v>25</v>
      </c>
      <c r="B26" s="8" t="s">
        <v>48</v>
      </c>
      <c r="C26" s="545" t="s">
        <v>91</v>
      </c>
      <c r="D26" s="546">
        <v>4</v>
      </c>
      <c r="E26" s="546" t="s">
        <v>753</v>
      </c>
      <c r="F26" s="545">
        <v>108.15</v>
      </c>
      <c r="G26" s="547">
        <v>11.15</v>
      </c>
      <c r="H26" s="548"/>
      <c r="I26" s="548"/>
      <c r="J26" s="272">
        <f t="shared" si="1"/>
        <v>111.495</v>
      </c>
      <c r="K26" s="272">
        <v>1</v>
      </c>
      <c r="L26" s="272">
        <v>1</v>
      </c>
      <c r="M26" s="126" t="s">
        <v>258</v>
      </c>
      <c r="N26" s="126"/>
      <c r="O26" s="126"/>
      <c r="P26" s="273">
        <f>0.91*R26</f>
        <v>432432</v>
      </c>
      <c r="Q26" s="273"/>
      <c r="R26" s="273">
        <f>0.96*S26</f>
        <v>475200</v>
      </c>
      <c r="S26" s="273">
        <v>495000</v>
      </c>
      <c r="T26" s="273"/>
      <c r="U26" s="273"/>
      <c r="V26" s="274">
        <f t="shared" si="2"/>
        <v>4.0000000000000036E-2</v>
      </c>
      <c r="W26" s="275">
        <f t="shared" si="3"/>
        <v>3878.4878245661239</v>
      </c>
      <c r="X26" s="275">
        <f t="shared" si="4"/>
        <v>4262.0745324902464</v>
      </c>
      <c r="Y26" s="275">
        <f t="shared" si="0"/>
        <v>4439.6609713440066</v>
      </c>
      <c r="Z26" s="128"/>
      <c r="AA26" s="103">
        <v>45188</v>
      </c>
      <c r="AB26" s="575">
        <v>43243.199999999997</v>
      </c>
      <c r="AC26" s="575"/>
      <c r="AD26" s="103"/>
      <c r="AE26" s="313"/>
      <c r="AF26" s="103"/>
      <c r="AG26" s="575">
        <v>389188.8</v>
      </c>
      <c r="AH26" s="126" t="s">
        <v>274</v>
      </c>
      <c r="AI26" s="126"/>
      <c r="AJ26" s="126"/>
      <c r="AK26" s="126"/>
      <c r="AL26" s="126"/>
      <c r="AM26" s="401"/>
      <c r="AN26" s="126" t="s">
        <v>17182</v>
      </c>
      <c r="AO26" s="132" t="s">
        <v>517</v>
      </c>
      <c r="AP26" s="132"/>
      <c r="AQ26" s="132"/>
      <c r="AR26" s="132"/>
      <c r="AS26" s="132"/>
      <c r="AT26" s="132"/>
      <c r="AU26" s="132"/>
      <c r="AV26" s="132"/>
      <c r="AW26" s="276"/>
      <c r="AX26" s="276"/>
    </row>
    <row r="27" spans="1:51" s="334" customFormat="1" ht="13.5" customHeight="1">
      <c r="A27" s="126">
        <v>26</v>
      </c>
      <c r="B27" s="8" t="s">
        <v>49</v>
      </c>
      <c r="C27" s="545" t="s">
        <v>90</v>
      </c>
      <c r="D27" s="546">
        <v>4</v>
      </c>
      <c r="E27" s="546" t="s">
        <v>28</v>
      </c>
      <c r="F27" s="545">
        <v>58.43</v>
      </c>
      <c r="G27" s="547">
        <v>3.67</v>
      </c>
      <c r="H27" s="548"/>
      <c r="I27" s="548"/>
      <c r="J27" s="272">
        <f t="shared" si="1"/>
        <v>59.530999999999999</v>
      </c>
      <c r="K27" s="272">
        <v>1</v>
      </c>
      <c r="L27" s="272"/>
      <c r="M27" s="126" t="s">
        <v>258</v>
      </c>
      <c r="N27" s="126"/>
      <c r="O27" s="126"/>
      <c r="P27" s="273">
        <v>249600</v>
      </c>
      <c r="Q27" s="273"/>
      <c r="R27" s="273">
        <f t="shared" si="5"/>
        <v>249600</v>
      </c>
      <c r="S27" s="273">
        <v>260000</v>
      </c>
      <c r="T27" s="273"/>
      <c r="U27" s="273"/>
      <c r="V27" s="274">
        <f t="shared" si="2"/>
        <v>4.0000000000000036E-2</v>
      </c>
      <c r="W27" s="275">
        <f t="shared" si="3"/>
        <v>4192.7735129596349</v>
      </c>
      <c r="X27" s="275">
        <f t="shared" si="4"/>
        <v>4192.7735129596349</v>
      </c>
      <c r="Y27" s="275">
        <f t="shared" si="0"/>
        <v>4367.4724093329523</v>
      </c>
      <c r="Z27" s="128"/>
      <c r="AA27" s="103">
        <v>45190</v>
      </c>
      <c r="AB27" s="575">
        <v>49920</v>
      </c>
      <c r="AC27" s="575"/>
      <c r="AD27" s="103"/>
      <c r="AE27" s="313"/>
      <c r="AF27" s="103"/>
      <c r="AG27" s="575">
        <v>199680</v>
      </c>
      <c r="AH27" s="126" t="s">
        <v>17189</v>
      </c>
      <c r="AI27" s="126" t="s">
        <v>17201</v>
      </c>
      <c r="AJ27" s="126"/>
      <c r="AK27" s="126"/>
      <c r="AL27" s="126"/>
      <c r="AM27" s="126"/>
      <c r="AN27" s="126" t="s">
        <v>17202</v>
      </c>
      <c r="AO27" s="132" t="s">
        <v>265</v>
      </c>
      <c r="AP27" s="132"/>
      <c r="AQ27" s="132"/>
      <c r="AR27" s="132"/>
      <c r="AS27" s="132"/>
      <c r="AT27" s="132"/>
      <c r="AU27" s="132"/>
      <c r="AV27" s="132"/>
      <c r="AW27" s="276"/>
      <c r="AX27" s="276"/>
    </row>
    <row r="28" spans="1:51" s="334" customFormat="1" ht="13.5" hidden="1" customHeight="1">
      <c r="A28" s="126">
        <v>27</v>
      </c>
      <c r="B28" s="8" t="s">
        <v>50</v>
      </c>
      <c r="C28" s="545" t="s">
        <v>89</v>
      </c>
      <c r="D28" s="546">
        <v>5</v>
      </c>
      <c r="E28" s="546" t="s">
        <v>750</v>
      </c>
      <c r="F28" s="545">
        <v>127.14</v>
      </c>
      <c r="G28" s="547">
        <v>8.6999999999999993</v>
      </c>
      <c r="H28" s="548"/>
      <c r="I28" s="548"/>
      <c r="J28" s="272">
        <f t="shared" si="1"/>
        <v>129.75</v>
      </c>
      <c r="K28" s="272">
        <v>2</v>
      </c>
      <c r="L28" s="272">
        <v>1</v>
      </c>
      <c r="M28" s="126" t="s">
        <v>258</v>
      </c>
      <c r="N28" s="126"/>
      <c r="O28" s="126"/>
      <c r="P28" s="273">
        <v>525450</v>
      </c>
      <c r="Q28" s="273"/>
      <c r="R28" s="273">
        <f>S28*0.93</f>
        <v>525450</v>
      </c>
      <c r="S28" s="273">
        <v>565000</v>
      </c>
      <c r="T28" s="273"/>
      <c r="U28" s="273"/>
      <c r="V28" s="274">
        <f>1-(P28/S28)</f>
        <v>6.9999999999999951E-2</v>
      </c>
      <c r="W28" s="275">
        <f t="shared" si="3"/>
        <v>4049.7109826589594</v>
      </c>
      <c r="X28" s="275">
        <f t="shared" si="4"/>
        <v>4049.7109826589594</v>
      </c>
      <c r="Y28" s="275">
        <f t="shared" si="0"/>
        <v>4354.527938342967</v>
      </c>
      <c r="Z28" s="128"/>
      <c r="AA28" s="103">
        <v>45236</v>
      </c>
      <c r="AB28" s="575">
        <v>52545</v>
      </c>
      <c r="AC28" s="575"/>
      <c r="AD28" s="103"/>
      <c r="AE28" s="313"/>
      <c r="AF28" s="103"/>
      <c r="AG28" s="575">
        <v>472905</v>
      </c>
      <c r="AH28" s="126" t="s">
        <v>17189</v>
      </c>
      <c r="AI28" s="126"/>
      <c r="AJ28" s="126"/>
      <c r="AK28" s="126">
        <v>135</v>
      </c>
      <c r="AL28" s="126"/>
      <c r="AM28" s="126"/>
      <c r="AN28" s="126" t="s">
        <v>17236</v>
      </c>
      <c r="AO28" s="132" t="s">
        <v>265</v>
      </c>
      <c r="AP28" s="132"/>
      <c r="AQ28" s="132"/>
      <c r="AR28" s="132"/>
      <c r="AS28" s="132"/>
      <c r="AT28" s="132"/>
      <c r="AU28" s="132"/>
      <c r="AV28" s="132"/>
      <c r="AW28" s="276"/>
      <c r="AX28" s="276"/>
    </row>
    <row r="29" spans="1:51" s="334" customFormat="1" ht="13.5" hidden="1" customHeight="1">
      <c r="A29" s="126">
        <v>28</v>
      </c>
      <c r="B29" s="8" t="s">
        <v>51</v>
      </c>
      <c r="C29" s="545" t="s">
        <v>90</v>
      </c>
      <c r="D29" s="546">
        <v>5</v>
      </c>
      <c r="E29" s="546" t="s">
        <v>46</v>
      </c>
      <c r="F29" s="545">
        <v>54.44</v>
      </c>
      <c r="G29" s="547">
        <v>5.69</v>
      </c>
      <c r="H29" s="548"/>
      <c r="I29" s="548"/>
      <c r="J29" s="272">
        <f t="shared" si="1"/>
        <v>56.146999999999998</v>
      </c>
      <c r="K29" s="272">
        <v>1</v>
      </c>
      <c r="L29" s="272"/>
      <c r="M29" s="126" t="s">
        <v>258</v>
      </c>
      <c r="N29" s="276"/>
      <c r="O29" s="126"/>
      <c r="P29" s="273">
        <v>288000</v>
      </c>
      <c r="Q29" s="273">
        <v>288000</v>
      </c>
      <c r="R29" s="273">
        <f t="shared" si="5"/>
        <v>288000</v>
      </c>
      <c r="S29" s="273">
        <v>300000</v>
      </c>
      <c r="T29" s="273">
        <v>282240</v>
      </c>
      <c r="U29" s="273">
        <v>294000</v>
      </c>
      <c r="V29" s="274">
        <f>1-(R29/S29)</f>
        <v>4.0000000000000036E-2</v>
      </c>
      <c r="W29" s="275">
        <f t="shared" si="3"/>
        <v>5129.3924875772527</v>
      </c>
      <c r="X29" s="275">
        <f t="shared" si="4"/>
        <v>5129.3924875772527</v>
      </c>
      <c r="Y29" s="275">
        <f t="shared" si="0"/>
        <v>5343.1171745596384</v>
      </c>
      <c r="Z29" s="128"/>
      <c r="AA29" s="103">
        <v>45770</v>
      </c>
      <c r="AB29" s="575">
        <f>20%*R29</f>
        <v>57600</v>
      </c>
      <c r="AC29" s="575"/>
      <c r="AD29" s="103"/>
      <c r="AE29" s="313"/>
      <c r="AF29" s="103"/>
      <c r="AG29" s="575">
        <f>80%*R29</f>
        <v>230400</v>
      </c>
      <c r="AH29" s="126" t="s">
        <v>17189</v>
      </c>
      <c r="AI29" s="126"/>
      <c r="AJ29" s="126"/>
      <c r="AK29" s="126"/>
      <c r="AL29" s="126"/>
      <c r="AM29" s="126"/>
      <c r="AN29" s="126" t="s">
        <v>18003</v>
      </c>
      <c r="AO29" s="132" t="s">
        <v>517</v>
      </c>
      <c r="AP29" s="132"/>
      <c r="AQ29" s="132"/>
      <c r="AR29" s="132"/>
      <c r="AS29" s="132"/>
      <c r="AT29" s="132"/>
      <c r="AU29" s="132"/>
      <c r="AV29" s="132"/>
      <c r="AW29" s="276"/>
      <c r="AX29" s="276"/>
    </row>
    <row r="30" spans="1:51" s="334" customFormat="1" ht="13.5" hidden="1" customHeight="1">
      <c r="A30" s="126">
        <v>29</v>
      </c>
      <c r="B30" s="8" t="s">
        <v>52</v>
      </c>
      <c r="C30" s="545" t="s">
        <v>91</v>
      </c>
      <c r="D30" s="546">
        <v>5</v>
      </c>
      <c r="E30" s="546" t="s">
        <v>751</v>
      </c>
      <c r="F30" s="545">
        <v>93.49</v>
      </c>
      <c r="G30" s="547">
        <v>6.52</v>
      </c>
      <c r="H30" s="548"/>
      <c r="I30" s="548"/>
      <c r="J30" s="272">
        <f t="shared" si="1"/>
        <v>95.445999999999998</v>
      </c>
      <c r="K30" s="272">
        <v>2</v>
      </c>
      <c r="L30" s="272">
        <v>1</v>
      </c>
      <c r="M30" s="126" t="s">
        <v>258</v>
      </c>
      <c r="N30" s="126"/>
      <c r="O30" s="126"/>
      <c r="P30" s="276">
        <v>418500</v>
      </c>
      <c r="Q30" s="273">
        <f>0.9*S30</f>
        <v>418500</v>
      </c>
      <c r="R30" s="273">
        <f>S30*0.96</f>
        <v>446400</v>
      </c>
      <c r="S30" s="273">
        <v>465000</v>
      </c>
      <c r="T30" s="273">
        <v>414336</v>
      </c>
      <c r="U30" s="273">
        <v>431600</v>
      </c>
      <c r="V30" s="274">
        <f t="shared" si="2"/>
        <v>4.0000000000000036E-2</v>
      </c>
      <c r="W30" s="275">
        <f t="shared" si="3"/>
        <v>4384.6782473859566</v>
      </c>
      <c r="X30" s="275">
        <f>Q30/J30</f>
        <v>4384.6782473859566</v>
      </c>
      <c r="Y30" s="275">
        <f t="shared" si="0"/>
        <v>4871.8647193177294</v>
      </c>
      <c r="Z30" s="128">
        <v>45810</v>
      </c>
      <c r="AA30" s="103">
        <v>45846</v>
      </c>
      <c r="AB30" s="575">
        <f>10000+73700</f>
        <v>83700</v>
      </c>
      <c r="AC30" s="575"/>
      <c r="AD30" s="103"/>
      <c r="AE30" s="313"/>
      <c r="AF30" s="103"/>
      <c r="AG30" s="575">
        <v>334800</v>
      </c>
      <c r="AH30" s="126" t="s">
        <v>17189</v>
      </c>
      <c r="AI30" s="126"/>
      <c r="AJ30" s="126"/>
      <c r="AK30" s="126"/>
      <c r="AL30" s="126"/>
      <c r="AM30" s="126"/>
      <c r="AN30" s="126" t="s">
        <v>18396</v>
      </c>
      <c r="AO30" s="132" t="s">
        <v>517</v>
      </c>
      <c r="AP30" s="132"/>
      <c r="AQ30" s="132"/>
      <c r="AR30" s="132"/>
      <c r="AS30" s="132"/>
      <c r="AT30" s="132"/>
      <c r="AU30" s="132"/>
      <c r="AV30" s="132"/>
      <c r="AW30" s="276"/>
      <c r="AX30" s="276"/>
      <c r="AY30" s="334">
        <v>444000</v>
      </c>
    </row>
    <row r="31" spans="1:51" s="334" customFormat="1" ht="13.5" hidden="1" customHeight="1">
      <c r="A31" s="126">
        <v>30</v>
      </c>
      <c r="B31" s="11" t="s">
        <v>53</v>
      </c>
      <c r="C31" s="545" t="s">
        <v>91</v>
      </c>
      <c r="D31" s="546">
        <v>5</v>
      </c>
      <c r="E31" s="546" t="s">
        <v>751</v>
      </c>
      <c r="F31" s="545">
        <v>93.49</v>
      </c>
      <c r="G31" s="547">
        <v>6.52</v>
      </c>
      <c r="H31" s="548"/>
      <c r="I31" s="548"/>
      <c r="J31" s="272">
        <f t="shared" si="1"/>
        <v>95.445999999999998</v>
      </c>
      <c r="K31" s="272">
        <v>1</v>
      </c>
      <c r="L31" s="272"/>
      <c r="M31" s="126" t="s">
        <v>258</v>
      </c>
      <c r="N31" s="126"/>
      <c r="O31" s="126"/>
      <c r="P31" s="276">
        <v>405000</v>
      </c>
      <c r="Q31" s="273">
        <f>0.9*S31</f>
        <v>405000</v>
      </c>
      <c r="R31" s="273">
        <f t="shared" si="5"/>
        <v>432000</v>
      </c>
      <c r="S31" s="273">
        <v>450000</v>
      </c>
      <c r="T31" s="273">
        <v>414336</v>
      </c>
      <c r="U31" s="273">
        <v>431600</v>
      </c>
      <c r="V31" s="274">
        <f t="shared" si="2"/>
        <v>4.0000000000000036E-2</v>
      </c>
      <c r="W31" s="275">
        <f>P31/J31</f>
        <v>4243.2370135993124</v>
      </c>
      <c r="X31" s="275">
        <f>Q31/J31</f>
        <v>4243.2370135993124</v>
      </c>
      <c r="Y31" s="275">
        <f t="shared" si="0"/>
        <v>4714.7077928881254</v>
      </c>
      <c r="Z31" s="128">
        <v>45743</v>
      </c>
      <c r="AA31" s="103">
        <v>45814</v>
      </c>
      <c r="AB31" s="575">
        <f>5000+116500</f>
        <v>121500</v>
      </c>
      <c r="AC31" s="575"/>
      <c r="AD31" s="103"/>
      <c r="AE31" s="313"/>
      <c r="AF31" s="103"/>
      <c r="AG31" s="575">
        <v>283500</v>
      </c>
      <c r="AH31" s="126" t="s">
        <v>17189</v>
      </c>
      <c r="AI31" s="126"/>
      <c r="AJ31" s="126"/>
      <c r="AK31" s="126"/>
      <c r="AL31" s="126"/>
      <c r="AM31" s="126"/>
      <c r="AN31" s="126" t="s">
        <v>18026</v>
      </c>
      <c r="AO31" s="132" t="s">
        <v>565</v>
      </c>
      <c r="AP31" s="132"/>
      <c r="AQ31" s="132"/>
      <c r="AR31" s="132"/>
      <c r="AS31" s="132"/>
      <c r="AT31" s="132"/>
      <c r="AU31" s="132"/>
      <c r="AV31" s="132"/>
      <c r="AW31" s="276"/>
      <c r="AX31" s="276"/>
    </row>
    <row r="32" spans="1:51" s="334" customFormat="1" ht="15" hidden="1">
      <c r="A32" s="126">
        <v>31</v>
      </c>
      <c r="B32" s="8" t="s">
        <v>54</v>
      </c>
      <c r="C32" s="545" t="s">
        <v>89</v>
      </c>
      <c r="D32" s="546">
        <v>5</v>
      </c>
      <c r="E32" s="546" t="s">
        <v>46</v>
      </c>
      <c r="F32" s="545">
        <v>110.63</v>
      </c>
      <c r="G32" s="547">
        <v>16.21</v>
      </c>
      <c r="H32" s="548"/>
      <c r="I32" s="548"/>
      <c r="J32" s="272">
        <f t="shared" si="1"/>
        <v>115.49299999999999</v>
      </c>
      <c r="K32" s="272">
        <v>2</v>
      </c>
      <c r="L32" s="272">
        <v>1</v>
      </c>
      <c r="M32" s="126" t="s">
        <v>258</v>
      </c>
      <c r="N32" s="126"/>
      <c r="O32" s="126"/>
      <c r="P32" s="273">
        <v>509640</v>
      </c>
      <c r="Q32" s="273"/>
      <c r="R32" s="273">
        <f>S32*0.93</f>
        <v>509640</v>
      </c>
      <c r="S32" s="273">
        <v>548000</v>
      </c>
      <c r="T32" s="273"/>
      <c r="U32" s="273"/>
      <c r="V32" s="274">
        <f>1-(P32/S32)</f>
        <v>6.9999999999999951E-2</v>
      </c>
      <c r="W32" s="275">
        <f t="shared" si="3"/>
        <v>4412.7349709506207</v>
      </c>
      <c r="X32" s="275">
        <f t="shared" si="4"/>
        <v>4412.7349709506207</v>
      </c>
      <c r="Y32" s="275">
        <f t="shared" si="0"/>
        <v>4744.8763128501296</v>
      </c>
      <c r="Z32" s="128"/>
      <c r="AA32" s="103">
        <v>45236</v>
      </c>
      <c r="AB32" s="575">
        <f>10%*P32</f>
        <v>50964</v>
      </c>
      <c r="AC32" s="575"/>
      <c r="AD32" s="103"/>
      <c r="AE32" s="313"/>
      <c r="AF32" s="103"/>
      <c r="AG32" s="575">
        <f>90%*P32</f>
        <v>458676</v>
      </c>
      <c r="AH32" s="126" t="s">
        <v>17189</v>
      </c>
      <c r="AI32" s="126"/>
      <c r="AJ32" s="126"/>
      <c r="AK32" s="126">
        <v>135</v>
      </c>
      <c r="AL32" s="126"/>
      <c r="AM32" s="126"/>
      <c r="AN32" s="126" t="s">
        <v>17211</v>
      </c>
      <c r="AO32" s="132" t="s">
        <v>565</v>
      </c>
      <c r="AP32" s="132"/>
      <c r="AQ32" s="132"/>
      <c r="AR32" s="132"/>
      <c r="AS32" s="132" t="s">
        <v>17535</v>
      </c>
      <c r="AT32" s="132" t="s">
        <v>17534</v>
      </c>
      <c r="AU32" s="132"/>
      <c r="AV32" s="132"/>
      <c r="AW32" s="1172"/>
      <c r="AX32" s="276"/>
    </row>
    <row r="33" spans="1:79" s="334" customFormat="1" ht="13.5" hidden="1" customHeight="1">
      <c r="A33" s="126">
        <v>32</v>
      </c>
      <c r="B33" s="8" t="s">
        <v>55</v>
      </c>
      <c r="C33" s="545" t="s">
        <v>91</v>
      </c>
      <c r="D33" s="546">
        <v>5</v>
      </c>
      <c r="E33" s="546" t="s">
        <v>752</v>
      </c>
      <c r="F33" s="545">
        <v>94.72</v>
      </c>
      <c r="G33" s="547">
        <v>10.85</v>
      </c>
      <c r="H33" s="548"/>
      <c r="I33" s="548"/>
      <c r="J33" s="272">
        <f t="shared" si="1"/>
        <v>97.974999999999994</v>
      </c>
      <c r="K33" s="272">
        <v>2</v>
      </c>
      <c r="L33" s="272"/>
      <c r="M33" s="126" t="s">
        <v>258</v>
      </c>
      <c r="N33" s="126"/>
      <c r="O33" s="126"/>
      <c r="P33" s="273">
        <v>451200</v>
      </c>
      <c r="Q33" s="273"/>
      <c r="R33" s="273">
        <f t="shared" si="5"/>
        <v>451200</v>
      </c>
      <c r="S33" s="273">
        <v>470000</v>
      </c>
      <c r="T33" s="273"/>
      <c r="U33" s="273"/>
      <c r="V33" s="274">
        <f t="shared" si="2"/>
        <v>4.0000000000000036E-2</v>
      </c>
      <c r="W33" s="275">
        <f t="shared" si="3"/>
        <v>4605.2564429701461</v>
      </c>
      <c r="X33" s="275">
        <f t="shared" si="4"/>
        <v>4605.2564429701461</v>
      </c>
      <c r="Y33" s="275">
        <f t="shared" si="0"/>
        <v>4797.1421280939021</v>
      </c>
      <c r="Z33" s="128"/>
      <c r="AA33" s="103">
        <v>45405</v>
      </c>
      <c r="AB33" s="575">
        <v>90240</v>
      </c>
      <c r="AC33" s="575"/>
      <c r="AD33" s="103"/>
      <c r="AE33" s="313"/>
      <c r="AF33" s="103"/>
      <c r="AG33" s="575">
        <v>360960</v>
      </c>
      <c r="AH33" s="280" t="s">
        <v>222</v>
      </c>
      <c r="AI33" s="126"/>
      <c r="AJ33" s="550"/>
      <c r="AK33" s="550"/>
      <c r="AL33" s="126"/>
      <c r="AM33" s="126"/>
      <c r="AN33" s="132" t="s">
        <v>17420</v>
      </c>
      <c r="AO33" s="132" t="s">
        <v>17421</v>
      </c>
      <c r="AP33" s="132"/>
      <c r="AQ33" s="132"/>
      <c r="AR33" s="132"/>
      <c r="AS33" s="132"/>
      <c r="AT33" s="132"/>
      <c r="AU33" s="132"/>
      <c r="AV33" s="132"/>
      <c r="AW33" s="276"/>
      <c r="AX33" s="276"/>
    </row>
    <row r="34" spans="1:79" s="334" customFormat="1" ht="13.5" hidden="1" customHeight="1">
      <c r="A34" s="126">
        <v>33</v>
      </c>
      <c r="B34" s="8" t="s">
        <v>56</v>
      </c>
      <c r="C34" s="545" t="s">
        <v>91</v>
      </c>
      <c r="D34" s="546">
        <v>5</v>
      </c>
      <c r="E34" s="546" t="s">
        <v>753</v>
      </c>
      <c r="F34" s="545">
        <v>108.15</v>
      </c>
      <c r="G34" s="547">
        <v>11.15</v>
      </c>
      <c r="H34" s="548"/>
      <c r="I34" s="548"/>
      <c r="J34" s="272">
        <f t="shared" si="1"/>
        <v>111.495</v>
      </c>
      <c r="K34" s="272">
        <v>2</v>
      </c>
      <c r="L34" s="272">
        <v>1</v>
      </c>
      <c r="M34" s="126" t="s">
        <v>258</v>
      </c>
      <c r="N34" s="126"/>
      <c r="O34" s="126"/>
      <c r="P34" s="273">
        <f>0.91*R34</f>
        <v>436800</v>
      </c>
      <c r="Q34" s="273"/>
      <c r="R34" s="273">
        <f>0.96*S34</f>
        <v>480000</v>
      </c>
      <c r="S34" s="273">
        <v>500000</v>
      </c>
      <c r="T34" s="273"/>
      <c r="U34" s="273"/>
      <c r="V34" s="274">
        <f t="shared" si="2"/>
        <v>4.0000000000000036E-2</v>
      </c>
      <c r="W34" s="275">
        <f t="shared" si="3"/>
        <v>3917.6644692587111</v>
      </c>
      <c r="X34" s="275">
        <f t="shared" si="4"/>
        <v>4305.1257903941878</v>
      </c>
      <c r="Y34" s="275">
        <f t="shared" si="0"/>
        <v>4484.5060316606123</v>
      </c>
      <c r="Z34" s="128"/>
      <c r="AA34" s="103">
        <v>45310</v>
      </c>
      <c r="AB34" s="575">
        <v>43680</v>
      </c>
      <c r="AC34" s="575"/>
      <c r="AD34" s="103"/>
      <c r="AE34" s="313"/>
      <c r="AF34" s="103"/>
      <c r="AG34" s="575">
        <v>393120</v>
      </c>
      <c r="AH34" s="126" t="s">
        <v>274</v>
      </c>
      <c r="AI34" s="126"/>
      <c r="AJ34" s="126"/>
      <c r="AK34" s="126" t="s">
        <v>455</v>
      </c>
      <c r="AL34" s="126"/>
      <c r="AM34" s="401"/>
      <c r="AN34" s="126" t="s">
        <v>174</v>
      </c>
      <c r="AO34" s="132" t="s">
        <v>517</v>
      </c>
      <c r="AP34" s="132"/>
      <c r="AQ34" s="132"/>
      <c r="AR34" s="132"/>
      <c r="AS34" s="132"/>
      <c r="AT34" s="132"/>
      <c r="AU34" s="132"/>
      <c r="AV34" s="132"/>
      <c r="AW34" s="276"/>
      <c r="AX34" s="276"/>
    </row>
    <row r="35" spans="1:79" s="334" customFormat="1" ht="13.5" customHeight="1">
      <c r="A35" s="126">
        <v>34</v>
      </c>
      <c r="B35" s="8" t="s">
        <v>57</v>
      </c>
      <c r="C35" s="545" t="s">
        <v>90</v>
      </c>
      <c r="D35" s="546">
        <v>5</v>
      </c>
      <c r="E35" s="546" t="s">
        <v>28</v>
      </c>
      <c r="F35" s="545">
        <v>58.43</v>
      </c>
      <c r="G35" s="547">
        <v>3.67</v>
      </c>
      <c r="H35" s="549"/>
      <c r="I35" s="548"/>
      <c r="J35" s="272">
        <f t="shared" si="1"/>
        <v>59.530999999999999</v>
      </c>
      <c r="K35" s="272">
        <v>1</v>
      </c>
      <c r="L35" s="272"/>
      <c r="M35" s="126" t="s">
        <v>258</v>
      </c>
      <c r="N35" s="126"/>
      <c r="O35" s="126"/>
      <c r="P35" s="273">
        <v>254400</v>
      </c>
      <c r="Q35" s="273"/>
      <c r="R35" s="273">
        <f t="shared" si="5"/>
        <v>254400</v>
      </c>
      <c r="S35" s="273">
        <v>265000</v>
      </c>
      <c r="T35" s="273"/>
      <c r="U35" s="273"/>
      <c r="V35" s="274">
        <f t="shared" si="2"/>
        <v>4.0000000000000036E-2</v>
      </c>
      <c r="W35" s="275">
        <f t="shared" si="3"/>
        <v>4273.4037728242429</v>
      </c>
      <c r="X35" s="275">
        <f t="shared" si="4"/>
        <v>4273.4037728242429</v>
      </c>
      <c r="Y35" s="275">
        <f t="shared" si="0"/>
        <v>4451.4622633585868</v>
      </c>
      <c r="Z35" s="128"/>
      <c r="AA35" s="103">
        <v>45190</v>
      </c>
      <c r="AB35" s="575">
        <v>25440</v>
      </c>
      <c r="AC35" s="575">
        <v>25440</v>
      </c>
      <c r="AD35" s="103">
        <f>AA35+30</f>
        <v>45220</v>
      </c>
      <c r="AE35" s="313"/>
      <c r="AF35" s="103"/>
      <c r="AG35" s="575">
        <f>80%*P35</f>
        <v>203520</v>
      </c>
      <c r="AH35" s="126" t="s">
        <v>17189</v>
      </c>
      <c r="AI35" s="126" t="s">
        <v>17201</v>
      </c>
      <c r="AJ35" s="550"/>
      <c r="AK35" s="550"/>
      <c r="AL35" s="126"/>
      <c r="AM35" s="126"/>
      <c r="AN35" s="132" t="s">
        <v>17198</v>
      </c>
      <c r="AO35" s="132" t="s">
        <v>17200</v>
      </c>
      <c r="AP35" s="132"/>
      <c r="AQ35" s="132"/>
      <c r="AR35" s="132"/>
      <c r="AS35" s="132"/>
      <c r="AT35" s="132"/>
      <c r="AU35" s="132"/>
      <c r="AV35" s="132"/>
      <c r="AW35" s="276"/>
      <c r="AX35" s="276"/>
    </row>
    <row r="36" spans="1:79" s="334" customFormat="1" ht="13.5" hidden="1" customHeight="1">
      <c r="A36" s="126">
        <v>35</v>
      </c>
      <c r="B36" s="8" t="s">
        <v>58</v>
      </c>
      <c r="C36" s="545" t="s">
        <v>89</v>
      </c>
      <c r="D36" s="546">
        <v>6</v>
      </c>
      <c r="E36" s="546" t="s">
        <v>750</v>
      </c>
      <c r="F36" s="545">
        <v>137.57</v>
      </c>
      <c r="G36" s="547"/>
      <c r="H36" s="549">
        <v>93.14</v>
      </c>
      <c r="I36" s="548"/>
      <c r="J36" s="272">
        <f>F36+0.3*G36+0.2*H36</f>
        <v>156.19799999999998</v>
      </c>
      <c r="K36" s="272">
        <v>3</v>
      </c>
      <c r="L36" s="272"/>
      <c r="M36" s="126" t="s">
        <v>258</v>
      </c>
      <c r="N36" s="126"/>
      <c r="O36" s="126"/>
      <c r="P36" s="273">
        <v>691200</v>
      </c>
      <c r="Q36" s="273"/>
      <c r="R36" s="273">
        <f>S36*0.96</f>
        <v>691200</v>
      </c>
      <c r="S36" s="273">
        <v>720000</v>
      </c>
      <c r="T36" s="273"/>
      <c r="U36" s="273"/>
      <c r="V36" s="274">
        <f>1-(P36/S36)</f>
        <v>4.0000000000000036E-2</v>
      </c>
      <c r="W36" s="275">
        <f t="shared" si="3"/>
        <v>4425.1526908155038</v>
      </c>
      <c r="X36" s="275">
        <f t="shared" si="4"/>
        <v>4425.1526908155038</v>
      </c>
      <c r="Y36" s="275">
        <f t="shared" si="0"/>
        <v>4609.5340529328168</v>
      </c>
      <c r="Z36" s="128"/>
      <c r="AA36" s="103">
        <v>45233</v>
      </c>
      <c r="AB36" s="575">
        <v>69120</v>
      </c>
      <c r="AC36" s="575"/>
      <c r="AD36" s="103"/>
      <c r="AE36" s="313"/>
      <c r="AF36" s="103"/>
      <c r="AG36" s="575">
        <v>622080</v>
      </c>
      <c r="AH36" s="126" t="s">
        <v>17189</v>
      </c>
      <c r="AI36" s="126" t="s">
        <v>17222</v>
      </c>
      <c r="AJ36" s="126"/>
      <c r="AK36" s="126">
        <v>135</v>
      </c>
      <c r="AL36" s="126"/>
      <c r="AM36" s="126"/>
      <c r="AN36" s="132" t="s">
        <v>17221</v>
      </c>
      <c r="AO36" s="132" t="s">
        <v>265</v>
      </c>
      <c r="AP36" s="132"/>
      <c r="AQ36" s="132"/>
      <c r="AR36" s="132"/>
      <c r="AS36" s="132"/>
      <c r="AT36" s="132"/>
      <c r="AU36" s="132"/>
      <c r="AV36" s="132"/>
      <c r="AW36" s="276"/>
      <c r="AX36" s="276"/>
    </row>
    <row r="37" spans="1:79" s="334" customFormat="1" ht="13.5" hidden="1" customHeight="1">
      <c r="A37" s="126">
        <v>36</v>
      </c>
      <c r="B37" s="11" t="s">
        <v>59</v>
      </c>
      <c r="C37" s="545" t="s">
        <v>89</v>
      </c>
      <c r="D37" s="546">
        <v>6</v>
      </c>
      <c r="E37" s="546" t="s">
        <v>751</v>
      </c>
      <c r="F37" s="545">
        <v>133.61000000000001</v>
      </c>
      <c r="G37" s="547"/>
      <c r="H37" s="549">
        <v>86.81</v>
      </c>
      <c r="I37" s="548"/>
      <c r="J37" s="272">
        <f>F37+0.3*G37+0.2*H37</f>
        <v>150.97200000000001</v>
      </c>
      <c r="K37" s="272">
        <v>3</v>
      </c>
      <c r="L37" s="272">
        <v>1</v>
      </c>
      <c r="M37" s="126" t="s">
        <v>258</v>
      </c>
      <c r="N37" s="126"/>
      <c r="O37" s="126"/>
      <c r="P37" s="273">
        <v>660300</v>
      </c>
      <c r="Q37" s="273"/>
      <c r="R37" s="273">
        <f>S37*0.93</f>
        <v>660300</v>
      </c>
      <c r="S37" s="273">
        <v>710000</v>
      </c>
      <c r="T37" s="273"/>
      <c r="U37" s="273"/>
      <c r="V37" s="274">
        <f>1-(P37/S37)</f>
        <v>6.9999999999999951E-2</v>
      </c>
      <c r="W37" s="275">
        <f t="shared" si="3"/>
        <v>4373.658691677927</v>
      </c>
      <c r="X37" s="275">
        <f t="shared" si="4"/>
        <v>4373.658691677927</v>
      </c>
      <c r="Y37" s="275">
        <f t="shared" si="0"/>
        <v>4702.8588082558354</v>
      </c>
      <c r="Z37" s="128"/>
      <c r="AA37" s="103">
        <v>45243</v>
      </c>
      <c r="AB37" s="575">
        <v>66030</v>
      </c>
      <c r="AC37" s="575"/>
      <c r="AD37" s="103"/>
      <c r="AE37" s="313"/>
      <c r="AF37" s="103"/>
      <c r="AG37" s="575">
        <v>594270</v>
      </c>
      <c r="AH37" s="126" t="s">
        <v>17189</v>
      </c>
      <c r="AI37" s="126" t="s">
        <v>309</v>
      </c>
      <c r="AJ37" s="550"/>
      <c r="AK37" s="642">
        <v>135</v>
      </c>
      <c r="AL37" s="126"/>
      <c r="AM37" s="126"/>
      <c r="AN37" s="132" t="s">
        <v>17242</v>
      </c>
      <c r="AO37" s="132" t="s">
        <v>265</v>
      </c>
      <c r="AP37" s="132"/>
      <c r="AQ37" s="132"/>
      <c r="AR37" s="132"/>
      <c r="AS37" s="132"/>
      <c r="AT37" s="132"/>
      <c r="AU37" s="132"/>
      <c r="AV37" s="132"/>
      <c r="AW37" s="276"/>
      <c r="AX37" s="276"/>
    </row>
    <row r="38" spans="1:79" s="334" customFormat="1" ht="13.5" customHeight="1">
      <c r="A38" s="126">
        <v>37</v>
      </c>
      <c r="B38" s="8" t="s">
        <v>60</v>
      </c>
      <c r="C38" s="545" t="s">
        <v>93</v>
      </c>
      <c r="D38" s="546">
        <v>6</v>
      </c>
      <c r="E38" s="546" t="s">
        <v>754</v>
      </c>
      <c r="F38" s="545">
        <v>182.26</v>
      </c>
      <c r="G38" s="547"/>
      <c r="H38" s="549">
        <v>159.63999999999999</v>
      </c>
      <c r="I38" s="548"/>
      <c r="J38" s="272">
        <f>F38+0.3*G38+0.3*H38</f>
        <v>230.15199999999999</v>
      </c>
      <c r="K38" s="272">
        <v>3</v>
      </c>
      <c r="L38" s="272"/>
      <c r="M38" s="126" t="s">
        <v>258</v>
      </c>
      <c r="N38" s="126"/>
      <c r="O38" s="276"/>
      <c r="P38" s="273">
        <v>1196000</v>
      </c>
      <c r="Q38" s="273"/>
      <c r="R38" s="273">
        <v>1300000</v>
      </c>
      <c r="S38" s="273">
        <v>1300000</v>
      </c>
      <c r="T38" s="273"/>
      <c r="U38" s="273"/>
      <c r="V38" s="274">
        <f>1-(P38/S38)</f>
        <v>7.999999999999996E-2</v>
      </c>
      <c r="W38" s="275">
        <f>P38/J38</f>
        <v>5196.5657478535923</v>
      </c>
      <c r="X38" s="275">
        <f t="shared" si="4"/>
        <v>5648.4410302756442</v>
      </c>
      <c r="Y38" s="275">
        <f t="shared" si="0"/>
        <v>5648.4410302756442</v>
      </c>
      <c r="Z38" s="128"/>
      <c r="AA38" s="103">
        <v>45728</v>
      </c>
      <c r="AB38" s="575">
        <f>5000+174400</f>
        <v>179400</v>
      </c>
      <c r="AC38" s="575"/>
      <c r="AD38" s="103"/>
      <c r="AE38" s="313"/>
      <c r="AF38" s="103"/>
      <c r="AG38" s="575">
        <v>1016600</v>
      </c>
      <c r="AH38" s="126" t="s">
        <v>17189</v>
      </c>
      <c r="AI38" s="126" t="s">
        <v>17201</v>
      </c>
      <c r="AJ38" s="126"/>
      <c r="AK38" s="126"/>
      <c r="AL38" s="126"/>
      <c r="AM38" s="126"/>
      <c r="AN38" s="132" t="s">
        <v>17873</v>
      </c>
      <c r="AO38" s="132" t="s">
        <v>265</v>
      </c>
      <c r="AP38" s="132"/>
      <c r="AQ38" s="132"/>
      <c r="AR38" s="132"/>
      <c r="AS38" s="132"/>
      <c r="AT38" s="132"/>
      <c r="AU38" s="132"/>
      <c r="AV38" s="132"/>
      <c r="AW38" s="276"/>
      <c r="AX38" s="276"/>
    </row>
    <row r="39" spans="1:79" s="192" customFormat="1" ht="13.5" hidden="1" customHeight="1">
      <c r="F39" s="19"/>
      <c r="G39" s="344"/>
      <c r="J39" s="345">
        <f>SUM(J2:J38)</f>
        <v>3634.7299999999991</v>
      </c>
      <c r="K39" s="345"/>
      <c r="L39" s="345"/>
      <c r="O39" s="346"/>
      <c r="P39" s="346"/>
      <c r="R39" s="346"/>
      <c r="S39" s="345"/>
      <c r="T39" s="345"/>
      <c r="U39" s="345"/>
      <c r="V39" s="346"/>
      <c r="Z39" s="347"/>
      <c r="AA39" s="347"/>
      <c r="AB39" s="346"/>
      <c r="AC39" s="346"/>
      <c r="AD39" s="347"/>
      <c r="AE39" s="348"/>
      <c r="AF39" s="347"/>
      <c r="AG39" s="346"/>
    </row>
    <row r="40" spans="1:79" s="192" customFormat="1" ht="13.5" customHeight="1" thickBot="1">
      <c r="F40" s="19"/>
      <c r="G40" s="344"/>
      <c r="P40" s="346"/>
      <c r="Q40" s="346"/>
      <c r="S40" s="346"/>
      <c r="T40" s="346"/>
      <c r="U40" s="346"/>
      <c r="Y40" s="347"/>
      <c r="Z40" s="347"/>
      <c r="AA40" s="348"/>
      <c r="AB40" s="346"/>
      <c r="AC40" s="346"/>
      <c r="AD40" s="348"/>
      <c r="AE40" s="347"/>
      <c r="AF40" s="348"/>
      <c r="AG40" s="346"/>
    </row>
    <row r="41" spans="1:79" ht="13.5" customHeight="1">
      <c r="A41" s="196"/>
      <c r="B41" s="48"/>
      <c r="C41" s="48" t="s">
        <v>139</v>
      </c>
      <c r="D41" s="48" t="s">
        <v>140</v>
      </c>
      <c r="E41" s="197" t="s">
        <v>17</v>
      </c>
      <c r="F41" s="19"/>
      <c r="G41" s="2016" t="s">
        <v>555</v>
      </c>
      <c r="H41" s="2017"/>
      <c r="O41" s="195"/>
      <c r="R41" s="195"/>
      <c r="S41" s="195"/>
      <c r="T41" s="195"/>
    </row>
    <row r="42" spans="1:79" ht="13.5" customHeight="1">
      <c r="A42" s="1996" t="s">
        <v>258</v>
      </c>
      <c r="B42" s="1997"/>
      <c r="C42" s="50">
        <f>COUNTIF(M2:M38,A42)</f>
        <v>35</v>
      </c>
      <c r="D42" s="51">
        <f>SUMIF(M2:M38,A42,P2:P38)</f>
        <v>14869817</v>
      </c>
      <c r="E42" s="76">
        <f>AVERAGEIF(M2:M38,A42,W2:W38)</f>
        <v>4320.9015190665577</v>
      </c>
      <c r="F42" s="19"/>
      <c r="G42" s="599">
        <v>2023</v>
      </c>
      <c r="H42" s="227">
        <f>COUNTIFS(AA2:AA38,"&gt;="&amp;DATE(2023,1,1),AA2:AA38,"&lt;="&amp;DATE(2023,12,31))</f>
        <v>13</v>
      </c>
      <c r="K42" s="199"/>
      <c r="L42" s="199"/>
      <c r="O42" s="195"/>
      <c r="Q42" s="1505"/>
      <c r="R42" s="195"/>
    </row>
    <row r="43" spans="1:79" ht="13.5" customHeight="1">
      <c r="A43" s="2002" t="s">
        <v>102</v>
      </c>
      <c r="B43" s="2003"/>
      <c r="C43" s="53">
        <f>COUNTIF(M2:M38,A43)</f>
        <v>0</v>
      </c>
      <c r="D43" s="54">
        <f>SUMIF(M2:M38,A43,R2:R38)</f>
        <v>0</v>
      </c>
      <c r="E43" s="78" t="e">
        <f>AVERAGEIF(M2:M38,A43,X2:X38)</f>
        <v>#DIV/0!</v>
      </c>
      <c r="F43" s="19"/>
      <c r="G43" s="599">
        <v>2024</v>
      </c>
      <c r="H43" s="227">
        <f>COUNTIFS(AA2:AA38,"&gt;="&amp;DATE(2024,1,1),AA2:AA38,"&lt;="&amp;DATE(2024,12,31))</f>
        <v>11</v>
      </c>
      <c r="O43" s="195"/>
      <c r="Q43" s="195"/>
      <c r="R43" s="195"/>
    </row>
    <row r="44" spans="1:79" ht="13.5" customHeight="1" thickBot="1">
      <c r="A44" s="2008" t="s">
        <v>138</v>
      </c>
      <c r="B44" s="2009"/>
      <c r="C44" s="138">
        <f>COUNTIF(M2:M38,"")</f>
        <v>1</v>
      </c>
      <c r="D44" s="200">
        <f>SUMIF(M2:M38,"",Q2:Q38)</f>
        <v>401856</v>
      </c>
      <c r="E44" s="201">
        <f>AVERAGEIF(M2:M38,"",X2:X38)</f>
        <v>3942.8184574327179</v>
      </c>
      <c r="F44" s="19"/>
      <c r="G44" s="600">
        <v>2025</v>
      </c>
      <c r="H44" s="216">
        <f>COUNTIFS(AA2:AA38,"&gt;="&amp;DATE(2025,1,1),AA2:AA38,"&lt;="&amp;DATE(2025,12,31))</f>
        <v>11</v>
      </c>
      <c r="J44" s="1923" t="s">
        <v>17457</v>
      </c>
      <c r="K44" s="1924"/>
      <c r="L44" s="1924"/>
      <c r="M44" s="1924"/>
      <c r="N44" s="1924"/>
      <c r="O44" s="1924"/>
      <c r="P44" s="1924"/>
      <c r="Q44" s="1924"/>
      <c r="R44" s="1924"/>
      <c r="S44" s="1924"/>
      <c r="T44" s="1924"/>
      <c r="U44" s="1925"/>
      <c r="W44" s="195"/>
    </row>
    <row r="45" spans="1:79" ht="13.5" customHeight="1" thickBot="1">
      <c r="A45" s="2010" t="s">
        <v>210</v>
      </c>
      <c r="B45" s="2011"/>
      <c r="C45" s="202">
        <f>COUNTIF(M1:M38,A45)</f>
        <v>1</v>
      </c>
      <c r="D45" s="203">
        <f>SUMIF(M2:M38,A45,P2:P38)</f>
        <v>434000</v>
      </c>
      <c r="E45" s="204">
        <f>AVERAGEIF(M2:M38,A45,W2:W38)</f>
        <v>4212.5697646202379</v>
      </c>
      <c r="F45" s="19"/>
      <c r="G45" s="357"/>
      <c r="H45" s="198"/>
      <c r="J45" s="691" t="s">
        <v>17303</v>
      </c>
      <c r="K45" s="691" t="s">
        <v>17304</v>
      </c>
      <c r="L45" s="692" t="s">
        <v>17305</v>
      </c>
      <c r="M45" s="693" t="s">
        <v>17306</v>
      </c>
      <c r="N45" s="693" t="s">
        <v>17307</v>
      </c>
      <c r="O45" s="693" t="s">
        <v>17308</v>
      </c>
      <c r="P45" s="694" t="s">
        <v>17309</v>
      </c>
      <c r="Q45" s="694" t="s">
        <v>17310</v>
      </c>
      <c r="R45" s="694" t="s">
        <v>17311</v>
      </c>
      <c r="S45" s="694" t="s">
        <v>17312</v>
      </c>
      <c r="T45" s="694" t="s">
        <v>17313</v>
      </c>
      <c r="U45" s="694" t="s">
        <v>17314</v>
      </c>
      <c r="W45" s="195"/>
    </row>
    <row r="46" spans="1:79" s="192" customFormat="1" ht="26.25" thickBot="1">
      <c r="A46" s="1895" t="s">
        <v>269</v>
      </c>
      <c r="B46" s="1896"/>
      <c r="C46" s="205">
        <f>SUBTOTAL(9,C42:C45)</f>
        <v>37</v>
      </c>
      <c r="D46" s="206">
        <f>SUBTOTAL(9,D42:D45)</f>
        <v>15705673</v>
      </c>
      <c r="E46" s="207">
        <f>D46/J39</f>
        <v>4321.0012848272099</v>
      </c>
      <c r="F46" s="19"/>
      <c r="G46" s="358" t="s">
        <v>544</v>
      </c>
      <c r="H46" s="309">
        <f>(C42)/C46</f>
        <v>0.94594594594594594</v>
      </c>
      <c r="I46" s="188"/>
      <c r="J46" s="2012" t="s">
        <v>455</v>
      </c>
      <c r="K46" s="2013"/>
      <c r="L46" s="2013"/>
      <c r="M46" s="2013"/>
      <c r="N46" s="2013"/>
      <c r="O46" s="2013"/>
      <c r="P46" s="2013"/>
      <c r="Q46" s="2014"/>
      <c r="R46" s="695">
        <f>COUNTIFS(AA2:AA38,"&gt;="&amp;DATE(2023,9,1),AA2:AA38,"&lt;="&amp;DATE(2023,9,31))</f>
        <v>4</v>
      </c>
      <c r="S46" s="695">
        <f>COUNTIFS(AA2:AA38,"&gt;="&amp;DATE(2023,10,1),AA2:AA38,"&lt;="&amp;DATE(2023,10,31))</f>
        <v>0</v>
      </c>
      <c r="T46" s="695">
        <f>COUNTIFS(AA2:AA38,"&gt;="&amp;DATE(2023,11,1),AA2:AA38,"&lt;="&amp;DATE(2023,11,30))</f>
        <v>8</v>
      </c>
      <c r="U46" s="695">
        <f>COUNTIFS(AA2:AA38,"&gt;="&amp;DATE(2023,12,1),AA2:AA38,"&lt;="&amp;DATE(2023,12,31))</f>
        <v>1</v>
      </c>
      <c r="V46" s="188"/>
      <c r="W46" s="195"/>
      <c r="X46" s="188"/>
      <c r="Y46" s="283"/>
      <c r="Z46" s="283"/>
      <c r="AA46" s="315"/>
      <c r="AB46" s="195"/>
      <c r="AC46" s="195"/>
      <c r="AD46" s="315"/>
      <c r="AE46" s="283"/>
      <c r="AF46" s="315"/>
      <c r="AG46" s="195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  <c r="AX46" s="188"/>
      <c r="AY46" s="188"/>
      <c r="AZ46" s="188"/>
      <c r="BA46" s="188"/>
      <c r="BB46" s="188"/>
      <c r="BC46" s="188"/>
      <c r="BD46" s="188"/>
      <c r="BE46" s="188"/>
      <c r="BF46" s="188"/>
      <c r="BG46" s="188"/>
      <c r="BH46" s="188"/>
      <c r="BI46" s="188"/>
      <c r="BJ46" s="188"/>
      <c r="BK46" s="188"/>
      <c r="BL46" s="188"/>
      <c r="BM46" s="188"/>
      <c r="BN46" s="188"/>
      <c r="BO46" s="188"/>
      <c r="BP46" s="188"/>
      <c r="BQ46" s="188"/>
      <c r="BR46" s="188"/>
      <c r="BS46" s="188"/>
      <c r="BT46" s="188"/>
      <c r="BU46" s="188"/>
      <c r="BV46" s="188"/>
      <c r="BW46" s="188"/>
      <c r="BX46" s="188"/>
      <c r="BY46" s="188"/>
      <c r="BZ46" s="188"/>
      <c r="CA46" s="188"/>
    </row>
    <row r="47" spans="1:79" ht="13.5" customHeight="1" thickBot="1">
      <c r="A47" s="198"/>
      <c r="B47" s="198"/>
      <c r="C47" s="198"/>
      <c r="D47" s="198"/>
      <c r="E47" s="198"/>
      <c r="F47" s="198"/>
      <c r="G47" s="357"/>
      <c r="H47" s="198"/>
      <c r="J47" s="1923" t="s">
        <v>17315</v>
      </c>
      <c r="K47" s="1924"/>
      <c r="L47" s="1924"/>
      <c r="M47" s="1924"/>
      <c r="N47" s="1924"/>
      <c r="O47" s="1924"/>
      <c r="P47" s="1924"/>
      <c r="Q47" s="1924"/>
      <c r="R47" s="1924"/>
      <c r="S47" s="1924"/>
      <c r="T47" s="1924"/>
      <c r="U47" s="1925"/>
    </row>
    <row r="48" spans="1:79" ht="13.5" customHeight="1" thickBot="1">
      <c r="A48" s="2006" t="s">
        <v>139</v>
      </c>
      <c r="B48" s="2007"/>
      <c r="C48" s="48" t="s">
        <v>90</v>
      </c>
      <c r="D48" s="48" t="s">
        <v>91</v>
      </c>
      <c r="E48" s="48" t="s">
        <v>89</v>
      </c>
      <c r="F48" s="208" t="s">
        <v>93</v>
      </c>
      <c r="G48" s="359" t="s">
        <v>141</v>
      </c>
      <c r="H48" s="198"/>
      <c r="J48" s="691" t="s">
        <v>17303</v>
      </c>
      <c r="K48" s="691" t="s">
        <v>17304</v>
      </c>
      <c r="L48" s="692" t="s">
        <v>17305</v>
      </c>
      <c r="M48" s="693" t="s">
        <v>17306</v>
      </c>
      <c r="N48" s="693" t="s">
        <v>17307</v>
      </c>
      <c r="O48" s="693" t="s">
        <v>17308</v>
      </c>
      <c r="P48" s="694" t="s">
        <v>17309</v>
      </c>
      <c r="Q48" s="694" t="s">
        <v>17310</v>
      </c>
      <c r="R48" s="694" t="s">
        <v>17311</v>
      </c>
      <c r="S48" s="694" t="s">
        <v>17312</v>
      </c>
      <c r="T48" s="694" t="s">
        <v>17313</v>
      </c>
      <c r="U48" s="694" t="s">
        <v>17314</v>
      </c>
    </row>
    <row r="49" spans="1:34" ht="13.5" customHeight="1">
      <c r="A49" s="1996" t="s">
        <v>258</v>
      </c>
      <c r="B49" s="1997"/>
      <c r="C49" s="50">
        <f>COUNTIFS(M2:M38,A49,C2:C38,C48)</f>
        <v>12</v>
      </c>
      <c r="D49" s="50">
        <f>COUNTIFS(M2:M38,A49,C2:C38,D48)</f>
        <v>14</v>
      </c>
      <c r="E49" s="50">
        <f>COUNTIFS(M2:M38,A49,C2:C38,E48)</f>
        <v>8</v>
      </c>
      <c r="F49" s="50">
        <f>COUNTIFS(M2:M38,A49,C2:C38,F48)</f>
        <v>1</v>
      </c>
      <c r="G49" s="260">
        <f>SUM(C49:F49)</f>
        <v>35</v>
      </c>
      <c r="H49" s="198"/>
      <c r="J49" s="695">
        <f>COUNTIFS(AA2:AA38,"&gt;="&amp;DATE(2024,1,1),AA2:AA38,"&lt;="&amp;DATE(2024,1,31))</f>
        <v>2</v>
      </c>
      <c r="K49" s="695">
        <f>COUNTIFS(AA2:AA38,"&gt;="&amp;DATE(2024,2,1),AA2:AA38,"&lt;="&amp;DATE(2024,2,31))</f>
        <v>2</v>
      </c>
      <c r="L49" s="695">
        <f>COUNTIFS(AA2:AA38,"&gt;="&amp;DATE(2024,3,1),AA2:AA38,"&lt;="&amp;DATE(2024,3,31))</f>
        <v>1</v>
      </c>
      <c r="M49" s="695">
        <f>COUNTIFS(AA2:AA38,"&gt;="&amp;DATE(2024,4,1),AA2:AA38,"&lt;="&amp;DATE(2024,4,31))</f>
        <v>1</v>
      </c>
      <c r="N49" s="695">
        <f>COUNTIFS(AA2:AA38,"&gt;="&amp;DATE(2024,5,1),AA2:AA38,"&lt;="&amp;DATE(2024,5,31))</f>
        <v>0</v>
      </c>
      <c r="O49" s="695">
        <f>COUNTIFS(AA2:AA38,"&gt;="&amp;DATE(2024,6,1),AA2:AA38,"&lt;="&amp;DATE(2024,6,31))</f>
        <v>1</v>
      </c>
      <c r="P49" s="695">
        <f>COUNTIFS(AA2:AA38,"&gt;="&amp;DATE(2024,7,1),AA2:AA38,"&lt;="&amp;DATE(2024,7,31))</f>
        <v>1</v>
      </c>
      <c r="Q49" s="695">
        <f>COUNTIFS(AA2:AA38,"&gt;="&amp;DATE(2024,8,1),AA2:AA38,"&lt;="&amp;DATE(2024,8,31))</f>
        <v>2</v>
      </c>
      <c r="R49" s="695">
        <f>COUNTIFS(AA2:AA38,"&gt;="&amp;DATE(2024,9,1),AA2:AA38,"&lt;="&amp;DATE(2024,9,31))</f>
        <v>1</v>
      </c>
      <c r="S49" s="695">
        <f>COUNTIFS(AA2:AA38,"&gt;="&amp;DATE(2024,10,1),AA2:AA38,"&lt;="&amp;DATE(2024,10,31))</f>
        <v>0</v>
      </c>
      <c r="T49" s="695">
        <f>COUNTIFS(AA2:AA38,"&gt;="&amp;DATE(2024,11,1),AA2:AA38,"&lt;="&amp;DATE(2024,11,31))</f>
        <v>0</v>
      </c>
      <c r="U49" s="695">
        <f>COUNTIFS(AA2:AA38,"&gt;="&amp;DATE(2024,12,1),AA2:AA38,"&lt;="&amp;DATE(2024,12,31))</f>
        <v>0</v>
      </c>
    </row>
    <row r="50" spans="1:34" ht="13.5" customHeight="1">
      <c r="A50" s="2002" t="s">
        <v>102</v>
      </c>
      <c r="B50" s="2015"/>
      <c r="C50" s="53">
        <f>COUNTIFS(M2:M38,A50,C2:C38,C48)</f>
        <v>0</v>
      </c>
      <c r="D50" s="53">
        <f>COUNTIFS(M2:M38,A50,C2:C38,D48)</f>
        <v>0</v>
      </c>
      <c r="E50" s="53">
        <f>COUNTIFS(M2:M38,A50,C2:C38,E48)</f>
        <v>0</v>
      </c>
      <c r="F50" s="210">
        <f>COUNTIFS(M2:M38,A50,C2:C38,F48)</f>
        <v>0</v>
      </c>
      <c r="G50" s="263">
        <f>SUM(C50:F50)</f>
        <v>0</v>
      </c>
      <c r="H50" s="198"/>
      <c r="J50" s="1923" t="s">
        <v>17817</v>
      </c>
      <c r="K50" s="1924"/>
      <c r="L50" s="1924"/>
      <c r="M50" s="1924"/>
      <c r="N50" s="1924"/>
      <c r="O50" s="1924"/>
      <c r="P50" s="1924"/>
      <c r="Q50" s="1924"/>
      <c r="R50" s="1924"/>
      <c r="S50" s="1924"/>
      <c r="T50" s="1924"/>
      <c r="U50" s="1925"/>
    </row>
    <row r="51" spans="1:34" ht="13.5" customHeight="1" thickBot="1">
      <c r="A51" s="1988" t="s">
        <v>138</v>
      </c>
      <c r="B51" s="1989"/>
      <c r="C51" s="138">
        <f>COUNTIFS(M2:M38,"",C2:C38,C48)</f>
        <v>0</v>
      </c>
      <c r="D51" s="138">
        <f>COUNTIFS(M2:M38,"",C2:C38,D48)</f>
        <v>1</v>
      </c>
      <c r="E51" s="138">
        <f>COUNTIFS(M2:M38,"",C2:C38,E48)</f>
        <v>0</v>
      </c>
      <c r="F51" s="212">
        <f>COUNTIFS(M2:M38,"",C2:C38,F48)</f>
        <v>0</v>
      </c>
      <c r="G51" s="377">
        <f>SUM(C51:F51)</f>
        <v>1</v>
      </c>
      <c r="H51" s="198"/>
      <c r="J51" s="691" t="s">
        <v>17303</v>
      </c>
      <c r="K51" s="691" t="s">
        <v>17304</v>
      </c>
      <c r="L51" s="692" t="s">
        <v>17305</v>
      </c>
      <c r="M51" s="693" t="s">
        <v>17306</v>
      </c>
      <c r="N51" s="693" t="s">
        <v>17307</v>
      </c>
      <c r="O51" s="693" t="s">
        <v>17308</v>
      </c>
      <c r="P51" s="694" t="s">
        <v>17309</v>
      </c>
      <c r="Q51" s="694" t="s">
        <v>17310</v>
      </c>
      <c r="R51" s="694" t="s">
        <v>17311</v>
      </c>
      <c r="S51" s="694" t="s">
        <v>17312</v>
      </c>
      <c r="T51" s="694" t="s">
        <v>17313</v>
      </c>
      <c r="U51" s="694" t="s">
        <v>17314</v>
      </c>
    </row>
    <row r="52" spans="1:34" ht="13.5" customHeight="1" thickBot="1">
      <c r="A52" s="1990" t="s">
        <v>210</v>
      </c>
      <c r="B52" s="1991"/>
      <c r="C52" s="202">
        <f>COUNTIFS(M2:M38,A52,C2:C38,C48)</f>
        <v>0</v>
      </c>
      <c r="D52" s="202">
        <f>COUNTIFS(M2:M38,A52,C2:C38,D48)</f>
        <v>1</v>
      </c>
      <c r="E52" s="202">
        <f>COUNTIFS(M2:M38,A52,C2:C38,E48)</f>
        <v>0</v>
      </c>
      <c r="F52" s="214">
        <f>COUNTIFS(M2:M38,A52,C2:C38,F48)</f>
        <v>0</v>
      </c>
      <c r="G52" s="378">
        <f>SUM(C52:F52)</f>
        <v>1</v>
      </c>
      <c r="H52" s="198"/>
      <c r="J52" s="695">
        <f>COUNTIFS(AA2:AA38,"&gt;="&amp;DATE(2025,1,1),AA2:AA38,"&lt;="&amp;DATE(2025,1,31))</f>
        <v>0</v>
      </c>
      <c r="K52" s="695">
        <f>COUNTIFS(AA2:AA38,"&gt;="&amp;DATE(2025,2,1),AA2:AA38,"&lt;="&amp;DATE(2025,2,28))</f>
        <v>0</v>
      </c>
      <c r="L52" s="695">
        <f>COUNTIFS(AA2:AA38,"&gt;="&amp;DATE(2025,3,1),AA2:AA38,"&lt;="&amp;DATE(2025,3,31))</f>
        <v>1</v>
      </c>
      <c r="M52" s="695">
        <f>COUNTIFS(AA2:AA38,"&gt;="&amp;DATE(2025,4,1),AA2:AA38,"&lt;="&amp;DATE(2025,4,30))</f>
        <v>1</v>
      </c>
      <c r="N52" s="695">
        <f>COUNTIFS(AA2:AA38,"&gt;="&amp;DATE(2025,5,1),AA2:AA38,"&lt;="&amp;DATE(2025,5,31))</f>
        <v>1</v>
      </c>
      <c r="O52" s="695">
        <f>COUNTIFS(AA2:AA38,"&gt;="&amp;DATE(2025,6,1),AA2:AA38,"&lt;="&amp;DATE(2025,6,30))</f>
        <v>2</v>
      </c>
      <c r="P52" s="695">
        <f>COUNTIFS(AA2:AA38,"&gt;="&amp;DATE(2025,7,1),AA2:AA38,"&lt;="&amp;DATE(2025,7,31))</f>
        <v>2</v>
      </c>
      <c r="Q52" s="695">
        <f>COUNTIFS(AA2:AA38,"&gt;="&amp;DATE(2025,8,1),AA2:AA38,"&lt;="&amp;DATE(2025,8,31))</f>
        <v>2</v>
      </c>
      <c r="R52" s="695">
        <f>COUNTIFS(AA2:AA38,"&gt;="&amp;DATE(2025,9,1),AA2:AA38,"&lt;="&amp;DATE(2025,9,30))</f>
        <v>1</v>
      </c>
      <c r="S52" s="695">
        <f>COUNTIFS(AA2:AA38,"&gt;="&amp;DATE(2025,10,1),AA2:AA38,"&lt;="&amp;DATE(2025,10,31))</f>
        <v>0</v>
      </c>
      <c r="T52" s="695">
        <f>COUNTIFS(AA2:AA38,"&gt;="&amp;DATE(2025,11,1),AA2:AA38,"&lt;="&amp;DATE(2025,11,30))</f>
        <v>1</v>
      </c>
      <c r="U52" s="695">
        <f>COUNTIFS(AA2:AA38,"&gt;="&amp;DATE(2025,12,1),AA2:AA38,"&lt;="&amp;DATE(2025,12,31))</f>
        <v>0</v>
      </c>
    </row>
    <row r="53" spans="1:34" ht="13.5" customHeight="1" thickBot="1">
      <c r="A53" s="1992" t="s">
        <v>141</v>
      </c>
      <c r="B53" s="1993"/>
      <c r="C53" s="56">
        <f>SUM(C49:C52)</f>
        <v>12</v>
      </c>
      <c r="D53" s="56">
        <f>SUM(D49:D52)</f>
        <v>16</v>
      </c>
      <c r="E53" s="56">
        <f>SUM(E49:E52)</f>
        <v>8</v>
      </c>
      <c r="F53" s="56">
        <f>SUM(F49:F52)</f>
        <v>1</v>
      </c>
      <c r="G53" s="264">
        <f>SUM(G49:G52)</f>
        <v>37</v>
      </c>
      <c r="H53" s="198"/>
      <c r="K53" s="199"/>
      <c r="L53" s="199"/>
      <c r="N53" s="195"/>
      <c r="R53" s="195"/>
    </row>
    <row r="54" spans="1:34" ht="13.5" customHeight="1" thickBot="1">
      <c r="A54" s="198"/>
      <c r="B54" s="198"/>
      <c r="C54" s="198"/>
      <c r="D54" s="198"/>
      <c r="E54" s="198"/>
      <c r="F54" s="198"/>
      <c r="G54" s="357"/>
      <c r="H54" s="198"/>
      <c r="K54" s="199"/>
      <c r="L54" s="199"/>
      <c r="N54" s="195"/>
      <c r="R54" s="195"/>
      <c r="AH54" s="315"/>
    </row>
    <row r="55" spans="1:34" ht="13.5" customHeight="1" thickBot="1">
      <c r="A55" s="198"/>
      <c r="B55" s="198"/>
      <c r="C55" s="198"/>
      <c r="D55" s="198"/>
      <c r="E55" s="198"/>
      <c r="F55" s="198"/>
      <c r="H55" s="198"/>
      <c r="J55" s="1890" t="s">
        <v>17437</v>
      </c>
      <c r="K55" s="1891"/>
      <c r="L55" s="1891"/>
      <c r="M55" s="1892"/>
      <c r="N55" s="1"/>
      <c r="O55" s="1890" t="s">
        <v>17441</v>
      </c>
      <c r="P55" s="1891"/>
      <c r="Q55" s="1891"/>
      <c r="R55" s="1892"/>
      <c r="AH55" s="315"/>
    </row>
    <row r="56" spans="1:34" ht="13.5" customHeight="1">
      <c r="A56" s="1994" t="s">
        <v>142</v>
      </c>
      <c r="B56" s="1995"/>
      <c r="C56" s="48" t="s">
        <v>90</v>
      </c>
      <c r="D56" s="48" t="s">
        <v>91</v>
      </c>
      <c r="E56" s="48" t="s">
        <v>89</v>
      </c>
      <c r="F56" s="208" t="s">
        <v>93</v>
      </c>
      <c r="G56" s="359" t="s">
        <v>141</v>
      </c>
      <c r="H56" s="198"/>
      <c r="J56" s="1010"/>
      <c r="K56" s="1011" t="s">
        <v>17438</v>
      </c>
      <c r="L56" s="1011">
        <v>2024</v>
      </c>
      <c r="M56" s="1011" t="s">
        <v>17444</v>
      </c>
      <c r="N56" s="1"/>
      <c r="O56" s="1010"/>
      <c r="P56" s="1011" t="s">
        <v>17438</v>
      </c>
      <c r="Q56" s="1011">
        <v>2024</v>
      </c>
      <c r="R56" s="1013" t="s">
        <v>17444</v>
      </c>
      <c r="V56" s="283"/>
      <c r="W56" s="283"/>
      <c r="X56" s="315"/>
      <c r="Y56" s="195"/>
      <c r="Z56" s="195"/>
      <c r="AB56" s="283"/>
      <c r="AC56" s="315"/>
      <c r="AD56" s="195"/>
      <c r="AE56" s="315"/>
      <c r="AF56" s="188"/>
      <c r="AG56" s="188"/>
    </row>
    <row r="57" spans="1:34" ht="13.5" customHeight="1">
      <c r="A57" s="1996" t="s">
        <v>258</v>
      </c>
      <c r="B57" s="1997"/>
      <c r="C57" s="51">
        <f>AVERAGEIFS(W2:W38,M2:M38,A57,C2:C38,C56)</f>
        <v>4368.1315625431571</v>
      </c>
      <c r="D57" s="51">
        <f>AVERAGEIFS(W2:W38,M2:M38,A57,C2:C38,D56)</f>
        <v>4255.1717217785745</v>
      </c>
      <c r="E57" s="51">
        <f>AVERAGEIFS(W2:W38,M2:M38,A57,C2:C38,E56)</f>
        <v>4255.6255705072444</v>
      </c>
      <c r="F57" s="477">
        <f>AVERAGEIFS(W2:W38,M2:M38,A57,C2:C38,F56)</f>
        <v>5196.5657478535923</v>
      </c>
      <c r="G57" s="360">
        <f>AVERAGEIF(M2:M38,A57,W2:W38)</f>
        <v>4320.9015190665577</v>
      </c>
      <c r="H57" s="198"/>
      <c r="J57" s="31" t="s">
        <v>17439</v>
      </c>
      <c r="K57" s="129">
        <f>COUNTIFS(M2:M38,M2,AH2:AH38,AH2)</f>
        <v>24</v>
      </c>
      <c r="L57" s="129">
        <f>COUNTIFS(AA2:AA38,"&gt;="&amp;DATE(2024,1,1),AA2:AA38,"&lt;="&amp;DATE(2024,12,31),AH2:AH38,AH2)</f>
        <v>5</v>
      </c>
      <c r="M57" s="343">
        <f>K57/(+$K$57+$K$58+$K$59+$K$60)</f>
        <v>0.75</v>
      </c>
      <c r="N57" s="1"/>
      <c r="O57" s="34" t="s">
        <v>265</v>
      </c>
      <c r="P57" s="719">
        <f>COUNTIFS($M$2:$M$38,M36,$AO$2:$AO$38,AO10)</f>
        <v>14</v>
      </c>
      <c r="Q57" s="129">
        <f>COUNTIFS(AA2:AA38,"&gt;="&amp;DATE(2024,1,1),AA2:AA38,"&lt;="&amp;DATE(2024,12,31),AO2:AO38,AO10)</f>
        <v>3</v>
      </c>
      <c r="R57" s="1014">
        <f>P57/($P$57+$P$58+$P$59+$P$60+$P$61+$P$62+$P$63)</f>
        <v>0.42424242424242425</v>
      </c>
      <c r="V57" s="283"/>
      <c r="W57" s="283"/>
      <c r="X57" s="315"/>
      <c r="Y57" s="195"/>
      <c r="Z57" s="195"/>
      <c r="AB57" s="283"/>
      <c r="AC57" s="315"/>
      <c r="AD57" s="195"/>
      <c r="AE57" s="188"/>
      <c r="AF57" s="188"/>
      <c r="AG57" s="188"/>
    </row>
    <row r="58" spans="1:34" ht="13.5" customHeight="1">
      <c r="A58" s="2002" t="s">
        <v>102</v>
      </c>
      <c r="B58" s="2003"/>
      <c r="C58" s="54" t="e">
        <f>AVERAGEIFS(X2:X38,M2:M38,A58,C2:C38,C56)</f>
        <v>#DIV/0!</v>
      </c>
      <c r="D58" s="54" t="e">
        <f>AVERAGEIFS(X2:X38,M2:M38,A58,C2:C38,D56)</f>
        <v>#DIV/0!</v>
      </c>
      <c r="E58" s="54" t="e">
        <f>AVERAGEIFS(X2:X38,M2:M38,A58,C2:C38,E56)</f>
        <v>#DIV/0!</v>
      </c>
      <c r="F58" s="210" t="e">
        <f>AVERAGEIFS(X2:X38,M2:M38,A58,C2:C38,F56)</f>
        <v>#DIV/0!</v>
      </c>
      <c r="G58" s="361" t="e">
        <f>AVERAGEIF(M2:M38,A58,X2:X38)</f>
        <v>#DIV/0!</v>
      </c>
      <c r="H58" s="198"/>
      <c r="J58" s="665" t="s">
        <v>17440</v>
      </c>
      <c r="K58" s="129">
        <f>COUNTIFS(M2:M38,M2,AH2:AH38,J58)</f>
        <v>6</v>
      </c>
      <c r="L58" s="129">
        <f>COUNTIFS(AA2:AA38,"&gt;="&amp;DATE(2024,1,1),AA2:AA38,"&lt;="&amp;DATE(2024,12,31),AH2:AH38,J58)</f>
        <v>4</v>
      </c>
      <c r="M58" s="343">
        <f>K58/(+$K$57+$K$58+$K$59+$K$60)</f>
        <v>0.1875</v>
      </c>
      <c r="N58" s="1"/>
      <c r="O58" s="34" t="s">
        <v>517</v>
      </c>
      <c r="P58" s="719">
        <f>COUNTIFS($M$2:$M$38,M36,$AO$2:$AO$38,O58)</f>
        <v>9</v>
      </c>
      <c r="Q58" s="129">
        <f>COUNTIFS(AA2:AA38,"&gt;="&amp;DATE(2024,1,1),AA2:AA38,"&lt;="&amp;DATE(2024,12,31),AO2:AO38,O58)</f>
        <v>4</v>
      </c>
      <c r="R58" s="1014">
        <f t="shared" ref="R58:R63" si="6">P58/($P$57+$P$58+$P$59+$P$60+$P$61+$P$62+$P$63)</f>
        <v>0.27272727272727271</v>
      </c>
      <c r="V58" s="283"/>
      <c r="W58" s="283"/>
      <c r="X58" s="315"/>
      <c r="Y58" s="195"/>
      <c r="Z58" s="195"/>
      <c r="AB58" s="283"/>
      <c r="AC58" s="315"/>
      <c r="AD58" s="195"/>
      <c r="AE58" s="188"/>
      <c r="AF58" s="188"/>
      <c r="AG58" s="188"/>
    </row>
    <row r="59" spans="1:34" ht="13.5" customHeight="1">
      <c r="A59" s="2004" t="s">
        <v>138</v>
      </c>
      <c r="B59" s="2005"/>
      <c r="C59" s="80" t="e">
        <f>AVERAGEIFS(X2:X38,M2:M38,"",C2:C38,C56)</f>
        <v>#DIV/0!</v>
      </c>
      <c r="D59" s="80">
        <f>AVERAGEIFS(X2:X38,M2:M38,"",C2:C38,D56)</f>
        <v>3942.8184574327179</v>
      </c>
      <c r="E59" s="80" t="e">
        <f>AVERAGEIFS(X2:X38,M2:M38,"",C2:C38,E56)</f>
        <v>#DIV/0!</v>
      </c>
      <c r="F59" s="218" t="e">
        <f>AVERAGEIFS(X2:X38,M2:M38,"",C2:C38,F56)</f>
        <v>#DIV/0!</v>
      </c>
      <c r="G59" s="81">
        <f>AVERAGEIF(M2:M38,"",X2:X38)</f>
        <v>3942.8184574327179</v>
      </c>
      <c r="H59" s="198"/>
      <c r="J59" s="665" t="s">
        <v>577</v>
      </c>
      <c r="K59" s="129">
        <f>COUNTIFS(M2:M38,M2,AH2:AH38,J59)</f>
        <v>0</v>
      </c>
      <c r="L59" s="129">
        <f>COUNTIFS(AA2:AA38,"&gt;="&amp;DATE(2024,1,1),AA2:AA38,"&lt;="&amp;DATE(2024,12,31),AH2:AH38,J59)</f>
        <v>0</v>
      </c>
      <c r="M59" s="343">
        <f>K59/(+$K$57+$K$58+$K$59+$K$60)</f>
        <v>0</v>
      </c>
      <c r="N59" s="1"/>
      <c r="O59" s="34" t="s">
        <v>565</v>
      </c>
      <c r="P59" s="719">
        <f>COUNTIFS($M$2:$M$38,M36,$AO$2:$AO$38,O59)</f>
        <v>6</v>
      </c>
      <c r="Q59" s="129">
        <f>COUNTIFS(AA2:AA38,"&gt;="&amp;DATE(2024,1,1),AA2:AA38,"&lt;="&amp;DATE(2024,12,31),AO2:AO38,O59)</f>
        <v>2</v>
      </c>
      <c r="R59" s="1014">
        <f t="shared" si="6"/>
        <v>0.18181818181818182</v>
      </c>
      <c r="V59" s="283"/>
      <c r="W59" s="283"/>
      <c r="X59" s="315"/>
      <c r="Y59" s="195"/>
      <c r="Z59" s="195"/>
      <c r="AB59" s="283"/>
      <c r="AC59" s="315"/>
      <c r="AD59" s="195"/>
      <c r="AE59" s="188"/>
      <c r="AF59" s="188"/>
      <c r="AG59" s="188"/>
    </row>
    <row r="60" spans="1:34" ht="13.5" customHeight="1" thickBot="1">
      <c r="A60" s="2000" t="s">
        <v>210</v>
      </c>
      <c r="B60" s="2001"/>
      <c r="C60" s="60" t="e">
        <f>AVERAGEIFS(W2:W38,M2:M38,A60,C2:C38,C56)</f>
        <v>#DIV/0!</v>
      </c>
      <c r="D60" s="60">
        <f>AVERAGEIFS(W2:W38,M2:M38,A60,C2:C38,D56)</f>
        <v>4212.5697646202379</v>
      </c>
      <c r="E60" s="60" t="e">
        <f>AVERAGEIFS(W2:W38,M2:M38,A60,C2:C38,E56)</f>
        <v>#DIV/0!</v>
      </c>
      <c r="F60" s="219" t="e">
        <f>AVERAGEIFS(W2:W38,M2:M38,A60,C2:C38,F56)</f>
        <v>#DIV/0!</v>
      </c>
      <c r="G60" s="363">
        <f>AVERAGEIF(M2:M38,A60,W2:W38)</f>
        <v>4212.5697646202379</v>
      </c>
      <c r="H60" s="198"/>
      <c r="J60" s="665" t="s">
        <v>222</v>
      </c>
      <c r="K60" s="129">
        <f>COUNTIFS(M2:M38,M2,AH2:AH38,J60)</f>
        <v>2</v>
      </c>
      <c r="L60" s="129">
        <f>COUNTIFS(AA2:AA38,"&gt;="&amp;DATE(2024,1,1),AA2:AA38,"&lt;="&amp;DATE(2024,12,31),AH2:AH38,J60)</f>
        <v>2</v>
      </c>
      <c r="M60" s="343">
        <f>K60/(+$K$57+$K$58+$K$59+$K$60)</f>
        <v>6.25E-2</v>
      </c>
      <c r="N60" s="195"/>
      <c r="O60" s="22" t="s">
        <v>734</v>
      </c>
      <c r="P60" s="364">
        <f>COUNTIFS($M$2:$M$38,M36,$AO$2:$AO$38,O60)</f>
        <v>1</v>
      </c>
      <c r="Q60" s="5">
        <f>COUNTIFS(AA2:AA38,"&gt;="&amp;DATE(2024,1,1),AA2:AA38,"&lt;="&amp;DATE(2024,12,31),AO2:AO38,O60)</f>
        <v>1</v>
      </c>
      <c r="R60" s="1014">
        <f t="shared" si="6"/>
        <v>3.0303030303030304E-2</v>
      </c>
      <c r="V60" s="283"/>
      <c r="W60" s="283"/>
      <c r="X60" s="315"/>
      <c r="Y60" s="195"/>
      <c r="Z60" s="195"/>
      <c r="AB60" s="283"/>
      <c r="AC60" s="315"/>
      <c r="AD60" s="195"/>
      <c r="AE60" s="188"/>
      <c r="AF60" s="188"/>
      <c r="AG60" s="188"/>
    </row>
    <row r="61" spans="1:34" ht="13.5" customHeight="1" thickBot="1">
      <c r="H61" s="198"/>
      <c r="N61" s="195"/>
      <c r="O61" s="130" t="s">
        <v>17200</v>
      </c>
      <c r="P61" s="364">
        <f>COUNTIFS($M$2:$M$38,M36,$AO$2:$AO$38,O61)</f>
        <v>1</v>
      </c>
      <c r="Q61" s="5">
        <f>COUNTIFS(AA2:AA38,"&gt;="&amp;DATE(2024,1,1),AA2:AA38,"&lt;="&amp;DATE(2024,12,31),AO2:AO38,O61)</f>
        <v>0</v>
      </c>
      <c r="R61" s="1014">
        <f t="shared" si="6"/>
        <v>3.0303030303030304E-2</v>
      </c>
      <c r="T61" s="188">
        <f>F14*4450</f>
        <v>427912</v>
      </c>
      <c r="U61" s="188">
        <f>G14*(4400*30%)</f>
        <v>9781.2000000000007</v>
      </c>
      <c r="V61" s="283"/>
      <c r="W61" s="283"/>
      <c r="X61" s="315"/>
      <c r="Y61" s="195"/>
      <c r="Z61" s="195"/>
      <c r="AB61" s="283"/>
      <c r="AC61" s="315"/>
      <c r="AD61" s="195"/>
      <c r="AE61" s="188"/>
      <c r="AF61" s="188"/>
      <c r="AG61" s="188"/>
    </row>
    <row r="62" spans="1:34" ht="13.5" customHeight="1">
      <c r="A62" s="1994" t="s">
        <v>192</v>
      </c>
      <c r="B62" s="1995"/>
      <c r="C62" s="48" t="s">
        <v>90</v>
      </c>
      <c r="D62" s="48" t="s">
        <v>91</v>
      </c>
      <c r="E62" s="48" t="s">
        <v>89</v>
      </c>
      <c r="F62" s="208" t="s">
        <v>93</v>
      </c>
      <c r="G62" s="359" t="s">
        <v>141</v>
      </c>
      <c r="H62" s="198"/>
      <c r="O62" s="5" t="s">
        <v>17246</v>
      </c>
      <c r="P62" s="364">
        <f>COUNTIFS($M$2:$M$38,M36,$AO$2:$AO$38,O62)</f>
        <v>1</v>
      </c>
      <c r="Q62" s="5">
        <f>COUNTIFS(AA2:AA38,"&gt;="&amp;DATE(2024,1,1),AA2:AA38,"&lt;="&amp;DATE(2024,12,31),AO2:AO38,O62)</f>
        <v>0</v>
      </c>
      <c r="R62" s="1014">
        <f t="shared" si="6"/>
        <v>3.0303030303030304E-2</v>
      </c>
      <c r="V62" s="283"/>
      <c r="W62" s="283"/>
      <c r="X62" s="315"/>
      <c r="Y62" s="195"/>
      <c r="Z62" s="195"/>
      <c r="AB62" s="283"/>
      <c r="AC62" s="315"/>
      <c r="AD62" s="195"/>
      <c r="AE62" s="188"/>
      <c r="AF62" s="188"/>
      <c r="AG62" s="188"/>
    </row>
    <row r="63" spans="1:34" ht="13.5" customHeight="1">
      <c r="A63" s="1996" t="s">
        <v>258</v>
      </c>
      <c r="B63" s="1997"/>
      <c r="C63" s="51">
        <f>AVERAGEIFS(P2:P38,M2:M38,A63,C2:C38,C62)</f>
        <v>259282.08333333334</v>
      </c>
      <c r="D63" s="51">
        <f>AVERAGEIFS(P2:P38,M2:M38,A63,C2:C38,D62)</f>
        <v>431145.14285714284</v>
      </c>
      <c r="E63" s="51">
        <f>AVERAGEIFS(P2:P38,M2:M38,A63,C2:C38,E62)</f>
        <v>565800</v>
      </c>
      <c r="F63" s="477">
        <f>AVERAGEIFS(P2:P38,M2:M38,A63,C2:C38,F62)</f>
        <v>1196000</v>
      </c>
      <c r="G63" s="76">
        <f>AVERAGEIF(M2:M38,A63,P2:P38)</f>
        <v>424851.91428571427</v>
      </c>
      <c r="H63" s="198"/>
      <c r="O63" s="5" t="s">
        <v>17421</v>
      </c>
      <c r="P63" s="364">
        <f>COUNTIFS($M$2:$M$38,M36,$AO$2:$AO$38,O63)</f>
        <v>1</v>
      </c>
      <c r="Q63" s="5">
        <f>COUNTIFS(AA2:AA38,"&gt;="&amp;DATE(2024,1,1),AA2:AA38,"&lt;="&amp;DATE(2024,12,31),AO2:AO38,O63)</f>
        <v>1</v>
      </c>
      <c r="R63" s="1014">
        <f t="shared" si="6"/>
        <v>3.0303030303030304E-2</v>
      </c>
      <c r="V63" s="283"/>
      <c r="W63" s="283"/>
      <c r="X63" s="315"/>
      <c r="Y63" s="195"/>
      <c r="Z63" s="195"/>
      <c r="AB63" s="283"/>
      <c r="AC63" s="315"/>
      <c r="AD63" s="195"/>
      <c r="AE63" s="188"/>
      <c r="AF63" s="188"/>
      <c r="AG63" s="188"/>
    </row>
    <row r="64" spans="1:34" ht="13.5" customHeight="1">
      <c r="A64" s="2002" t="s">
        <v>102</v>
      </c>
      <c r="B64" s="2003"/>
      <c r="C64" s="54" t="e">
        <f>AVERAGEIFS(P2:P38,M2:M38,A64,C2:C38,C62)</f>
        <v>#DIV/0!</v>
      </c>
      <c r="D64" s="54" t="e">
        <f>AVERAGEIFS(P2:P38,M2:M38,A64,C2:C38,D62)</f>
        <v>#DIV/0!</v>
      </c>
      <c r="E64" s="54" t="e">
        <f>AVERAGEIFS(P2:P38,M2:M38,A64,C2:C38,E62)</f>
        <v>#DIV/0!</v>
      </c>
      <c r="F64" s="210" t="e">
        <f>AVERAGEIFS(P2:P38,M2:M38,A64,C2:C38,F62)</f>
        <v>#DIV/0!</v>
      </c>
      <c r="G64" s="361" t="e">
        <f>AVERAGEIF(M2:M38,A64,P2:P38)</f>
        <v>#DIV/0!</v>
      </c>
      <c r="H64" s="198"/>
      <c r="V64" s="283"/>
      <c r="W64" s="283"/>
      <c r="X64" s="315"/>
      <c r="Y64" s="195"/>
      <c r="Z64" s="195"/>
      <c r="AB64" s="283"/>
      <c r="AC64" s="315"/>
      <c r="AD64" s="195"/>
      <c r="AE64" s="188"/>
      <c r="AF64" s="188"/>
      <c r="AG64" s="188"/>
    </row>
    <row r="65" spans="1:33" ht="13.5" customHeight="1" thickBot="1">
      <c r="A65" s="1998" t="s">
        <v>138</v>
      </c>
      <c r="B65" s="1999"/>
      <c r="C65" s="85" t="e">
        <f>AVERAGEIFS(R2:R38,M2:M38,"",C2:C38,C62)</f>
        <v>#DIV/0!</v>
      </c>
      <c r="D65" s="85">
        <f>AVERAGEIFS(R2:R38,M2:M38,"",C2:C38,D62)</f>
        <v>441600</v>
      </c>
      <c r="E65" s="85" t="e">
        <f>AVERAGEIFS(R2:R38,M2:M38,"",C2:C38,E62)</f>
        <v>#DIV/0!</v>
      </c>
      <c r="F65" s="230" t="e">
        <f>AVERAGEIFS(R2:R38,M2:M38,"",C2:C38,F62)</f>
        <v>#DIV/0!</v>
      </c>
      <c r="G65" s="1429">
        <f>AVERAGEIF(M2:M38,"",R2:R38)</f>
        <v>441600</v>
      </c>
      <c r="H65" s="198"/>
      <c r="V65" s="283"/>
      <c r="W65" s="283"/>
      <c r="X65" s="315"/>
      <c r="Y65" s="195"/>
      <c r="Z65" s="195"/>
      <c r="AB65" s="283"/>
      <c r="AC65" s="315"/>
      <c r="AD65" s="195"/>
      <c r="AE65" s="188"/>
      <c r="AF65" s="188"/>
      <c r="AG65" s="188"/>
    </row>
    <row r="66" spans="1:33" ht="13.5" customHeight="1" thickBot="1">
      <c r="A66" s="2000" t="s">
        <v>210</v>
      </c>
      <c r="B66" s="2001"/>
      <c r="C66" s="60" t="e">
        <f>AVERAGEIFS(P2:P38,M2:M38,A66,C2:C38,C62)</f>
        <v>#DIV/0!</v>
      </c>
      <c r="D66" s="60">
        <f>AVERAGEIFS(P2:P38,M2:M38,A66,C2:C38,D62)</f>
        <v>434000</v>
      </c>
      <c r="E66" s="60" t="e">
        <f>AVERAGEIFS(P2:P38,M2:M38,A66,C2:C38,E62)</f>
        <v>#DIV/0!</v>
      </c>
      <c r="F66" s="220" t="e">
        <f>AVERAGEIFS(P2:P38,M2:M38,A66,C2:C38,F62)</f>
        <v>#DIV/0!</v>
      </c>
      <c r="G66" s="363" t="e">
        <f>AVERAGEIF(M2:M38,"",P2:P38)</f>
        <v>#DIV/0!</v>
      </c>
      <c r="H66" s="198"/>
    </row>
    <row r="67" spans="1:33" ht="13.5" customHeight="1" thickBot="1">
      <c r="H67" s="198"/>
    </row>
    <row r="68" spans="1:33" ht="13.5" customHeight="1">
      <c r="A68" s="1994" t="s">
        <v>234</v>
      </c>
      <c r="B68" s="1995"/>
      <c r="C68" s="48" t="s">
        <v>90</v>
      </c>
      <c r="D68" s="48" t="s">
        <v>91</v>
      </c>
      <c r="E68" s="48" t="s">
        <v>89</v>
      </c>
      <c r="F68" s="208" t="s">
        <v>93</v>
      </c>
      <c r="G68" s="359" t="s">
        <v>141</v>
      </c>
      <c r="H68" s="198"/>
    </row>
    <row r="69" spans="1:33" ht="13.5" customHeight="1">
      <c r="A69" s="1996" t="s">
        <v>258</v>
      </c>
      <c r="B69" s="1997"/>
      <c r="C69" s="258">
        <f>AVERAGEIFS(J2:J38,C2:C38,C68,M2:M38,A69)</f>
        <v>59.428333333333335</v>
      </c>
      <c r="D69" s="258">
        <f>AVERAGEIFS(J2:J38,C2:C38,D68,M2:M38,A69)</f>
        <v>101.48957142857141</v>
      </c>
      <c r="E69" s="258">
        <f>AVERAGEIFS(J2:J38,C2:C38,E68,M2:M38,A69)</f>
        <v>133.20474999999999</v>
      </c>
      <c r="F69" s="259">
        <f>AVERAGEIFS(J2:J38,C2:C38,F68,M2:M38,A69)</f>
        <v>230.15199999999999</v>
      </c>
      <c r="G69" s="360">
        <f>AVERAGEIF(M2:M38,A69,J2:J38)</f>
        <v>97.993828571428551</v>
      </c>
      <c r="H69" s="198"/>
    </row>
    <row r="70" spans="1:33" ht="13.5" customHeight="1">
      <c r="A70" s="2002" t="s">
        <v>102</v>
      </c>
      <c r="B70" s="2003"/>
      <c r="C70" s="261" t="e">
        <f>AVERAGEIFS(J2:J38,C2:C38,C68,M2:M38,A70)</f>
        <v>#DIV/0!</v>
      </c>
      <c r="D70" s="261" t="e">
        <f>AVERAGEIFS(J2:J38,C2:C38,D68,M2:M38,A70)</f>
        <v>#DIV/0!</v>
      </c>
      <c r="E70" s="261" t="e">
        <f>AVERAGEIFS(J2:J38,C2:C38,E68,M2:M38,A70)</f>
        <v>#DIV/0!</v>
      </c>
      <c r="F70" s="262" t="e">
        <f>AVERAGEIFS(J2:J38,C2:C38,F68,M2:M38,A70)</f>
        <v>#DIV/0!</v>
      </c>
      <c r="G70" s="361" t="e">
        <f>AVERAGEIF(M2:M38,A70,J2:J38)</f>
        <v>#DIV/0!</v>
      </c>
      <c r="H70" s="198"/>
      <c r="J70" s="1142"/>
    </row>
    <row r="71" spans="1:33" ht="13.5" customHeight="1" thickBot="1">
      <c r="A71" s="1998" t="s">
        <v>138</v>
      </c>
      <c r="B71" s="1999"/>
      <c r="C71" s="221" t="e">
        <f>AVERAGEIFS(J2:J38,C2:C38,C68,M2:M38,"")</f>
        <v>#DIV/0!</v>
      </c>
      <c r="D71" s="221">
        <f>AVERAGEIFS(J2:J38,C2:C38,D68,M2:M38,"")</f>
        <v>101.92099999999999</v>
      </c>
      <c r="E71" s="221" t="e">
        <f>AVERAGEIFS(J2:J38,C2:C38,E68,M2:M38,"")</f>
        <v>#DIV/0!</v>
      </c>
      <c r="F71" s="231" t="e">
        <f>AVERAGEIFS(J2:J38,C2:C38,F68,M2:M38,"")</f>
        <v>#DIV/0!</v>
      </c>
      <c r="G71" s="362">
        <f>AVERAGEIF(M2:M38,"",J2:J38)</f>
        <v>101.92099999999999</v>
      </c>
      <c r="H71" s="198"/>
    </row>
    <row r="72" spans="1:33" ht="13.5" customHeight="1" thickBot="1">
      <c r="A72" s="2000" t="s">
        <v>210</v>
      </c>
      <c r="B72" s="2001"/>
      <c r="C72" s="265" t="e">
        <f>AVERAGEIFS(J2:J38,C2:C38,C68,M2:M38,A72)</f>
        <v>#DIV/0!</v>
      </c>
      <c r="D72" s="265" t="e">
        <f>AVERAGEIFS(P14:P54,M14:M54,A72,C14:C51,D68)</f>
        <v>#VALUE!</v>
      </c>
      <c r="E72" s="265" t="e">
        <f>AVERAGEIFS(P14:P54,M14:M54,A72,C14:C51,E68)</f>
        <v>#VALUE!</v>
      </c>
      <c r="F72" s="266" t="e">
        <f>AVERAGEIFS(P14:P54,M14:M54,A72,C14:C51,F68)</f>
        <v>#VALUE!</v>
      </c>
      <c r="G72" s="363">
        <f>AVERAGEIF(M2:M38,A72,J2:J38)</f>
        <v>103.02499999999999</v>
      </c>
      <c r="H72" s="198"/>
      <c r="J72" s="1142"/>
      <c r="K72" s="1142"/>
      <c r="L72" s="1142"/>
    </row>
    <row r="90" spans="11:11">
      <c r="K90" s="1506"/>
    </row>
  </sheetData>
  <sheetProtection selectLockedCells="1" selectUnlockedCells="1"/>
  <autoFilter ref="A1:CA39" xr:uid="{429DCCB0-804C-48D0-B529-0DEAB633DC31}">
    <filterColumn colId="34">
      <filters>
        <filter val="Maria Costa / REMAX"/>
      </filters>
    </filterColumn>
  </autoFilter>
  <mergeCells count="33">
    <mergeCell ref="J50:U50"/>
    <mergeCell ref="J47:U47"/>
    <mergeCell ref="A46:B46"/>
    <mergeCell ref="G41:H41"/>
    <mergeCell ref="A42:B42"/>
    <mergeCell ref="A43:B43"/>
    <mergeCell ref="A44:B44"/>
    <mergeCell ref="A45:B45"/>
    <mergeCell ref="J44:U44"/>
    <mergeCell ref="J46:Q46"/>
    <mergeCell ref="A48:B48"/>
    <mergeCell ref="A49:B49"/>
    <mergeCell ref="A50:B50"/>
    <mergeCell ref="A51:B51"/>
    <mergeCell ref="A52:B52"/>
    <mergeCell ref="A53:B53"/>
    <mergeCell ref="A56:B56"/>
    <mergeCell ref="A57:B57"/>
    <mergeCell ref="J55:M55"/>
    <mergeCell ref="O55:R55"/>
    <mergeCell ref="A70:B70"/>
    <mergeCell ref="A71:B71"/>
    <mergeCell ref="A72:B72"/>
    <mergeCell ref="A63:B63"/>
    <mergeCell ref="A64:B64"/>
    <mergeCell ref="A65:B65"/>
    <mergeCell ref="A66:B66"/>
    <mergeCell ref="A68:B68"/>
    <mergeCell ref="A69:B69"/>
    <mergeCell ref="A62:B62"/>
    <mergeCell ref="A58:B58"/>
    <mergeCell ref="A59:B59"/>
    <mergeCell ref="A60:B60"/>
  </mergeCells>
  <conditionalFormatting sqref="Z1:Z55 W56:W65 Z66:Z1048576">
    <cfRule type="cellIs" dxfId="13" priority="1" operator="lessThan">
      <formula>TODAY()-15</formula>
    </cfRule>
  </conditionalFormatting>
  <hyperlinks>
    <hyperlink ref="AS14" r:id="rId1" xr:uid="{642E8635-292D-45FC-A9B9-7E570F2209B2}"/>
  </hyperlinks>
  <pageMargins left="0.7" right="0.7" top="0.75" bottom="0.75" header="0.3" footer="0.3"/>
  <pageSetup paperSize="9" orientation="portrait"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5951-E5E8-4833-8E2E-1FA5A2BBA74F}">
  <sheetPr>
    <tabColor theme="4"/>
  </sheetPr>
  <dimension ref="A1:CA60"/>
  <sheetViews>
    <sheetView zoomScale="130" zoomScaleNormal="130" workbookViewId="0">
      <pane xSplit="2" topLeftCell="O1" activePane="topRight" state="frozen"/>
      <selection pane="topRight" activeCell="J46" sqref="J46"/>
    </sheetView>
  </sheetViews>
  <sheetFormatPr defaultColWidth="10.5703125" defaultRowHeight="12.75"/>
  <cols>
    <col min="1" max="1" width="8.85546875" style="188" bestFit="1" customWidth="1"/>
    <col min="2" max="2" width="11.85546875" style="188" bestFit="1" customWidth="1"/>
    <col min="3" max="3" width="10.85546875" style="188" bestFit="1" customWidth="1"/>
    <col min="4" max="4" width="11.28515625" style="188" customWidth="1"/>
    <col min="5" max="5" width="9.7109375" style="188" customWidth="1"/>
    <col min="6" max="6" width="13.28515625" style="188" customWidth="1"/>
    <col min="7" max="7" width="11.28515625" style="332" customWidth="1"/>
    <col min="8" max="8" width="8.28515625" style="188" customWidth="1"/>
    <col min="9" max="9" width="6.5703125" style="188" customWidth="1"/>
    <col min="10" max="10" width="16.140625" style="188" customWidth="1"/>
    <col min="11" max="12" width="9" style="188" customWidth="1"/>
    <col min="13" max="13" width="10" style="188" customWidth="1"/>
    <col min="14" max="14" width="8.85546875" style="188" customWidth="1"/>
    <col min="15" max="15" width="15.28515625" style="188" customWidth="1"/>
    <col min="16" max="16" width="15.28515625" style="195" customWidth="1"/>
    <col min="17" max="17" width="15.28515625" style="195" hidden="1" customWidth="1"/>
    <col min="18" max="18" width="15.28515625" style="195" customWidth="1"/>
    <col min="19" max="19" width="12.7109375" style="188" customWidth="1"/>
    <col min="20" max="20" width="11.5703125" style="188" customWidth="1"/>
    <col min="21" max="21" width="11.5703125" style="315" customWidth="1"/>
    <col min="22" max="22" width="11" style="188" customWidth="1"/>
    <col min="23" max="23" width="10.7109375" style="188" customWidth="1"/>
    <col min="24" max="25" width="14" style="188" customWidth="1"/>
    <col min="26" max="26" width="14" style="283" customWidth="1"/>
    <col min="27" max="27" width="12.5703125" style="283" customWidth="1"/>
    <col min="28" max="28" width="12.5703125" style="315" customWidth="1"/>
    <col min="29" max="29" width="12.5703125" style="195" customWidth="1"/>
    <col min="30" max="30" width="13.28515625" style="195" customWidth="1"/>
    <col min="31" max="31" width="12.5703125" style="315" customWidth="1"/>
    <col min="32" max="32" width="10.28515625" style="283" customWidth="1"/>
    <col min="33" max="33" width="12.5703125" style="315" customWidth="1"/>
    <col min="34" max="34" width="12.28515625" style="195" customWidth="1"/>
    <col min="35" max="35" width="13.42578125" style="188" customWidth="1"/>
    <col min="36" max="36" width="16.7109375" style="188" bestFit="1" customWidth="1"/>
    <col min="37" max="38" width="16.7109375" style="188" customWidth="1"/>
    <col min="39" max="39" width="10.140625" style="188" bestFit="1" customWidth="1"/>
    <col min="40" max="44" width="10.140625" style="188" customWidth="1"/>
    <col min="45" max="45" width="14.140625" style="188" bestFit="1" customWidth="1"/>
    <col min="46" max="46" width="13.85546875" style="188" bestFit="1" customWidth="1"/>
    <col min="47" max="47" width="18" style="188" bestFit="1" customWidth="1"/>
    <col min="48" max="48" width="20.28515625" style="188" bestFit="1" customWidth="1"/>
    <col min="49" max="49" width="20.42578125" style="188" bestFit="1" customWidth="1"/>
    <col min="50" max="16384" width="10.5703125" style="188"/>
  </cols>
  <sheetData>
    <row r="1" spans="1:48" ht="23.25" customHeight="1">
      <c r="A1" s="6" t="s">
        <v>23</v>
      </c>
      <c r="B1" s="6" t="s">
        <v>5</v>
      </c>
      <c r="C1" s="20" t="s">
        <v>1</v>
      </c>
      <c r="D1" s="20" t="s">
        <v>0</v>
      </c>
      <c r="E1" s="20" t="s">
        <v>3</v>
      </c>
      <c r="F1" s="20" t="s">
        <v>6</v>
      </c>
      <c r="G1" s="356" t="s">
        <v>2</v>
      </c>
      <c r="H1" s="20" t="s">
        <v>212</v>
      </c>
      <c r="I1" s="20" t="s">
        <v>285</v>
      </c>
      <c r="J1" s="20" t="s">
        <v>11</v>
      </c>
      <c r="K1" s="20" t="s">
        <v>17169</v>
      </c>
      <c r="L1" s="20" t="s">
        <v>22</v>
      </c>
      <c r="M1" s="20" t="s">
        <v>12</v>
      </c>
      <c r="N1" s="20" t="s">
        <v>246</v>
      </c>
      <c r="O1" s="20" t="s">
        <v>251</v>
      </c>
      <c r="P1" s="577" t="s">
        <v>221</v>
      </c>
      <c r="Q1" s="577" t="s">
        <v>17918</v>
      </c>
      <c r="R1" s="20" t="s">
        <v>14</v>
      </c>
      <c r="S1" s="349" t="s">
        <v>15</v>
      </c>
      <c r="T1" s="20" t="s">
        <v>16</v>
      </c>
      <c r="U1" s="351" t="s">
        <v>17919</v>
      </c>
      <c r="V1" s="20" t="s">
        <v>227</v>
      </c>
      <c r="W1" s="20" t="s">
        <v>551</v>
      </c>
      <c r="X1" s="20" t="s">
        <v>228</v>
      </c>
      <c r="Y1" s="350" t="s">
        <v>301</v>
      </c>
      <c r="Z1" s="350" t="s">
        <v>4</v>
      </c>
      <c r="AA1" s="349" t="s">
        <v>545</v>
      </c>
      <c r="AB1" s="349" t="s">
        <v>546</v>
      </c>
      <c r="AC1" s="350" t="s">
        <v>553</v>
      </c>
      <c r="AD1" s="351" t="s">
        <v>547</v>
      </c>
      <c r="AE1" s="350" t="s">
        <v>554</v>
      </c>
      <c r="AF1" s="349" t="s">
        <v>548</v>
      </c>
      <c r="AG1" s="20" t="s">
        <v>8</v>
      </c>
      <c r="AH1" s="20" t="s">
        <v>255</v>
      </c>
      <c r="AI1" s="20" t="s">
        <v>18</v>
      </c>
      <c r="AJ1" s="20" t="s">
        <v>542</v>
      </c>
      <c r="AK1" s="20" t="s">
        <v>543</v>
      </c>
      <c r="AL1" s="20" t="s">
        <v>19</v>
      </c>
      <c r="AM1" s="20" t="s">
        <v>261</v>
      </c>
      <c r="AN1" s="20" t="s">
        <v>17891</v>
      </c>
      <c r="AO1" s="20" t="s">
        <v>17892</v>
      </c>
      <c r="AP1" s="20" t="s">
        <v>17893</v>
      </c>
      <c r="AQ1" s="20" t="s">
        <v>17599</v>
      </c>
      <c r="AR1" s="20" t="s">
        <v>17601</v>
      </c>
      <c r="AS1" s="20" t="s">
        <v>262</v>
      </c>
      <c r="AT1" s="20" t="s">
        <v>263</v>
      </c>
      <c r="AU1" s="20" t="s">
        <v>20</v>
      </c>
      <c r="AV1" s="20" t="s">
        <v>21</v>
      </c>
    </row>
    <row r="2" spans="1:48" s="334" customFormat="1" ht="13.5" customHeight="1">
      <c r="A2" s="126">
        <v>1</v>
      </c>
      <c r="B2" s="50" t="s">
        <v>24</v>
      </c>
      <c r="C2" s="545" t="s">
        <v>89</v>
      </c>
      <c r="D2" s="546">
        <v>2</v>
      </c>
      <c r="E2" s="546"/>
      <c r="F2" s="545">
        <v>152.75</v>
      </c>
      <c r="G2" s="581">
        <v>10.62</v>
      </c>
      <c r="H2" s="548"/>
      <c r="I2" s="548"/>
      <c r="J2" s="272">
        <f>F2+G2</f>
        <v>163.37</v>
      </c>
      <c r="K2" s="272">
        <v>2</v>
      </c>
      <c r="L2" s="272">
        <v>1</v>
      </c>
      <c r="M2" s="126" t="s">
        <v>258</v>
      </c>
      <c r="N2" s="126"/>
      <c r="O2" s="276"/>
      <c r="P2" s="276">
        <v>920000</v>
      </c>
      <c r="Q2" s="276"/>
      <c r="R2" s="273">
        <f>0.96*S2</f>
        <v>883200</v>
      </c>
      <c r="S2" s="273">
        <v>920000</v>
      </c>
      <c r="T2" s="274">
        <f t="shared" ref="T2:T26" si="0">1-(P2/S2)</f>
        <v>0</v>
      </c>
      <c r="U2" s="275"/>
      <c r="V2" s="275">
        <f t="shared" ref="V2:V26" si="1">P2/J2</f>
        <v>5631.3888718859034</v>
      </c>
      <c r="W2" s="275">
        <f t="shared" ref="W2:W26" si="2">R2/J2</f>
        <v>5406.1333170104672</v>
      </c>
      <c r="X2" s="275">
        <f t="shared" ref="X2:X26" si="3">S2/J2</f>
        <v>5631.3888718859034</v>
      </c>
      <c r="Y2" s="128"/>
      <c r="Z2" s="103">
        <v>45750</v>
      </c>
      <c r="AA2" s="575">
        <f>5000+179000</f>
        <v>184000</v>
      </c>
      <c r="AB2" s="1583"/>
      <c r="AC2" s="103"/>
      <c r="AD2" s="313"/>
      <c r="AE2" s="103"/>
      <c r="AF2" s="575">
        <v>736000</v>
      </c>
      <c r="AG2" s="126" t="s">
        <v>247</v>
      </c>
      <c r="AH2" s="126" t="s">
        <v>762</v>
      </c>
      <c r="AI2" s="126"/>
      <c r="AJ2" s="126"/>
      <c r="AK2" s="126"/>
      <c r="AL2" s="132" t="s">
        <v>17849</v>
      </c>
      <c r="AM2" s="132" t="s">
        <v>563</v>
      </c>
      <c r="AN2" s="132"/>
      <c r="AO2" s="132"/>
      <c r="AP2" s="132"/>
      <c r="AQ2" s="132"/>
      <c r="AR2" s="132"/>
      <c r="AS2" s="132"/>
      <c r="AT2" s="132"/>
      <c r="AU2" s="276"/>
      <c r="AV2" s="276"/>
    </row>
    <row r="3" spans="1:48" s="334" customFormat="1" ht="13.5" customHeight="1">
      <c r="A3" s="126">
        <v>2</v>
      </c>
      <c r="B3" s="50" t="s">
        <v>25</v>
      </c>
      <c r="C3" s="334" t="s">
        <v>91</v>
      </c>
      <c r="D3" s="546">
        <v>2</v>
      </c>
      <c r="E3" s="546"/>
      <c r="F3" s="545">
        <v>104.59</v>
      </c>
      <c r="G3" s="581">
        <v>19.54</v>
      </c>
      <c r="H3" s="548"/>
      <c r="I3" s="548"/>
      <c r="J3" s="272">
        <f>F3+0.5*G3+H3</f>
        <v>114.36</v>
      </c>
      <c r="K3" s="272">
        <v>2</v>
      </c>
      <c r="L3" s="272">
        <v>1</v>
      </c>
      <c r="M3" s="126" t="s">
        <v>258</v>
      </c>
      <c r="N3" s="276"/>
      <c r="O3" s="276"/>
      <c r="P3" s="276">
        <v>620000</v>
      </c>
      <c r="Q3" s="276"/>
      <c r="R3" s="273">
        <f>S3*0.96</f>
        <v>595200</v>
      </c>
      <c r="S3" s="273">
        <v>620000</v>
      </c>
      <c r="T3" s="274">
        <f t="shared" si="0"/>
        <v>0</v>
      </c>
      <c r="U3" s="275"/>
      <c r="V3" s="275">
        <f t="shared" si="1"/>
        <v>5421.476040573627</v>
      </c>
      <c r="W3" s="275">
        <f t="shared" si="2"/>
        <v>5204.6169989506825</v>
      </c>
      <c r="X3" s="275">
        <f t="shared" si="3"/>
        <v>5421.476040573627</v>
      </c>
      <c r="Y3" s="128"/>
      <c r="Z3" s="103">
        <v>45639</v>
      </c>
      <c r="AA3" s="575">
        <f>10000+114000</f>
        <v>124000</v>
      </c>
      <c r="AB3" s="575"/>
      <c r="AC3" s="103"/>
      <c r="AD3" s="313"/>
      <c r="AE3" s="103"/>
      <c r="AF3" s="575">
        <v>496000</v>
      </c>
      <c r="AG3" s="126" t="s">
        <v>17778</v>
      </c>
      <c r="AH3" s="126"/>
      <c r="AI3" s="126"/>
      <c r="AJ3" s="126"/>
      <c r="AK3" s="126"/>
      <c r="AL3" s="132" t="s">
        <v>17776</v>
      </c>
      <c r="AM3" s="132" t="s">
        <v>17777</v>
      </c>
      <c r="AN3" s="132"/>
      <c r="AO3" s="132"/>
      <c r="AP3" s="132"/>
      <c r="AQ3" s="132"/>
      <c r="AR3" s="132"/>
      <c r="AS3" s="132"/>
      <c r="AT3" s="132"/>
      <c r="AU3" s="276"/>
      <c r="AV3" s="276"/>
    </row>
    <row r="4" spans="1:48" s="334" customFormat="1" ht="13.5" customHeight="1">
      <c r="A4" s="126">
        <v>3</v>
      </c>
      <c r="B4" s="8" t="s">
        <v>26</v>
      </c>
      <c r="C4" s="545" t="s">
        <v>90</v>
      </c>
      <c r="D4" s="546">
        <v>2</v>
      </c>
      <c r="E4" s="546"/>
      <c r="F4" s="545">
        <v>59.09</v>
      </c>
      <c r="G4" s="581">
        <v>16.28</v>
      </c>
      <c r="H4" s="548"/>
      <c r="I4" s="548"/>
      <c r="J4" s="272">
        <f>F4+0.3*G4+0.3*H4</f>
        <v>63.974000000000004</v>
      </c>
      <c r="K4" s="272">
        <v>1</v>
      </c>
      <c r="L4" s="272">
        <v>0</v>
      </c>
      <c r="M4" s="126" t="s">
        <v>258</v>
      </c>
      <c r="N4" s="126"/>
      <c r="O4" s="276"/>
      <c r="P4" s="276">
        <f>292950</f>
        <v>292950</v>
      </c>
      <c r="Q4" s="276"/>
      <c r="R4" s="273">
        <f t="shared" ref="R4:R10" si="4">0.96*S4</f>
        <v>302400</v>
      </c>
      <c r="S4" s="273">
        <v>315000</v>
      </c>
      <c r="T4" s="274">
        <f t="shared" si="0"/>
        <v>6.9999999999999951E-2</v>
      </c>
      <c r="U4" s="275"/>
      <c r="V4" s="275">
        <f t="shared" si="1"/>
        <v>4579.2040516459811</v>
      </c>
      <c r="W4" s="275">
        <f t="shared" si="2"/>
        <v>4726.9203113764961</v>
      </c>
      <c r="X4" s="275">
        <f t="shared" si="3"/>
        <v>4923.8753243505171</v>
      </c>
      <c r="Y4" s="128"/>
      <c r="Z4" s="103">
        <v>45401</v>
      </c>
      <c r="AA4" s="575">
        <v>58590</v>
      </c>
      <c r="AB4" s="575"/>
      <c r="AC4" s="103"/>
      <c r="AD4" s="313"/>
      <c r="AE4" s="103"/>
      <c r="AF4" s="575">
        <v>234360</v>
      </c>
      <c r="AG4" s="126" t="s">
        <v>247</v>
      </c>
      <c r="AH4" s="126"/>
      <c r="AI4" s="126"/>
      <c r="AJ4" s="126"/>
      <c r="AK4" s="126"/>
      <c r="AL4" s="132" t="s">
        <v>17446</v>
      </c>
      <c r="AM4" s="132" t="s">
        <v>265</v>
      </c>
      <c r="AN4" s="132"/>
      <c r="AO4" s="132"/>
      <c r="AP4" s="132"/>
      <c r="AQ4" s="132"/>
      <c r="AR4" s="132"/>
      <c r="AS4" s="132"/>
      <c r="AT4" s="132"/>
      <c r="AU4" s="276"/>
      <c r="AV4" s="276"/>
    </row>
    <row r="5" spans="1:48" s="334" customFormat="1" ht="13.5" customHeight="1">
      <c r="A5" s="126">
        <v>4</v>
      </c>
      <c r="B5" s="8" t="s">
        <v>27</v>
      </c>
      <c r="C5" s="545" t="s">
        <v>91</v>
      </c>
      <c r="D5" s="546">
        <v>2</v>
      </c>
      <c r="E5" s="546"/>
      <c r="F5" s="545">
        <v>97.24</v>
      </c>
      <c r="G5" s="581">
        <v>16.28</v>
      </c>
      <c r="H5" s="548"/>
      <c r="I5" s="548"/>
      <c r="J5" s="272">
        <f>F5+0.5*G5</f>
        <v>105.38</v>
      </c>
      <c r="K5" s="272">
        <v>1</v>
      </c>
      <c r="L5" s="272">
        <v>1</v>
      </c>
      <c r="M5" s="126" t="s">
        <v>258</v>
      </c>
      <c r="N5" s="126"/>
      <c r="O5" s="126"/>
      <c r="P5" s="276">
        <v>484800</v>
      </c>
      <c r="Q5" s="276">
        <v>425000</v>
      </c>
      <c r="R5" s="273">
        <f t="shared" si="4"/>
        <v>484800</v>
      </c>
      <c r="S5" s="273">
        <v>505000</v>
      </c>
      <c r="T5" s="274">
        <f t="shared" si="0"/>
        <v>4.0000000000000036E-2</v>
      </c>
      <c r="U5" s="275">
        <f>Q5/J5</f>
        <v>4033.0233440880625</v>
      </c>
      <c r="V5" s="275">
        <f t="shared" si="1"/>
        <v>4600.4934522679823</v>
      </c>
      <c r="W5" s="275">
        <f t="shared" si="2"/>
        <v>4600.4934522679823</v>
      </c>
      <c r="X5" s="275">
        <f t="shared" si="3"/>
        <v>4792.1806794458153</v>
      </c>
      <c r="Y5" s="128">
        <v>45890</v>
      </c>
      <c r="Z5" s="103">
        <v>45930</v>
      </c>
      <c r="AA5" s="575">
        <f>5000+43480</f>
        <v>48480</v>
      </c>
      <c r="AB5" s="575"/>
      <c r="AC5" s="103"/>
      <c r="AD5" s="313"/>
      <c r="AE5" s="103"/>
      <c r="AF5" s="575">
        <v>436320</v>
      </c>
      <c r="AG5" s="126" t="s">
        <v>222</v>
      </c>
      <c r="AH5" s="126"/>
      <c r="AI5" s="126"/>
      <c r="AJ5" s="126"/>
      <c r="AK5" s="126"/>
      <c r="AL5" s="132" t="s">
        <v>18362</v>
      </c>
      <c r="AM5" s="132" t="s">
        <v>565</v>
      </c>
      <c r="AN5" s="132"/>
      <c r="AO5" s="132"/>
      <c r="AP5" s="132"/>
      <c r="AQ5" s="132"/>
      <c r="AR5" s="132"/>
      <c r="AS5" s="132"/>
      <c r="AT5" s="132"/>
      <c r="AU5" s="276"/>
      <c r="AV5" s="276"/>
    </row>
    <row r="6" spans="1:48" ht="13.5" customHeight="1">
      <c r="A6" s="5">
        <v>5</v>
      </c>
      <c r="B6" s="596" t="s">
        <v>28</v>
      </c>
      <c r="C6" s="355" t="s">
        <v>91</v>
      </c>
      <c r="D6" s="586">
        <v>2</v>
      </c>
      <c r="E6" s="586"/>
      <c r="F6" s="355">
        <v>97.24</v>
      </c>
      <c r="G6" s="587">
        <v>16.28</v>
      </c>
      <c r="H6" s="354"/>
      <c r="I6" s="588"/>
      <c r="J6" s="589">
        <f>F6+0.5*G6</f>
        <v>105.38</v>
      </c>
      <c r="K6" s="589">
        <v>1</v>
      </c>
      <c r="L6" s="589">
        <v>1</v>
      </c>
      <c r="M6" s="5"/>
      <c r="N6" s="5"/>
      <c r="O6" s="5"/>
      <c r="P6" s="22"/>
      <c r="Q6" s="22">
        <v>425000</v>
      </c>
      <c r="R6" s="590">
        <f t="shared" si="4"/>
        <v>465600</v>
      </c>
      <c r="S6" s="590">
        <v>485000</v>
      </c>
      <c r="T6" s="591">
        <f t="shared" si="0"/>
        <v>1</v>
      </c>
      <c r="U6" s="592">
        <f t="shared" ref="U6:U26" si="5">Q6/J6</f>
        <v>4033.0233440880625</v>
      </c>
      <c r="V6" s="592">
        <f t="shared" si="1"/>
        <v>0</v>
      </c>
      <c r="W6" s="592">
        <f t="shared" si="2"/>
        <v>4418.295691782122</v>
      </c>
      <c r="X6" s="592">
        <f t="shared" si="3"/>
        <v>4602.3913456063774</v>
      </c>
      <c r="Y6" s="593"/>
      <c r="Z6" s="584"/>
      <c r="AA6" s="594"/>
      <c r="AB6" s="594"/>
      <c r="AC6" s="584"/>
      <c r="AD6" s="585"/>
      <c r="AE6" s="584"/>
      <c r="AF6" s="594"/>
      <c r="AG6" s="5"/>
      <c r="AH6" s="5"/>
      <c r="AI6" s="5"/>
      <c r="AJ6" s="5"/>
      <c r="AK6" s="5"/>
      <c r="AL6" s="595"/>
      <c r="AM6" s="595"/>
      <c r="AN6" s="595"/>
      <c r="AO6" s="595"/>
      <c r="AP6" s="595"/>
      <c r="AQ6" s="595"/>
      <c r="AR6" s="595"/>
      <c r="AS6" s="595"/>
      <c r="AT6" s="595"/>
      <c r="AU6" s="22"/>
      <c r="AV6" s="22"/>
    </row>
    <row r="7" spans="1:48" s="334" customFormat="1" ht="13.5" customHeight="1">
      <c r="A7" s="126">
        <v>6</v>
      </c>
      <c r="B7" s="8" t="s">
        <v>29</v>
      </c>
      <c r="C7" s="545" t="s">
        <v>90</v>
      </c>
      <c r="D7" s="546">
        <v>2</v>
      </c>
      <c r="E7" s="546"/>
      <c r="F7" s="545">
        <v>58.48</v>
      </c>
      <c r="G7" s="581">
        <v>13.03</v>
      </c>
      <c r="H7" s="548"/>
      <c r="I7" s="548"/>
      <c r="J7" s="272">
        <f>F7+0.3*G7+0.3*H7</f>
        <v>62.388999999999996</v>
      </c>
      <c r="K7" s="272">
        <v>1</v>
      </c>
      <c r="L7" s="272">
        <v>0</v>
      </c>
      <c r="M7" s="126" t="s">
        <v>258</v>
      </c>
      <c r="N7" s="126"/>
      <c r="O7" s="126"/>
      <c r="P7" s="276">
        <v>290400</v>
      </c>
      <c r="Q7" s="276"/>
      <c r="R7" s="273">
        <f t="shared" si="4"/>
        <v>290400</v>
      </c>
      <c r="S7" s="273">
        <v>302500</v>
      </c>
      <c r="T7" s="274">
        <f t="shared" si="0"/>
        <v>4.0000000000000036E-2</v>
      </c>
      <c r="U7" s="592">
        <f t="shared" si="5"/>
        <v>0</v>
      </c>
      <c r="V7" s="275">
        <f t="shared" si="1"/>
        <v>4654.6666880379553</v>
      </c>
      <c r="W7" s="275">
        <f t="shared" si="2"/>
        <v>4654.6666880379553</v>
      </c>
      <c r="X7" s="275">
        <f t="shared" si="3"/>
        <v>4848.6111333728704</v>
      </c>
      <c r="Y7" s="128"/>
      <c r="Z7" s="128">
        <v>45397</v>
      </c>
      <c r="AA7" s="276">
        <f>5000+53080</f>
        <v>58080</v>
      </c>
      <c r="AB7" s="276"/>
      <c r="AC7" s="128"/>
      <c r="AD7" s="275"/>
      <c r="AE7" s="128"/>
      <c r="AF7" s="276">
        <v>232320</v>
      </c>
      <c r="AG7" s="126" t="s">
        <v>247</v>
      </c>
      <c r="AH7" s="126"/>
      <c r="AI7" s="126"/>
      <c r="AJ7" s="126"/>
      <c r="AK7" s="126"/>
      <c r="AL7" s="126" t="s">
        <v>17410</v>
      </c>
      <c r="AM7" s="126" t="s">
        <v>265</v>
      </c>
      <c r="AN7" s="126"/>
      <c r="AO7" s="126"/>
      <c r="AP7" s="126"/>
      <c r="AQ7" s="126"/>
      <c r="AR7" s="126"/>
      <c r="AS7" s="126"/>
      <c r="AT7" s="126"/>
      <c r="AU7" s="276"/>
      <c r="AV7" s="276"/>
    </row>
    <row r="8" spans="1:48" s="334" customFormat="1" ht="13.5" customHeight="1">
      <c r="A8" s="126">
        <v>7</v>
      </c>
      <c r="B8" s="8" t="s">
        <v>30</v>
      </c>
      <c r="C8" s="545" t="s">
        <v>90</v>
      </c>
      <c r="D8" s="546">
        <v>2</v>
      </c>
      <c r="E8" s="546"/>
      <c r="F8" s="545">
        <v>52.22</v>
      </c>
      <c r="G8" s="547">
        <v>19.54</v>
      </c>
      <c r="H8" s="548"/>
      <c r="I8" s="548"/>
      <c r="J8" s="272">
        <f>F8+0.3*G8+0.3*H8</f>
        <v>58.082000000000001</v>
      </c>
      <c r="K8" s="272">
        <v>1</v>
      </c>
      <c r="L8" s="272">
        <v>0</v>
      </c>
      <c r="M8" s="126" t="s">
        <v>258</v>
      </c>
      <c r="N8" s="126"/>
      <c r="O8" s="126"/>
      <c r="P8" s="276">
        <v>281325</v>
      </c>
      <c r="Q8" s="276"/>
      <c r="R8" s="273">
        <f t="shared" si="4"/>
        <v>290400</v>
      </c>
      <c r="S8" s="273">
        <v>302500</v>
      </c>
      <c r="T8" s="274">
        <f t="shared" si="0"/>
        <v>6.9999999999999951E-2</v>
      </c>
      <c r="U8" s="592">
        <f t="shared" si="5"/>
        <v>0</v>
      </c>
      <c r="V8" s="275">
        <f t="shared" si="1"/>
        <v>4843.5832099445606</v>
      </c>
      <c r="W8" s="275">
        <f t="shared" si="2"/>
        <v>4999.8278296201925</v>
      </c>
      <c r="X8" s="275">
        <f t="shared" si="3"/>
        <v>5208.1539891877001</v>
      </c>
      <c r="Y8" s="128"/>
      <c r="Z8" s="128">
        <v>45379</v>
      </c>
      <c r="AA8" s="276">
        <f>20%*P8</f>
        <v>56265</v>
      </c>
      <c r="AB8" s="276"/>
      <c r="AC8" s="128"/>
      <c r="AD8" s="275"/>
      <c r="AE8" s="128"/>
      <c r="AF8" s="276">
        <f>80%*P8</f>
        <v>225060</v>
      </c>
      <c r="AG8" s="126" t="s">
        <v>222</v>
      </c>
      <c r="AH8" s="126"/>
      <c r="AI8" s="126"/>
      <c r="AJ8" s="126"/>
      <c r="AK8" s="126"/>
      <c r="AL8" s="126" t="s">
        <v>17380</v>
      </c>
      <c r="AM8" s="126" t="s">
        <v>265</v>
      </c>
      <c r="AN8" s="126"/>
      <c r="AO8" s="126"/>
      <c r="AP8" s="126"/>
      <c r="AQ8" s="126"/>
      <c r="AR8" s="126"/>
      <c r="AS8" s="126"/>
      <c r="AT8" s="126"/>
      <c r="AU8" s="276"/>
      <c r="AV8" s="276"/>
    </row>
    <row r="9" spans="1:48" s="334" customFormat="1" ht="13.5" customHeight="1">
      <c r="A9" s="126">
        <v>8</v>
      </c>
      <c r="B9" s="8" t="s">
        <v>31</v>
      </c>
      <c r="C9" s="545" t="s">
        <v>91</v>
      </c>
      <c r="D9" s="546">
        <v>2</v>
      </c>
      <c r="E9" s="546"/>
      <c r="F9" s="545">
        <v>89.9</v>
      </c>
      <c r="G9" s="547">
        <v>10.62</v>
      </c>
      <c r="H9" s="548"/>
      <c r="I9" s="548"/>
      <c r="J9" s="272">
        <f>F9+0.3*G9+0.3*H9</f>
        <v>93.085999999999999</v>
      </c>
      <c r="K9" s="272">
        <v>2</v>
      </c>
      <c r="L9" s="272">
        <v>1</v>
      </c>
      <c r="M9" s="126" t="s">
        <v>258</v>
      </c>
      <c r="N9" s="126"/>
      <c r="O9" s="126"/>
      <c r="P9" s="276">
        <v>446400</v>
      </c>
      <c r="Q9" s="276"/>
      <c r="R9" s="273">
        <f>0.96*S9</f>
        <v>460800</v>
      </c>
      <c r="S9" s="273">
        <v>480000</v>
      </c>
      <c r="T9" s="274">
        <f t="shared" si="0"/>
        <v>6.9999999999999951E-2</v>
      </c>
      <c r="U9" s="592">
        <f t="shared" si="5"/>
        <v>0</v>
      </c>
      <c r="V9" s="275">
        <f t="shared" si="1"/>
        <v>4795.5653911436739</v>
      </c>
      <c r="W9" s="275">
        <f t="shared" si="2"/>
        <v>4950.2610489225017</v>
      </c>
      <c r="X9" s="275">
        <f t="shared" si="3"/>
        <v>5156.5219259609394</v>
      </c>
      <c r="Y9" s="128"/>
      <c r="Z9" s="113">
        <v>45401</v>
      </c>
      <c r="AA9" s="751">
        <v>89280</v>
      </c>
      <c r="AB9" s="751"/>
      <c r="AC9" s="113"/>
      <c r="AD9" s="325"/>
      <c r="AE9" s="113"/>
      <c r="AF9" s="751">
        <v>357120</v>
      </c>
      <c r="AG9" s="126" t="s">
        <v>247</v>
      </c>
      <c r="AH9" s="126"/>
      <c r="AI9" s="126"/>
      <c r="AJ9" s="126"/>
      <c r="AK9" s="126"/>
      <c r="AL9" s="132" t="s">
        <v>17446</v>
      </c>
      <c r="AM9" s="132" t="s">
        <v>265</v>
      </c>
      <c r="AN9" s="132"/>
      <c r="AO9" s="132"/>
      <c r="AP9" s="132"/>
      <c r="AQ9" s="132"/>
      <c r="AR9" s="132"/>
      <c r="AS9" s="112"/>
      <c r="AT9" s="112"/>
      <c r="AU9" s="276"/>
      <c r="AV9" s="276"/>
    </row>
    <row r="10" spans="1:48" s="334" customFormat="1" ht="13.5" customHeight="1">
      <c r="A10" s="126">
        <v>9</v>
      </c>
      <c r="B10" s="8" t="s">
        <v>32</v>
      </c>
      <c r="C10" s="545" t="s">
        <v>89</v>
      </c>
      <c r="D10" s="546">
        <v>3</v>
      </c>
      <c r="E10" s="546"/>
      <c r="F10" s="545">
        <v>152.72</v>
      </c>
      <c r="G10" s="547">
        <v>10.62</v>
      </c>
      <c r="H10" s="548"/>
      <c r="I10" s="548"/>
      <c r="J10" s="272">
        <f>F10+G10</f>
        <v>163.34</v>
      </c>
      <c r="K10" s="272">
        <v>2</v>
      </c>
      <c r="L10" s="272">
        <v>1</v>
      </c>
      <c r="M10" s="126" t="s">
        <v>258</v>
      </c>
      <c r="N10" s="126"/>
      <c r="O10" s="276"/>
      <c r="P10" s="276">
        <v>950000</v>
      </c>
      <c r="Q10" s="276"/>
      <c r="R10" s="273">
        <f t="shared" si="4"/>
        <v>844800</v>
      </c>
      <c r="S10" s="273">
        <v>880000</v>
      </c>
      <c r="T10" s="274">
        <f t="shared" si="0"/>
        <v>-7.9545454545454586E-2</v>
      </c>
      <c r="U10" s="592">
        <f t="shared" si="5"/>
        <v>0</v>
      </c>
      <c r="V10" s="275">
        <f t="shared" si="1"/>
        <v>5816.0891392188068</v>
      </c>
      <c r="W10" s="275">
        <f t="shared" si="2"/>
        <v>5172.0337945389983</v>
      </c>
      <c r="X10" s="275">
        <f t="shared" si="3"/>
        <v>5387.5352026447899</v>
      </c>
      <c r="Y10" s="128"/>
      <c r="Z10" s="103">
        <v>45504</v>
      </c>
      <c r="AA10" s="575">
        <v>177500</v>
      </c>
      <c r="AB10" s="575">
        <f>190000-AA2</f>
        <v>6000</v>
      </c>
      <c r="AC10" s="103">
        <v>45597</v>
      </c>
      <c r="AD10" s="313"/>
      <c r="AE10" s="103"/>
      <c r="AF10" s="575">
        <f>950000-AA10-AB10</f>
        <v>766500</v>
      </c>
      <c r="AG10" s="126" t="s">
        <v>222</v>
      </c>
      <c r="AH10" s="126"/>
      <c r="AI10" s="126"/>
      <c r="AJ10" s="126"/>
      <c r="AK10" s="126"/>
      <c r="AL10" s="132" t="s">
        <v>17508</v>
      </c>
      <c r="AM10" s="132" t="s">
        <v>565</v>
      </c>
      <c r="AN10" s="132"/>
      <c r="AO10" s="132"/>
      <c r="AP10" s="132"/>
      <c r="AQ10" s="132"/>
      <c r="AR10" s="132"/>
      <c r="AS10" s="132"/>
      <c r="AT10" s="132"/>
      <c r="AU10" s="276"/>
      <c r="AV10" s="276"/>
    </row>
    <row r="11" spans="1:48" s="334" customFormat="1" ht="13.5" customHeight="1">
      <c r="A11" s="126">
        <v>10</v>
      </c>
      <c r="B11" s="8" t="s">
        <v>33</v>
      </c>
      <c r="C11" s="545" t="s">
        <v>91</v>
      </c>
      <c r="D11" s="546">
        <v>3</v>
      </c>
      <c r="E11" s="546"/>
      <c r="F11" s="545">
        <v>104.59</v>
      </c>
      <c r="G11" s="547">
        <v>15.97</v>
      </c>
      <c r="H11" s="548"/>
      <c r="I11" s="548"/>
      <c r="J11" s="272">
        <f>F11+0.5*G11+H11</f>
        <v>112.575</v>
      </c>
      <c r="K11" s="272">
        <v>2</v>
      </c>
      <c r="L11" s="272">
        <v>1</v>
      </c>
      <c r="M11" s="126" t="s">
        <v>258</v>
      </c>
      <c r="N11" s="126"/>
      <c r="O11" s="126"/>
      <c r="P11" s="276">
        <v>630000</v>
      </c>
      <c r="Q11" s="276"/>
      <c r="R11" s="273">
        <f>0.96*S11</f>
        <v>614400</v>
      </c>
      <c r="S11" s="273">
        <v>640000</v>
      </c>
      <c r="T11" s="274">
        <f t="shared" si="0"/>
        <v>1.5625E-2</v>
      </c>
      <c r="U11" s="592">
        <f t="shared" si="5"/>
        <v>0</v>
      </c>
      <c r="V11" s="275">
        <f t="shared" si="1"/>
        <v>5596.2691538974013</v>
      </c>
      <c r="W11" s="275">
        <f t="shared" si="2"/>
        <v>5457.6948700866087</v>
      </c>
      <c r="X11" s="275">
        <f t="shared" si="3"/>
        <v>5685.0988230068842</v>
      </c>
      <c r="Y11" s="128"/>
      <c r="Z11" s="103">
        <v>45548</v>
      </c>
      <c r="AA11" s="575">
        <v>126000</v>
      </c>
      <c r="AB11" s="575"/>
      <c r="AC11" s="103"/>
      <c r="AD11" s="313"/>
      <c r="AE11" s="103"/>
      <c r="AF11" s="575">
        <v>504000</v>
      </c>
      <c r="AG11" s="126" t="s">
        <v>247</v>
      </c>
      <c r="AH11" s="126"/>
      <c r="AI11" s="550"/>
      <c r="AJ11" s="126"/>
      <c r="AK11" s="126"/>
      <c r="AL11" s="132" t="s">
        <v>17552</v>
      </c>
      <c r="AM11" s="132" t="s">
        <v>563</v>
      </c>
      <c r="AN11" s="132"/>
      <c r="AO11" s="132"/>
      <c r="AP11" s="132"/>
      <c r="AQ11" s="132"/>
      <c r="AR11" s="132"/>
      <c r="AS11" s="132"/>
      <c r="AT11" s="132"/>
      <c r="AU11" s="276"/>
      <c r="AV11" s="276"/>
    </row>
    <row r="12" spans="1:48" s="334" customFormat="1" ht="13.5" customHeight="1">
      <c r="A12" s="126">
        <v>11</v>
      </c>
      <c r="B12" s="8" t="s">
        <v>34</v>
      </c>
      <c r="C12" s="545" t="s">
        <v>90</v>
      </c>
      <c r="D12" s="546">
        <v>3</v>
      </c>
      <c r="E12" s="546"/>
      <c r="F12" s="545">
        <v>59.09</v>
      </c>
      <c r="G12" s="547">
        <v>13.34</v>
      </c>
      <c r="H12" s="548"/>
      <c r="I12" s="548"/>
      <c r="J12" s="272">
        <f>F12+0.3*G12+0.3*H12</f>
        <v>63.092000000000006</v>
      </c>
      <c r="K12" s="272">
        <v>1</v>
      </c>
      <c r="L12" s="272">
        <v>0</v>
      </c>
      <c r="M12" s="126" t="s">
        <v>258</v>
      </c>
      <c r="N12" s="126"/>
      <c r="O12" s="126"/>
      <c r="P12" s="276">
        <v>310000</v>
      </c>
      <c r="Q12" s="276"/>
      <c r="R12" s="273">
        <f t="shared" ref="R12:R17" si="6">0.96*S12</f>
        <v>312000</v>
      </c>
      <c r="S12" s="273">
        <v>325000</v>
      </c>
      <c r="T12" s="274">
        <f t="shared" si="0"/>
        <v>4.6153846153846101E-2</v>
      </c>
      <c r="U12" s="592">
        <f t="shared" si="5"/>
        <v>0</v>
      </c>
      <c r="V12" s="275">
        <f t="shared" si="1"/>
        <v>4913.4597096303805</v>
      </c>
      <c r="W12" s="275">
        <f t="shared" si="2"/>
        <v>4945.1594496925118</v>
      </c>
      <c r="X12" s="275">
        <f t="shared" si="3"/>
        <v>5151.2077600963667</v>
      </c>
      <c r="Y12" s="128"/>
      <c r="Z12" s="103">
        <v>45384</v>
      </c>
      <c r="AA12" s="575">
        <v>62000</v>
      </c>
      <c r="AB12" s="575"/>
      <c r="AC12" s="103"/>
      <c r="AD12" s="313"/>
      <c r="AE12" s="103"/>
      <c r="AF12" s="575">
        <v>248000</v>
      </c>
      <c r="AG12" s="126" t="s">
        <v>247</v>
      </c>
      <c r="AH12" s="126"/>
      <c r="AI12" s="126"/>
      <c r="AJ12" s="126"/>
      <c r="AK12" s="126"/>
      <c r="AL12" s="132" t="s">
        <v>764</v>
      </c>
      <c r="AM12" s="132" t="s">
        <v>565</v>
      </c>
      <c r="AN12" s="132"/>
      <c r="AO12" s="132"/>
      <c r="AP12" s="132"/>
      <c r="AQ12" s="132"/>
      <c r="AR12" s="132"/>
      <c r="AS12" s="132"/>
      <c r="AT12" s="132"/>
      <c r="AU12" s="276"/>
      <c r="AV12" s="276"/>
    </row>
    <row r="13" spans="1:48" s="192" customFormat="1" ht="13.5" customHeight="1">
      <c r="A13" s="129">
        <v>12</v>
      </c>
      <c r="B13" s="7" t="s">
        <v>35</v>
      </c>
      <c r="C13" s="576" t="s">
        <v>91</v>
      </c>
      <c r="D13" s="352">
        <v>3</v>
      </c>
      <c r="E13" s="352"/>
      <c r="F13" s="576">
        <v>97.24</v>
      </c>
      <c r="G13" s="353">
        <v>13.34</v>
      </c>
      <c r="H13" s="354"/>
      <c r="I13" s="354"/>
      <c r="J13" s="189">
        <f>F13+0.5*G13+0.3*H13</f>
        <v>103.91</v>
      </c>
      <c r="K13" s="189">
        <v>1</v>
      </c>
      <c r="L13" s="189">
        <v>1</v>
      </c>
      <c r="M13" s="129"/>
      <c r="N13" s="129"/>
      <c r="O13" s="129"/>
      <c r="P13" s="191"/>
      <c r="Q13" s="191">
        <v>430000</v>
      </c>
      <c r="R13" s="229">
        <f t="shared" si="6"/>
        <v>499200</v>
      </c>
      <c r="S13" s="229">
        <v>520000</v>
      </c>
      <c r="T13" s="190">
        <f t="shared" si="0"/>
        <v>1</v>
      </c>
      <c r="U13" s="93">
        <f t="shared" si="5"/>
        <v>4138.1965162159559</v>
      </c>
      <c r="V13" s="93">
        <f t="shared" si="1"/>
        <v>0</v>
      </c>
      <c r="W13" s="93">
        <f t="shared" si="2"/>
        <v>4804.1574439418728</v>
      </c>
      <c r="X13" s="93">
        <f t="shared" si="3"/>
        <v>5004.3306707727843</v>
      </c>
      <c r="Y13" s="35"/>
      <c r="Z13" s="33"/>
      <c r="AA13" s="580"/>
      <c r="AB13" s="580"/>
      <c r="AC13" s="33"/>
      <c r="AD13" s="311"/>
      <c r="AE13" s="33"/>
      <c r="AF13" s="580"/>
      <c r="AG13" s="129"/>
      <c r="AH13" s="129"/>
      <c r="AI13" s="343"/>
      <c r="AJ13" s="129"/>
      <c r="AK13" s="129"/>
      <c r="AL13" s="36"/>
      <c r="AM13" s="36"/>
      <c r="AN13" s="36"/>
      <c r="AO13" s="36"/>
      <c r="AP13" s="36"/>
      <c r="AQ13" s="36"/>
      <c r="AR13" s="36"/>
      <c r="AS13" s="36"/>
      <c r="AT13" s="36"/>
      <c r="AU13" s="191"/>
      <c r="AV13" s="191"/>
    </row>
    <row r="14" spans="1:48" s="192" customFormat="1" ht="13.5" customHeight="1">
      <c r="A14" s="129">
        <v>13</v>
      </c>
      <c r="B14" s="7" t="s">
        <v>36</v>
      </c>
      <c r="C14" s="576" t="s">
        <v>91</v>
      </c>
      <c r="D14" s="352">
        <v>3</v>
      </c>
      <c r="E14" s="352"/>
      <c r="F14" s="576">
        <v>97.24</v>
      </c>
      <c r="G14" s="353">
        <v>13.34</v>
      </c>
      <c r="H14" s="354"/>
      <c r="I14" s="354"/>
      <c r="J14" s="189">
        <f>F14+0.5*G14+0.3*H14</f>
        <v>103.91</v>
      </c>
      <c r="K14" s="189">
        <v>1</v>
      </c>
      <c r="L14" s="189">
        <v>1</v>
      </c>
      <c r="M14" s="129"/>
      <c r="N14" s="129"/>
      <c r="O14" s="129"/>
      <c r="P14" s="191"/>
      <c r="Q14" s="191">
        <v>430000</v>
      </c>
      <c r="R14" s="229">
        <f t="shared" si="6"/>
        <v>475200</v>
      </c>
      <c r="S14" s="229">
        <v>495000</v>
      </c>
      <c r="T14" s="190">
        <f t="shared" si="0"/>
        <v>1</v>
      </c>
      <c r="U14" s="93">
        <f t="shared" si="5"/>
        <v>4138.1965162159559</v>
      </c>
      <c r="V14" s="93">
        <f t="shared" si="1"/>
        <v>0</v>
      </c>
      <c r="W14" s="93">
        <f t="shared" si="2"/>
        <v>4573.1883360600523</v>
      </c>
      <c r="X14" s="93">
        <f t="shared" si="3"/>
        <v>4763.7378500625546</v>
      </c>
      <c r="Y14" s="35"/>
      <c r="Z14" s="33"/>
      <c r="AA14" s="580"/>
      <c r="AB14" s="580"/>
      <c r="AC14" s="33"/>
      <c r="AD14" s="311"/>
      <c r="AE14" s="33"/>
      <c r="AF14" s="580"/>
      <c r="AG14" s="129"/>
      <c r="AH14" s="129"/>
      <c r="AI14" s="129"/>
      <c r="AJ14" s="129"/>
      <c r="AK14" s="129"/>
      <c r="AL14" s="36"/>
      <c r="AM14" s="36"/>
      <c r="AN14" s="36"/>
      <c r="AO14" s="36"/>
      <c r="AP14" s="36"/>
      <c r="AQ14" s="36"/>
      <c r="AR14" s="36"/>
      <c r="AS14" s="36"/>
      <c r="AT14" s="36"/>
      <c r="AU14" s="191"/>
      <c r="AV14" s="191"/>
    </row>
    <row r="15" spans="1:48" ht="13.5" customHeight="1">
      <c r="A15" s="5">
        <v>14</v>
      </c>
      <c r="B15" s="596" t="s">
        <v>37</v>
      </c>
      <c r="C15" s="355" t="s">
        <v>89</v>
      </c>
      <c r="D15" s="586">
        <v>3</v>
      </c>
      <c r="E15" s="586"/>
      <c r="F15" s="355">
        <v>110.64</v>
      </c>
      <c r="G15" s="597">
        <f>16.01+10.67</f>
        <v>26.68</v>
      </c>
      <c r="H15" s="354"/>
      <c r="I15" s="588"/>
      <c r="J15" s="589">
        <f>F15+0.3*G15+0.3*H15</f>
        <v>118.64400000000001</v>
      </c>
      <c r="K15" s="589">
        <v>2</v>
      </c>
      <c r="L15" s="589">
        <v>1</v>
      </c>
      <c r="M15" s="5"/>
      <c r="N15" s="5"/>
      <c r="O15" s="5"/>
      <c r="P15" s="22"/>
      <c r="Q15" s="22">
        <v>530000</v>
      </c>
      <c r="R15" s="590">
        <f t="shared" si="6"/>
        <v>547200</v>
      </c>
      <c r="S15" s="1826">
        <v>570000</v>
      </c>
      <c r="T15" s="591">
        <f t="shared" si="0"/>
        <v>1</v>
      </c>
      <c r="U15" s="592">
        <f t="shared" si="5"/>
        <v>4467.1454097973765</v>
      </c>
      <c r="V15" s="592">
        <f t="shared" si="1"/>
        <v>0</v>
      </c>
      <c r="W15" s="592">
        <f t="shared" si="2"/>
        <v>4612.1169212096693</v>
      </c>
      <c r="X15" s="592">
        <f t="shared" si="3"/>
        <v>4804.2884595934056</v>
      </c>
      <c r="Y15" s="593"/>
      <c r="Z15" s="584"/>
      <c r="AA15" s="594"/>
      <c r="AB15" s="594"/>
      <c r="AC15" s="584"/>
      <c r="AD15" s="585"/>
      <c r="AE15" s="584"/>
      <c r="AF15" s="594"/>
      <c r="AG15" s="5"/>
      <c r="AH15" s="5"/>
      <c r="AI15" s="5"/>
      <c r="AJ15" s="5"/>
      <c r="AK15" s="5"/>
      <c r="AL15" s="595"/>
      <c r="AM15" s="595"/>
      <c r="AN15" s="595"/>
      <c r="AO15" s="595"/>
      <c r="AP15" s="595"/>
      <c r="AQ15" s="595"/>
      <c r="AR15" s="595"/>
      <c r="AS15" s="595"/>
      <c r="AT15" s="595"/>
      <c r="AU15" s="22"/>
      <c r="AV15" s="22"/>
    </row>
    <row r="16" spans="1:48" s="334" customFormat="1" ht="13.5" customHeight="1">
      <c r="A16" s="126">
        <v>15</v>
      </c>
      <c r="B16" s="8" t="s">
        <v>38</v>
      </c>
      <c r="C16" s="545" t="s">
        <v>91</v>
      </c>
      <c r="D16" s="546">
        <v>3</v>
      </c>
      <c r="E16" s="546"/>
      <c r="F16" s="545">
        <v>89.78</v>
      </c>
      <c r="G16" s="547">
        <v>10.62</v>
      </c>
      <c r="H16" s="548"/>
      <c r="I16" s="548"/>
      <c r="J16" s="272">
        <f>F16+0.3*G16+0.3*H16</f>
        <v>92.965999999999994</v>
      </c>
      <c r="K16" s="272">
        <v>2</v>
      </c>
      <c r="L16" s="272">
        <v>1</v>
      </c>
      <c r="M16" s="126" t="s">
        <v>258</v>
      </c>
      <c r="N16" s="126" t="s">
        <v>215</v>
      </c>
      <c r="O16" s="126" t="s">
        <v>215</v>
      </c>
      <c r="P16" s="276">
        <v>451050</v>
      </c>
      <c r="Q16" s="276"/>
      <c r="R16" s="273">
        <f t="shared" si="6"/>
        <v>465600</v>
      </c>
      <c r="S16" s="273">
        <v>485000</v>
      </c>
      <c r="T16" s="274">
        <f t="shared" si="0"/>
        <v>6.9999999999999951E-2</v>
      </c>
      <c r="U16" s="592">
        <f t="shared" si="5"/>
        <v>0</v>
      </c>
      <c r="V16" s="275">
        <f t="shared" si="1"/>
        <v>4851.7737667534375</v>
      </c>
      <c r="W16" s="275">
        <f t="shared" si="2"/>
        <v>5008.2825979390318</v>
      </c>
      <c r="X16" s="275">
        <f t="shared" si="3"/>
        <v>5216.9610395198251</v>
      </c>
      <c r="Y16" s="128"/>
      <c r="Z16" s="103">
        <v>45397</v>
      </c>
      <c r="AA16" s="575">
        <v>90210</v>
      </c>
      <c r="AB16" s="575"/>
      <c r="AC16" s="103"/>
      <c r="AD16" s="313"/>
      <c r="AE16" s="103"/>
      <c r="AF16" s="575">
        <v>360840</v>
      </c>
      <c r="AG16" s="126" t="s">
        <v>247</v>
      </c>
      <c r="AH16" s="126"/>
      <c r="AI16" s="550"/>
      <c r="AJ16" s="126"/>
      <c r="AK16" s="126"/>
      <c r="AL16" s="132" t="s">
        <v>17411</v>
      </c>
      <c r="AM16" s="132" t="s">
        <v>265</v>
      </c>
      <c r="AN16" s="132"/>
      <c r="AO16" s="132"/>
      <c r="AP16" s="132"/>
      <c r="AQ16" s="132"/>
      <c r="AR16" s="132"/>
      <c r="AS16" s="132"/>
      <c r="AT16" s="132"/>
      <c r="AU16" s="276"/>
      <c r="AV16" s="276"/>
    </row>
    <row r="17" spans="1:48" s="334" customFormat="1" ht="13.5" customHeight="1">
      <c r="A17" s="126">
        <v>16</v>
      </c>
      <c r="B17" s="8" t="s">
        <v>39</v>
      </c>
      <c r="C17" s="545" t="s">
        <v>89</v>
      </c>
      <c r="D17" s="546">
        <v>4</v>
      </c>
      <c r="E17" s="546"/>
      <c r="F17" s="545">
        <v>152.75</v>
      </c>
      <c r="G17" s="547">
        <v>10.62</v>
      </c>
      <c r="H17" s="548"/>
      <c r="I17" s="548"/>
      <c r="J17" s="272">
        <f>F17+G17</f>
        <v>163.37</v>
      </c>
      <c r="K17" s="272">
        <v>2</v>
      </c>
      <c r="L17" s="272">
        <v>1</v>
      </c>
      <c r="M17" s="126" t="s">
        <v>258</v>
      </c>
      <c r="N17" s="126"/>
      <c r="O17" s="126"/>
      <c r="P17" s="276">
        <f>0.91*R17</f>
        <v>786240</v>
      </c>
      <c r="Q17" s="276"/>
      <c r="R17" s="273">
        <f t="shared" si="6"/>
        <v>864000</v>
      </c>
      <c r="S17" s="273">
        <v>900000</v>
      </c>
      <c r="T17" s="274">
        <f t="shared" si="0"/>
        <v>0.12639999999999996</v>
      </c>
      <c r="U17" s="592">
        <f t="shared" si="5"/>
        <v>0</v>
      </c>
      <c r="V17" s="275">
        <f t="shared" si="1"/>
        <v>4812.6338985125785</v>
      </c>
      <c r="W17" s="275">
        <f t="shared" si="2"/>
        <v>5288.6086796841528</v>
      </c>
      <c r="X17" s="275">
        <f t="shared" si="3"/>
        <v>5508.9673746709923</v>
      </c>
      <c r="Y17" s="128"/>
      <c r="Z17" s="103">
        <v>45385</v>
      </c>
      <c r="AA17" s="575">
        <f>P17*10%</f>
        <v>78624</v>
      </c>
      <c r="AB17" s="575"/>
      <c r="AC17" s="103"/>
      <c r="AD17" s="313"/>
      <c r="AE17" s="103"/>
      <c r="AF17" s="575">
        <f>90%*P17</f>
        <v>707616</v>
      </c>
      <c r="AG17" s="126" t="s">
        <v>274</v>
      </c>
      <c r="AH17" s="126"/>
      <c r="AI17" s="550"/>
      <c r="AJ17" s="126"/>
      <c r="AK17" s="126"/>
      <c r="AL17" s="132" t="s">
        <v>17382</v>
      </c>
      <c r="AM17" s="132" t="s">
        <v>517</v>
      </c>
      <c r="AN17" s="132"/>
      <c r="AO17" s="132"/>
      <c r="AP17" s="132"/>
      <c r="AQ17" s="132"/>
      <c r="AR17" s="132"/>
      <c r="AS17" s="132"/>
      <c r="AT17" s="132"/>
      <c r="AU17" s="276"/>
      <c r="AV17" s="276"/>
    </row>
    <row r="18" spans="1:48" s="334" customFormat="1" ht="13.5" customHeight="1">
      <c r="A18" s="126">
        <v>17</v>
      </c>
      <c r="B18" s="8" t="s">
        <v>40</v>
      </c>
      <c r="C18" s="545" t="s">
        <v>91</v>
      </c>
      <c r="D18" s="546">
        <v>4</v>
      </c>
      <c r="E18" s="546"/>
      <c r="F18" s="545">
        <v>104.59</v>
      </c>
      <c r="G18" s="547">
        <v>11.95</v>
      </c>
      <c r="H18" s="548"/>
      <c r="I18" s="548"/>
      <c r="J18" s="272">
        <f>F18+0.5*G18+H18</f>
        <v>110.565</v>
      </c>
      <c r="K18" s="272">
        <v>2</v>
      </c>
      <c r="L18" s="272">
        <v>1</v>
      </c>
      <c r="M18" s="126" t="s">
        <v>258</v>
      </c>
      <c r="N18" s="126"/>
      <c r="O18" s="276">
        <f>680000-P18</f>
        <v>152200</v>
      </c>
      <c r="P18" s="276">
        <f>0.91*R18</f>
        <v>527800</v>
      </c>
      <c r="Q18" s="276"/>
      <c r="R18" s="273">
        <v>580000</v>
      </c>
      <c r="S18" s="273">
        <f>R18*1.04</f>
        <v>603200</v>
      </c>
      <c r="T18" s="274">
        <f t="shared" si="0"/>
        <v>0.125</v>
      </c>
      <c r="U18" s="592">
        <f t="shared" si="5"/>
        <v>0</v>
      </c>
      <c r="V18" s="275">
        <f t="shared" si="1"/>
        <v>4773.6625514403295</v>
      </c>
      <c r="W18" s="275">
        <f t="shared" si="2"/>
        <v>5245.7830235608017</v>
      </c>
      <c r="X18" s="275">
        <f t="shared" si="3"/>
        <v>5455.614344503234</v>
      </c>
      <c r="Y18" s="128"/>
      <c r="Z18" s="103">
        <v>45343</v>
      </c>
      <c r="AA18" s="575">
        <v>52780</v>
      </c>
      <c r="AB18" s="575"/>
      <c r="AC18" s="103"/>
      <c r="AD18" s="313"/>
      <c r="AE18" s="103"/>
      <c r="AF18" s="575">
        <v>475020</v>
      </c>
      <c r="AG18" s="126" t="s">
        <v>274</v>
      </c>
      <c r="AH18" s="126"/>
      <c r="AI18" s="126"/>
      <c r="AJ18" s="126"/>
      <c r="AK18" s="126"/>
      <c r="AL18" s="126" t="s">
        <v>17177</v>
      </c>
      <c r="AM18" s="132" t="s">
        <v>517</v>
      </c>
      <c r="AN18" s="132"/>
      <c r="AO18" s="132"/>
      <c r="AP18" s="132"/>
      <c r="AQ18" s="132"/>
      <c r="AR18" s="132"/>
      <c r="AS18" s="132"/>
      <c r="AT18" s="132"/>
      <c r="AU18" s="276"/>
      <c r="AV18" s="276"/>
    </row>
    <row r="19" spans="1:48" s="334" customFormat="1" ht="13.5" customHeight="1">
      <c r="A19" s="126">
        <v>18</v>
      </c>
      <c r="B19" s="8" t="s">
        <v>41</v>
      </c>
      <c r="C19" s="545" t="s">
        <v>90</v>
      </c>
      <c r="D19" s="546">
        <v>4</v>
      </c>
      <c r="E19" s="546"/>
      <c r="F19" s="545">
        <v>59.09</v>
      </c>
      <c r="G19" s="547">
        <v>9.9600000000000009</v>
      </c>
      <c r="H19" s="548"/>
      <c r="I19" s="548"/>
      <c r="J19" s="272">
        <f>F19+0.3*G19+0.3*H19</f>
        <v>62.078000000000003</v>
      </c>
      <c r="K19" s="272">
        <v>1</v>
      </c>
      <c r="L19" s="272">
        <v>0</v>
      </c>
      <c r="M19" s="126" t="s">
        <v>258</v>
      </c>
      <c r="N19" s="126"/>
      <c r="O19" s="126"/>
      <c r="P19" s="276">
        <v>335000</v>
      </c>
      <c r="Q19" s="276"/>
      <c r="R19" s="273">
        <f>0.96*S19</f>
        <v>321600</v>
      </c>
      <c r="S19" s="273">
        <v>335000</v>
      </c>
      <c r="T19" s="274">
        <f t="shared" si="0"/>
        <v>0</v>
      </c>
      <c r="U19" s="592">
        <f t="shared" si="5"/>
        <v>0</v>
      </c>
      <c r="V19" s="275">
        <f t="shared" si="1"/>
        <v>5396.4367408743838</v>
      </c>
      <c r="W19" s="275">
        <f t="shared" si="2"/>
        <v>5180.5792712394086</v>
      </c>
      <c r="X19" s="275">
        <f t="shared" si="3"/>
        <v>5396.4367408743838</v>
      </c>
      <c r="Y19" s="128"/>
      <c r="Z19" s="103">
        <v>45562</v>
      </c>
      <c r="AA19" s="575">
        <v>67000</v>
      </c>
      <c r="AB19" s="575"/>
      <c r="AC19" s="103"/>
      <c r="AD19" s="313"/>
      <c r="AE19" s="103"/>
      <c r="AF19" s="575">
        <v>268000</v>
      </c>
      <c r="AG19" s="126" t="s">
        <v>274</v>
      </c>
      <c r="AH19" s="126" t="s">
        <v>17515</v>
      </c>
      <c r="AI19" s="126"/>
      <c r="AJ19" s="126"/>
      <c r="AK19" s="126"/>
      <c r="AL19" s="126" t="s">
        <v>17546</v>
      </c>
      <c r="AM19" s="132" t="s">
        <v>517</v>
      </c>
      <c r="AN19" s="132"/>
      <c r="AO19" s="132"/>
      <c r="AP19" s="132"/>
      <c r="AQ19" s="132"/>
      <c r="AR19" s="132"/>
      <c r="AS19" s="132"/>
      <c r="AT19" s="132"/>
      <c r="AU19" s="276"/>
      <c r="AV19" s="276"/>
    </row>
    <row r="20" spans="1:48" s="192" customFormat="1" ht="13.5" customHeight="1">
      <c r="A20" s="129">
        <v>19</v>
      </c>
      <c r="B20" s="7" t="s">
        <v>42</v>
      </c>
      <c r="C20" s="576" t="s">
        <v>91</v>
      </c>
      <c r="D20" s="352">
        <v>4</v>
      </c>
      <c r="E20" s="352"/>
      <c r="F20" s="576">
        <v>97.24</v>
      </c>
      <c r="G20" s="353">
        <v>9.9600000000000009</v>
      </c>
      <c r="H20" s="354"/>
      <c r="I20" s="354"/>
      <c r="J20" s="189">
        <f>F20+0.5*G20+0.3*H20</f>
        <v>102.22</v>
      </c>
      <c r="K20" s="189">
        <v>2</v>
      </c>
      <c r="L20" s="189">
        <v>1</v>
      </c>
      <c r="M20" s="129"/>
      <c r="N20" s="129"/>
      <c r="O20" s="129"/>
      <c r="P20" s="191"/>
      <c r="Q20" s="191"/>
      <c r="R20" s="229">
        <f t="shared" ref="R20:R25" si="7">0.96*S20</f>
        <v>513600</v>
      </c>
      <c r="S20" s="229">
        <v>535000</v>
      </c>
      <c r="T20" s="190">
        <f t="shared" si="0"/>
        <v>1</v>
      </c>
      <c r="U20" s="93">
        <f t="shared" si="5"/>
        <v>0</v>
      </c>
      <c r="V20" s="93">
        <f t="shared" si="1"/>
        <v>0</v>
      </c>
      <c r="W20" s="93">
        <f t="shared" si="2"/>
        <v>5024.4570534142049</v>
      </c>
      <c r="X20" s="93">
        <f t="shared" si="3"/>
        <v>5233.809430639797</v>
      </c>
      <c r="Y20" s="35"/>
      <c r="Z20" s="33"/>
      <c r="AA20" s="580"/>
      <c r="AB20" s="580"/>
      <c r="AC20" s="33"/>
      <c r="AD20" s="311"/>
      <c r="AE20" s="33"/>
      <c r="AF20" s="580"/>
      <c r="AG20" s="129"/>
      <c r="AH20" s="129"/>
      <c r="AI20" s="129"/>
      <c r="AJ20" s="129"/>
      <c r="AK20" s="129"/>
      <c r="AL20" s="131"/>
      <c r="AM20" s="36"/>
      <c r="AN20" s="36"/>
      <c r="AO20" s="36"/>
      <c r="AP20" s="36"/>
      <c r="AQ20" s="36"/>
      <c r="AR20" s="36"/>
      <c r="AS20" s="36"/>
      <c r="AT20" s="36"/>
      <c r="AU20" s="191"/>
      <c r="AV20" s="191"/>
    </row>
    <row r="21" spans="1:48" s="334" customFormat="1" ht="13.5" customHeight="1">
      <c r="A21" s="126">
        <v>20</v>
      </c>
      <c r="B21" s="8" t="s">
        <v>43</v>
      </c>
      <c r="C21" s="545" t="s">
        <v>91</v>
      </c>
      <c r="D21" s="546">
        <v>4</v>
      </c>
      <c r="E21" s="546"/>
      <c r="F21" s="545">
        <v>97.24</v>
      </c>
      <c r="G21" s="547">
        <v>9.9600000000000009</v>
      </c>
      <c r="H21" s="548"/>
      <c r="I21" s="548"/>
      <c r="J21" s="272">
        <f>F21+0.5*G21+0.3*H21</f>
        <v>102.22</v>
      </c>
      <c r="K21" s="272">
        <v>1</v>
      </c>
      <c r="L21" s="272">
        <v>1</v>
      </c>
      <c r="M21" s="126" t="s">
        <v>258</v>
      </c>
      <c r="N21" s="126"/>
      <c r="O21" s="276"/>
      <c r="P21" s="276">
        <v>484800</v>
      </c>
      <c r="Q21" s="276"/>
      <c r="R21" s="273">
        <f t="shared" si="7"/>
        <v>484800</v>
      </c>
      <c r="S21" s="273">
        <v>505000</v>
      </c>
      <c r="T21" s="274">
        <f t="shared" si="0"/>
        <v>4.0000000000000036E-2</v>
      </c>
      <c r="U21" s="592">
        <f t="shared" si="5"/>
        <v>0</v>
      </c>
      <c r="V21" s="275">
        <f t="shared" si="1"/>
        <v>4742.7117980825669</v>
      </c>
      <c r="W21" s="275">
        <f t="shared" si="2"/>
        <v>4742.7117980825669</v>
      </c>
      <c r="X21" s="275">
        <f t="shared" si="3"/>
        <v>4940.324789669341</v>
      </c>
      <c r="Y21" s="128"/>
      <c r="Z21" s="103">
        <v>45733</v>
      </c>
      <c r="AA21" s="575">
        <f>20%*P21</f>
        <v>96960</v>
      </c>
      <c r="AB21" s="575"/>
      <c r="AC21" s="103"/>
      <c r="AD21" s="313"/>
      <c r="AE21" s="103"/>
      <c r="AF21" s="575">
        <f>80%*P21</f>
        <v>387840</v>
      </c>
      <c r="AG21" s="126" t="s">
        <v>17778</v>
      </c>
      <c r="AH21" s="126"/>
      <c r="AI21" s="126"/>
      <c r="AJ21" s="126"/>
      <c r="AK21" s="126"/>
      <c r="AL21" s="112" t="s">
        <v>17867</v>
      </c>
      <c r="AM21" s="132" t="s">
        <v>563</v>
      </c>
      <c r="AN21" s="132"/>
      <c r="AO21" s="132"/>
      <c r="AP21" s="132"/>
      <c r="AQ21" s="132"/>
      <c r="AR21" s="132"/>
      <c r="AS21" s="132"/>
      <c r="AT21" s="132"/>
      <c r="AU21" s="276"/>
      <c r="AV21" s="276"/>
    </row>
    <row r="22" spans="1:48" ht="13.5" customHeight="1">
      <c r="A22" s="5">
        <v>21</v>
      </c>
      <c r="B22" s="596" t="s">
        <v>44</v>
      </c>
      <c r="C22" s="355" t="s">
        <v>89</v>
      </c>
      <c r="D22" s="586">
        <v>4</v>
      </c>
      <c r="E22" s="586"/>
      <c r="F22" s="355">
        <v>110.64</v>
      </c>
      <c r="G22" s="597">
        <f>7.97+11.95</f>
        <v>19.919999999999998</v>
      </c>
      <c r="H22" s="354"/>
      <c r="I22" s="588"/>
      <c r="J22" s="589">
        <f>F22+0.3*G22+0.3*H22</f>
        <v>116.616</v>
      </c>
      <c r="K22" s="589">
        <v>2</v>
      </c>
      <c r="L22" s="589">
        <v>1</v>
      </c>
      <c r="M22" s="5"/>
      <c r="N22" s="5"/>
      <c r="O22" s="5"/>
      <c r="P22" s="22"/>
      <c r="Q22" s="22">
        <v>535000</v>
      </c>
      <c r="R22" s="590">
        <f>0.96*S22</f>
        <v>556800</v>
      </c>
      <c r="S22" s="1826">
        <v>580000</v>
      </c>
      <c r="T22" s="591">
        <f t="shared" si="0"/>
        <v>1</v>
      </c>
      <c r="U22" s="592">
        <f t="shared" si="5"/>
        <v>4587.7066611785685</v>
      </c>
      <c r="V22" s="592">
        <f t="shared" si="1"/>
        <v>0</v>
      </c>
      <c r="W22" s="592">
        <f t="shared" si="2"/>
        <v>4774.6449886807986</v>
      </c>
      <c r="X22" s="592">
        <f t="shared" si="3"/>
        <v>4973.5885298758321</v>
      </c>
      <c r="Y22" s="593"/>
      <c r="Z22" s="584"/>
      <c r="AA22" s="594"/>
      <c r="AB22" s="594"/>
      <c r="AC22" s="584"/>
      <c r="AD22" s="585"/>
      <c r="AE22" s="584"/>
      <c r="AF22" s="594"/>
      <c r="AG22" s="5"/>
      <c r="AH22" s="5"/>
      <c r="AI22" s="598"/>
      <c r="AJ22" s="5"/>
      <c r="AK22" s="5"/>
      <c r="AL22" s="595"/>
      <c r="AM22" s="595"/>
      <c r="AN22" s="595"/>
      <c r="AO22" s="595"/>
      <c r="AP22" s="595"/>
      <c r="AQ22" s="595"/>
      <c r="AR22" s="595"/>
      <c r="AS22" s="595"/>
      <c r="AT22" s="595"/>
      <c r="AU22" s="22"/>
      <c r="AV22" s="22"/>
    </row>
    <row r="23" spans="1:48" s="334" customFormat="1" ht="13.5" customHeight="1">
      <c r="A23" s="126">
        <v>22</v>
      </c>
      <c r="B23" s="8" t="s">
        <v>45</v>
      </c>
      <c r="C23" s="545" t="s">
        <v>91</v>
      </c>
      <c r="D23" s="546">
        <v>4</v>
      </c>
      <c r="E23" s="546"/>
      <c r="F23" s="545">
        <v>89.78</v>
      </c>
      <c r="G23" s="547">
        <v>10.62</v>
      </c>
      <c r="H23" s="548"/>
      <c r="I23" s="548"/>
      <c r="J23" s="272">
        <f>F23+0.3*G23+0.3*H23</f>
        <v>92.965999999999994</v>
      </c>
      <c r="K23" s="272">
        <v>2</v>
      </c>
      <c r="L23" s="272">
        <v>1</v>
      </c>
      <c r="M23" s="126" t="s">
        <v>258</v>
      </c>
      <c r="N23" s="126"/>
      <c r="O23" s="126"/>
      <c r="P23" s="276">
        <f>0.93*S23</f>
        <v>455700</v>
      </c>
      <c r="Q23" s="276"/>
      <c r="R23" s="273">
        <f t="shared" si="7"/>
        <v>470400</v>
      </c>
      <c r="S23" s="273">
        <v>490000</v>
      </c>
      <c r="T23" s="274">
        <f t="shared" si="0"/>
        <v>6.9999999999999951E-2</v>
      </c>
      <c r="U23" s="592">
        <f t="shared" si="5"/>
        <v>0</v>
      </c>
      <c r="V23" s="275">
        <f t="shared" si="1"/>
        <v>4901.7920530086267</v>
      </c>
      <c r="W23" s="275">
        <f t="shared" si="2"/>
        <v>5059.9143772992284</v>
      </c>
      <c r="X23" s="275">
        <f t="shared" si="3"/>
        <v>5270.7441430200288</v>
      </c>
      <c r="Y23" s="128"/>
      <c r="Z23" s="103">
        <v>45379</v>
      </c>
      <c r="AA23" s="575">
        <f>20%*P23</f>
        <v>91140</v>
      </c>
      <c r="AB23" s="575"/>
      <c r="AC23" s="103"/>
      <c r="AD23" s="313"/>
      <c r="AE23" s="103"/>
      <c r="AF23" s="575">
        <f>P23-AA23</f>
        <v>364560</v>
      </c>
      <c r="AG23" s="126" t="s">
        <v>247</v>
      </c>
      <c r="AH23" s="126"/>
      <c r="AI23" s="550"/>
      <c r="AJ23" s="126"/>
      <c r="AK23" s="126"/>
      <c r="AL23" s="126" t="s">
        <v>17379</v>
      </c>
      <c r="AM23" s="132" t="s">
        <v>563</v>
      </c>
      <c r="AN23" s="132"/>
      <c r="AO23" s="132"/>
      <c r="AP23" s="132"/>
      <c r="AQ23" s="132"/>
      <c r="AR23" s="132"/>
      <c r="AS23" s="132"/>
      <c r="AT23" s="132"/>
      <c r="AU23" s="276"/>
      <c r="AV23" s="276"/>
    </row>
    <row r="24" spans="1:48" s="334" customFormat="1" ht="13.5" customHeight="1">
      <c r="A24" s="126">
        <v>23</v>
      </c>
      <c r="B24" s="8" t="s">
        <v>46</v>
      </c>
      <c r="C24" s="545" t="s">
        <v>89</v>
      </c>
      <c r="D24" s="546">
        <v>5</v>
      </c>
      <c r="E24" s="546"/>
      <c r="F24" s="545">
        <v>174.12</v>
      </c>
      <c r="G24" s="547">
        <v>164.79</v>
      </c>
      <c r="H24" s="548"/>
      <c r="I24" s="548"/>
      <c r="J24" s="272">
        <f>F24+0.5*G24</f>
        <v>256.51499999999999</v>
      </c>
      <c r="K24" s="272">
        <v>3</v>
      </c>
      <c r="L24" s="272">
        <v>1</v>
      </c>
      <c r="M24" s="126" t="s">
        <v>258</v>
      </c>
      <c r="N24" s="126"/>
      <c r="O24" s="126"/>
      <c r="P24" s="276">
        <v>1650000</v>
      </c>
      <c r="Q24" s="276"/>
      <c r="R24" s="273">
        <f t="shared" si="7"/>
        <v>1632000</v>
      </c>
      <c r="S24" s="273">
        <v>1700000</v>
      </c>
      <c r="T24" s="274">
        <f t="shared" si="0"/>
        <v>2.9411764705882359E-2</v>
      </c>
      <c r="U24" s="592">
        <f t="shared" si="5"/>
        <v>0</v>
      </c>
      <c r="V24" s="275">
        <f t="shared" si="1"/>
        <v>6432.3723758844517</v>
      </c>
      <c r="W24" s="275">
        <f t="shared" si="2"/>
        <v>6362.2010408748029</v>
      </c>
      <c r="X24" s="275">
        <f t="shared" si="3"/>
        <v>6627.2927509112533</v>
      </c>
      <c r="Y24" s="128"/>
      <c r="Z24" s="103">
        <v>45489</v>
      </c>
      <c r="AA24" s="575">
        <v>160000</v>
      </c>
      <c r="AB24" s="575">
        <v>165000</v>
      </c>
      <c r="AC24" s="103">
        <v>45674</v>
      </c>
      <c r="AD24" s="313"/>
      <c r="AE24" s="103"/>
      <c r="AF24" s="575">
        <v>1320000</v>
      </c>
      <c r="AG24" s="126" t="s">
        <v>247</v>
      </c>
      <c r="AH24" s="126"/>
      <c r="AI24" s="126"/>
      <c r="AJ24" s="126"/>
      <c r="AK24" s="126"/>
      <c r="AL24" s="126" t="s">
        <v>17509</v>
      </c>
      <c r="AM24" s="132" t="s">
        <v>265</v>
      </c>
      <c r="AN24" s="132"/>
      <c r="AO24" s="132"/>
      <c r="AP24" s="132"/>
      <c r="AQ24" s="132"/>
      <c r="AR24" s="132"/>
      <c r="AS24" s="132"/>
      <c r="AT24" s="132"/>
      <c r="AU24" s="276"/>
      <c r="AV24" s="276"/>
    </row>
    <row r="25" spans="1:48" s="334" customFormat="1" ht="13.5" customHeight="1">
      <c r="A25" s="126">
        <v>24</v>
      </c>
      <c r="B25" s="8" t="s">
        <v>47</v>
      </c>
      <c r="C25" s="545" t="s">
        <v>89</v>
      </c>
      <c r="D25" s="546">
        <v>5</v>
      </c>
      <c r="E25" s="546"/>
      <c r="F25" s="545">
        <v>128.16</v>
      </c>
      <c r="G25" s="547">
        <f>35.14+38.66</f>
        <v>73.8</v>
      </c>
      <c r="H25" s="548"/>
      <c r="I25" s="548"/>
      <c r="J25" s="272">
        <f>F25+0.5*G25+0.3*H25</f>
        <v>165.06</v>
      </c>
      <c r="K25" s="272">
        <v>3</v>
      </c>
      <c r="L25" s="272">
        <v>1</v>
      </c>
      <c r="M25" s="126" t="s">
        <v>258</v>
      </c>
      <c r="N25" s="126"/>
      <c r="O25" s="126"/>
      <c r="P25" s="276">
        <f>0.97*S25</f>
        <v>892400</v>
      </c>
      <c r="Q25" s="276">
        <v>750000</v>
      </c>
      <c r="R25" s="273">
        <f t="shared" si="7"/>
        <v>883200</v>
      </c>
      <c r="S25" s="273">
        <v>920000</v>
      </c>
      <c r="T25" s="274">
        <f t="shared" si="0"/>
        <v>3.0000000000000027E-2</v>
      </c>
      <c r="U25" s="275">
        <f t="shared" si="5"/>
        <v>4543.8022537259176</v>
      </c>
      <c r="V25" s="275">
        <f t="shared" si="1"/>
        <v>5406.5188416333458</v>
      </c>
      <c r="W25" s="275">
        <f t="shared" si="2"/>
        <v>5350.7815339876406</v>
      </c>
      <c r="X25" s="275">
        <f t="shared" si="3"/>
        <v>5573.7307645704595</v>
      </c>
      <c r="Y25" s="128">
        <v>45867</v>
      </c>
      <c r="Z25" s="103">
        <v>45901</v>
      </c>
      <c r="AA25" s="575">
        <f>5000+84240</f>
        <v>89240</v>
      </c>
      <c r="AB25" s="575"/>
      <c r="AC25" s="103"/>
      <c r="AD25" s="313"/>
      <c r="AE25" s="103"/>
      <c r="AF25" s="575">
        <v>803160</v>
      </c>
      <c r="AG25" s="126" t="s">
        <v>222</v>
      </c>
      <c r="AH25" s="126"/>
      <c r="AI25" s="126"/>
      <c r="AJ25" s="126"/>
      <c r="AK25" s="126"/>
      <c r="AL25" s="132" t="s">
        <v>18067</v>
      </c>
      <c r="AM25" s="132" t="s">
        <v>565</v>
      </c>
      <c r="AN25" s="132"/>
      <c r="AO25" s="132"/>
      <c r="AP25" s="132"/>
      <c r="AQ25" s="132"/>
      <c r="AR25" s="132"/>
      <c r="AS25" s="132"/>
      <c r="AT25" s="132"/>
      <c r="AU25" s="276"/>
      <c r="AV25" s="276"/>
    </row>
    <row r="26" spans="1:48" s="192" customFormat="1" ht="13.5" customHeight="1">
      <c r="A26" s="129">
        <v>25</v>
      </c>
      <c r="B26" s="7" t="s">
        <v>48</v>
      </c>
      <c r="C26" s="576" t="s">
        <v>91</v>
      </c>
      <c r="D26" s="352">
        <v>5</v>
      </c>
      <c r="E26" s="352"/>
      <c r="F26" s="576">
        <v>107.5</v>
      </c>
      <c r="G26" s="353">
        <v>122.61</v>
      </c>
      <c r="H26" s="354"/>
      <c r="I26" s="354"/>
      <c r="J26" s="189">
        <f>F26+0.5*G26+0.3*H26</f>
        <v>168.80500000000001</v>
      </c>
      <c r="K26" s="189">
        <v>3</v>
      </c>
      <c r="L26" s="189">
        <v>1</v>
      </c>
      <c r="M26" s="129"/>
      <c r="N26" s="129"/>
      <c r="O26" s="129"/>
      <c r="P26" s="191"/>
      <c r="Q26" s="191">
        <v>650000</v>
      </c>
      <c r="R26" s="229">
        <f>0.96*S26</f>
        <v>806400</v>
      </c>
      <c r="S26" s="229">
        <v>840000</v>
      </c>
      <c r="T26" s="190">
        <f t="shared" si="0"/>
        <v>1</v>
      </c>
      <c r="U26" s="93">
        <f t="shared" si="5"/>
        <v>3850.5968425105889</v>
      </c>
      <c r="V26" s="93">
        <f t="shared" si="1"/>
        <v>0</v>
      </c>
      <c r="W26" s="93">
        <f t="shared" si="2"/>
        <v>4777.1096827700603</v>
      </c>
      <c r="X26" s="93">
        <f t="shared" si="3"/>
        <v>4976.1559195521459</v>
      </c>
      <c r="Y26" s="35"/>
      <c r="Z26" s="33"/>
      <c r="AA26" s="580"/>
      <c r="AB26" s="580"/>
      <c r="AC26" s="33"/>
      <c r="AD26" s="311"/>
      <c r="AE26" s="33"/>
      <c r="AF26" s="580"/>
      <c r="AG26" s="129"/>
      <c r="AH26" s="129"/>
      <c r="AI26" s="129"/>
      <c r="AJ26" s="129"/>
      <c r="AK26" s="129"/>
      <c r="AL26" s="129"/>
      <c r="AM26" s="36"/>
      <c r="AN26" s="36"/>
      <c r="AO26" s="36"/>
      <c r="AP26" s="36"/>
      <c r="AQ26" s="36"/>
      <c r="AR26" s="36"/>
      <c r="AS26" s="36"/>
      <c r="AT26" s="36"/>
      <c r="AU26" s="191"/>
      <c r="AV26" s="191"/>
    </row>
    <row r="27" spans="1:48" s="192" customFormat="1" ht="13.5" customHeight="1">
      <c r="A27" s="19"/>
      <c r="B27" s="19"/>
      <c r="C27" s="19"/>
      <c r="D27" s="19"/>
      <c r="E27" s="19"/>
      <c r="F27" s="19"/>
      <c r="G27" s="19"/>
      <c r="H27" s="19"/>
      <c r="I27" s="19"/>
      <c r="J27" s="345">
        <f>SUM(J2:J26)</f>
        <v>2864.8729999999996</v>
      </c>
      <c r="K27" s="188"/>
      <c r="L27" s="188"/>
      <c r="M27" s="188"/>
      <c r="N27" s="188"/>
      <c r="O27" s="188"/>
      <c r="P27" s="346"/>
      <c r="Q27" s="346"/>
      <c r="R27" s="346"/>
      <c r="T27" s="346"/>
      <c r="U27" s="348"/>
      <c r="V27" s="345"/>
      <c r="W27" s="346"/>
      <c r="AA27" s="347"/>
      <c r="AB27" s="347"/>
      <c r="AC27" s="346"/>
      <c r="AD27" s="346"/>
      <c r="AE27" s="347"/>
      <c r="AF27" s="348"/>
      <c r="AG27" s="347"/>
      <c r="AH27" s="346"/>
    </row>
    <row r="28" spans="1:48" s="192" customFormat="1" ht="13.5" customHeight="1" thickBot="1">
      <c r="A28" s="19"/>
      <c r="B28" s="19"/>
      <c r="C28" s="19"/>
      <c r="D28" s="19"/>
      <c r="E28" s="19"/>
      <c r="F28" s="19"/>
      <c r="G28" s="19"/>
      <c r="H28" s="19"/>
      <c r="I28" s="19"/>
      <c r="J28" s="188"/>
      <c r="K28" s="188"/>
      <c r="L28" s="188"/>
      <c r="M28" s="188"/>
      <c r="N28" s="188"/>
      <c r="O28" s="188"/>
      <c r="P28" s="346"/>
      <c r="Q28" s="346"/>
      <c r="R28" s="346"/>
      <c r="S28" s="346"/>
      <c r="U28" s="348"/>
      <c r="V28" s="346"/>
      <c r="Z28" s="347"/>
      <c r="AA28" s="347"/>
      <c r="AB28" s="348"/>
      <c r="AC28" s="346"/>
      <c r="AD28" s="346"/>
      <c r="AE28" s="348"/>
      <c r="AF28" s="347"/>
      <c r="AG28" s="348"/>
      <c r="AH28" s="346"/>
    </row>
    <row r="29" spans="1:48" ht="13.5" customHeight="1">
      <c r="A29" s="196"/>
      <c r="B29" s="48"/>
      <c r="C29" s="48" t="s">
        <v>139</v>
      </c>
      <c r="D29" s="48" t="s">
        <v>140</v>
      </c>
      <c r="E29" s="197" t="s">
        <v>17</v>
      </c>
      <c r="F29" s="19"/>
      <c r="G29" s="2016" t="s">
        <v>555</v>
      </c>
      <c r="H29" s="2017"/>
      <c r="J29" s="2018" t="s">
        <v>17315</v>
      </c>
      <c r="K29" s="2018"/>
      <c r="L29" s="2018"/>
      <c r="M29" s="2018"/>
      <c r="N29" s="2018"/>
      <c r="O29" s="2018"/>
      <c r="P29" s="2018"/>
      <c r="Q29" s="2018"/>
      <c r="R29" s="2018"/>
      <c r="S29" s="2018"/>
      <c r="T29" s="2018"/>
      <c r="U29" s="2018"/>
      <c r="V29" s="2018"/>
      <c r="W29" s="2018"/>
    </row>
    <row r="30" spans="1:48" ht="13.5" customHeight="1">
      <c r="A30" s="1996" t="s">
        <v>258</v>
      </c>
      <c r="B30" s="1997"/>
      <c r="C30" s="50">
        <f>COUNTIF(M2:M26,A30)</f>
        <v>18</v>
      </c>
      <c r="D30" s="51">
        <f>SUMIF(M2:M26,A30,P2:P26)</f>
        <v>10808865</v>
      </c>
      <c r="E30" s="76">
        <f>AVERAGEIF(M2:M26,A30,V2:V26)</f>
        <v>5120.560985246444</v>
      </c>
      <c r="F30" s="19"/>
      <c r="G30" s="599">
        <v>2024</v>
      </c>
      <c r="H30" s="227">
        <f>COUNTIFS(Z2:Z26,"&gt;="&amp;DATE(2024,1,1),Z2:Z26,"&lt;="&amp;DATE(2024,12,31))</f>
        <v>14</v>
      </c>
      <c r="J30" s="691" t="s">
        <v>17303</v>
      </c>
      <c r="K30" s="691" t="s">
        <v>17304</v>
      </c>
      <c r="L30" s="692" t="s">
        <v>17305</v>
      </c>
      <c r="M30" s="693" t="s">
        <v>17306</v>
      </c>
      <c r="N30" s="693" t="s">
        <v>17307</v>
      </c>
      <c r="O30" s="693" t="s">
        <v>17308</v>
      </c>
      <c r="P30" s="694" t="s">
        <v>17309</v>
      </c>
      <c r="Q30" s="694"/>
      <c r="R30" s="694" t="s">
        <v>17310</v>
      </c>
      <c r="S30" s="694" t="s">
        <v>17311</v>
      </c>
      <c r="T30" s="694" t="s">
        <v>17312</v>
      </c>
      <c r="U30" s="1607"/>
      <c r="V30" s="694" t="s">
        <v>17313</v>
      </c>
      <c r="W30" s="694" t="s">
        <v>17314</v>
      </c>
    </row>
    <row r="31" spans="1:48" ht="13.5" customHeight="1">
      <c r="A31" s="2002" t="s">
        <v>102</v>
      </c>
      <c r="B31" s="2003"/>
      <c r="C31" s="53">
        <f>COUNTIF(M2:M26,A31)</f>
        <v>0</v>
      </c>
      <c r="D31" s="54">
        <f>SUMIF(M2:M26,A31,R2:R26)</f>
        <v>0</v>
      </c>
      <c r="E31" s="78" t="e">
        <f>AVERAGEIF(M2:M26,A31,W2:W26)</f>
        <v>#DIV/0!</v>
      </c>
      <c r="F31" s="19"/>
      <c r="G31" s="599">
        <v>2025</v>
      </c>
      <c r="H31" s="227">
        <f>COUNTIFS(Z2:Z26,"&gt;="&amp;DATE(2025,1,1),Z2:Z26,"&lt;="&amp;DATE(2025,12,31))</f>
        <v>4</v>
      </c>
      <c r="J31" s="695">
        <f>COUNTIFS(Z2:Z26,"&gt;="&amp;DATE(2024,1,1),Z2:Z26,"&lt;="&amp;DATE(2024,1,31))</f>
        <v>0</v>
      </c>
      <c r="K31" s="695">
        <f>COUNTIFS(Z2:Z26,"&gt;="&amp;DATE(2024,2,1),Z2:Z26,"&lt;="&amp;DATE(2024,2,31))</f>
        <v>1</v>
      </c>
      <c r="L31" s="695">
        <f>COUNTIFS(Z2:Z26,"&gt;="&amp;DATE(2024,3,1),Z2:Z26,"&lt;="&amp;DATE(2024,3,31))</f>
        <v>2</v>
      </c>
      <c r="M31" s="695">
        <f>COUNTIFS(Z2:Z26,"&gt;="&amp;DATE(2024,4,1),Z2:Z26,"&lt;="&amp;DATE(2024,4,31))</f>
        <v>6</v>
      </c>
      <c r="N31" s="695">
        <f>COUNTIFS(Z2:Z26,"&gt;="&amp;DATE(2024,5,1),Z2:Z26,"&lt;="&amp;DATE(2024,5,31))</f>
        <v>0</v>
      </c>
      <c r="O31" s="695">
        <f>COUNTIFS(Z2:Z26,"&gt;="&amp;DATE(2024,6,1),Z2:Z26,"&lt;="&amp;DATE(2024,6,31))</f>
        <v>0</v>
      </c>
      <c r="P31" s="695">
        <f>COUNTIFS(Z2:Z26,"&gt;="&amp;DATE(2024,7,1),Z2:Z26,"&lt;="&amp;DATE(2024,7,31))</f>
        <v>2</v>
      </c>
      <c r="Q31" s="695"/>
      <c r="R31" s="695">
        <f>COUNTIFS(Z2:Z26,"&gt;="&amp;DATE(2024,8,1),Z2:Z26,"&lt;="&amp;DATE(2024,8,31))</f>
        <v>0</v>
      </c>
      <c r="S31" s="695">
        <f>COUNTIFS(Z2:Z26,"&gt;="&amp;DATE(2024,9,1),Z2:Z26,"&lt;="&amp;DATE(2024,9,31))</f>
        <v>2</v>
      </c>
      <c r="T31" s="695">
        <f>COUNTIFS(Z2:Z26,"&gt;="&amp;DATE(2024,10,1),Z2:Z26,"&lt;="&amp;DATE(2024,10,31))</f>
        <v>0</v>
      </c>
      <c r="U31" s="1608"/>
      <c r="V31" s="695">
        <f>COUNTIFS(Z2:Z26,"&gt;="&amp;DATE(2024,11,1),Z2:Z26,"&lt;="&amp;DATE(2024,11,31))</f>
        <v>0</v>
      </c>
      <c r="W31" s="695">
        <f>COUNTIFS(Z2:Z26,"&gt;="&amp;DATE(2024,12,1),Z2:Z26,"&lt;="&amp;DATE(2024,12,31))</f>
        <v>1</v>
      </c>
    </row>
    <row r="32" spans="1:48" ht="13.5" customHeight="1" thickBot="1">
      <c r="A32" s="2008" t="s">
        <v>138</v>
      </c>
      <c r="B32" s="2009"/>
      <c r="C32" s="138">
        <f>COUNTIF(M2:M26,"")</f>
        <v>7</v>
      </c>
      <c r="D32" s="200">
        <f>SUMIF(M2:M26,"",R2:R26)</f>
        <v>3864000</v>
      </c>
      <c r="E32" s="201">
        <f>AVERAGEIF(M2:M26,"",W2:W26)</f>
        <v>4711.9957311226826</v>
      </c>
      <c r="F32" s="19"/>
      <c r="G32" s="600">
        <v>2026</v>
      </c>
      <c r="H32" s="216">
        <f>COUNTIFS(Z2:Z26,"&gt;="&amp;DATE(2026,1,1),Z2:Z26,"&lt;="&amp;DATE(2026,12,31))</f>
        <v>0</v>
      </c>
      <c r="J32" s="2018" t="s">
        <v>17817</v>
      </c>
      <c r="K32" s="2018"/>
      <c r="L32" s="2018"/>
      <c r="M32" s="2018"/>
      <c r="N32" s="2018"/>
      <c r="O32" s="2018"/>
      <c r="P32" s="2018"/>
      <c r="Q32" s="2018"/>
      <c r="R32" s="2018"/>
      <c r="S32" s="2018"/>
      <c r="T32" s="2018"/>
      <c r="U32" s="2018"/>
      <c r="V32" s="2018"/>
      <c r="W32" s="2018"/>
    </row>
    <row r="33" spans="1:79" ht="13.5" customHeight="1" thickBot="1">
      <c r="A33" s="2010" t="s">
        <v>210</v>
      </c>
      <c r="B33" s="2011"/>
      <c r="C33" s="202">
        <f>COUNTIF(M1:M26,A33)</f>
        <v>0</v>
      </c>
      <c r="D33" s="203">
        <f>SUMIF(M2:M26,A33,P2:P26)</f>
        <v>0</v>
      </c>
      <c r="E33" s="204" t="e">
        <f>AVERAGEIF(M2:M26,A33,V2:V26)</f>
        <v>#DIV/0!</v>
      </c>
      <c r="F33" s="19"/>
      <c r="G33" s="357"/>
      <c r="H33" s="198"/>
      <c r="J33" s="691" t="s">
        <v>17303</v>
      </c>
      <c r="K33" s="691" t="s">
        <v>17304</v>
      </c>
      <c r="L33" s="692" t="s">
        <v>17305</v>
      </c>
      <c r="M33" s="693" t="s">
        <v>17306</v>
      </c>
      <c r="N33" s="693" t="s">
        <v>17307</v>
      </c>
      <c r="O33" s="693" t="s">
        <v>17308</v>
      </c>
      <c r="P33" s="694" t="s">
        <v>17309</v>
      </c>
      <c r="Q33" s="694"/>
      <c r="R33" s="694" t="s">
        <v>17310</v>
      </c>
      <c r="S33" s="694" t="s">
        <v>17311</v>
      </c>
      <c r="T33" s="694" t="s">
        <v>17312</v>
      </c>
      <c r="U33" s="1607"/>
      <c r="V33" s="694" t="s">
        <v>17313</v>
      </c>
      <c r="W33" s="694" t="s">
        <v>17314</v>
      </c>
    </row>
    <row r="34" spans="1:79" s="192" customFormat="1" ht="26.25" thickBot="1">
      <c r="A34" s="1895" t="s">
        <v>269</v>
      </c>
      <c r="B34" s="1896"/>
      <c r="C34" s="205">
        <f>SUBTOTAL(9,C30:C33)</f>
        <v>25</v>
      </c>
      <c r="D34" s="206">
        <f>SUBTOTAL(9,D30:D33)</f>
        <v>14672865</v>
      </c>
      <c r="E34" s="207">
        <f>D34/J27</f>
        <v>5121.6458809866972</v>
      </c>
      <c r="F34" s="19"/>
      <c r="G34" s="358" t="s">
        <v>544</v>
      </c>
      <c r="H34" s="309">
        <f>(C30)/C34</f>
        <v>0.72</v>
      </c>
      <c r="I34" s="188"/>
      <c r="J34" s="695">
        <f>COUNTIFS(Z2:Z26,"&gt;="&amp;DATE(2025,1,1),Z2:Z26,"&lt;="&amp;DATE(2025,1,31))</f>
        <v>0</v>
      </c>
      <c r="K34" s="695">
        <f>COUNTIFS(Z5:Z29,"&gt;="&amp;DATE(2025,2,1),Z5:Z29,"&lt;="&amp;DATE(2025,2,28))</f>
        <v>0</v>
      </c>
      <c r="L34" s="695">
        <f>COUNTIFS(Z2:Z26,"&gt;="&amp;DATE(2025,3,1),Z2:Z26,"&lt;="&amp;DATE(2025,3,31))</f>
        <v>1</v>
      </c>
      <c r="M34" s="695">
        <f>COUNTIFS(Z2:Z26,"&gt;="&amp;DATE(2025,4,1),Z2:Z26,"&lt;="&amp;DATE(2025,4,30))</f>
        <v>1</v>
      </c>
      <c r="N34" s="695">
        <f>COUNTIFS(Z2:Z26,"&gt;="&amp;DATE(2025,5,1),Z2:Z26,"&lt;="&amp;DATE(2025,5,31))</f>
        <v>0</v>
      </c>
      <c r="O34" s="695">
        <f>COUNTIFS(Z5:Z29,"&gt;="&amp;DATE(2025,6,1),Z5:Z29,"&lt;="&amp;DATE(2025,6,30))</f>
        <v>0</v>
      </c>
      <c r="P34" s="695">
        <f>COUNTIFS(Z2:Z26,"&gt;="&amp;DATE(2025,7,1),Z2:Z26,"&lt;="&amp;DATE(2025,7,31))</f>
        <v>0</v>
      </c>
      <c r="Q34" s="695"/>
      <c r="R34" s="695">
        <f>COUNTIFS(Z2:Z26,"&gt;="&amp;DATE(2025,8,1),Z2:Z26,"&lt;="&amp;DATE(2025,8,31))</f>
        <v>0</v>
      </c>
      <c r="S34" s="695">
        <f>COUNTIFS(Z5:Z29,"&gt;="&amp;DATE(2025,9,1),Z5:Z29,"&lt;="&amp;DATE(2025,9,30))</f>
        <v>2</v>
      </c>
      <c r="T34" s="695">
        <f>COUNTIFS(Z2:Z26,"&gt;="&amp;DATE(2025,10,1),Z2:Z26,"&lt;="&amp;DATE(2025,10,31))</f>
        <v>0</v>
      </c>
      <c r="U34" s="1608"/>
      <c r="V34" s="695">
        <f>COUNTIFS(Z5:Z29,"&gt;="&amp;DATE(2025,11,1),Z5:Z29,"&lt;="&amp;DATE(2025,11,30))</f>
        <v>0</v>
      </c>
      <c r="W34" s="695">
        <f>COUNTIFS(Z2:Z26,"&gt;="&amp;DATE(2025,12,1),Z2:Z26,"&lt;="&amp;DATE(2025,12,31))</f>
        <v>0</v>
      </c>
      <c r="X34" s="283"/>
      <c r="Y34" s="188"/>
      <c r="Z34" s="283"/>
      <c r="AA34" s="283"/>
      <c r="AB34" s="315"/>
      <c r="AC34" s="195"/>
      <c r="AD34" s="195"/>
      <c r="AE34" s="315"/>
      <c r="AF34" s="1859"/>
      <c r="AG34" s="315"/>
      <c r="AH34" s="195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  <c r="AU34" s="188"/>
      <c r="AV34" s="188"/>
      <c r="AW34" s="188"/>
      <c r="AX34" s="188"/>
      <c r="AY34" s="188"/>
      <c r="AZ34" s="188"/>
      <c r="BA34" s="188"/>
      <c r="BB34" s="188"/>
      <c r="BC34" s="188"/>
      <c r="BD34" s="188"/>
      <c r="BE34" s="188"/>
      <c r="BF34" s="188"/>
      <c r="BG34" s="188"/>
      <c r="BH34" s="188"/>
      <c r="BI34" s="188"/>
      <c r="BJ34" s="188"/>
      <c r="BK34" s="188"/>
      <c r="BL34" s="188"/>
      <c r="BM34" s="188"/>
      <c r="BN34" s="188"/>
      <c r="BO34" s="188"/>
      <c r="BP34" s="188"/>
      <c r="BQ34" s="188"/>
      <c r="BR34" s="188"/>
      <c r="BS34" s="188"/>
      <c r="BT34" s="188"/>
      <c r="BU34" s="188"/>
      <c r="BV34" s="188"/>
      <c r="BW34" s="188"/>
      <c r="BX34" s="188"/>
      <c r="BY34" s="188"/>
      <c r="BZ34" s="188"/>
      <c r="CA34" s="188"/>
    </row>
    <row r="35" spans="1:79" ht="13.5" customHeight="1" thickBot="1">
      <c r="A35" s="198"/>
      <c r="B35" s="198"/>
      <c r="C35" s="198"/>
      <c r="D35" s="198"/>
      <c r="E35" s="198"/>
      <c r="F35" s="198"/>
      <c r="G35" s="357"/>
      <c r="H35" s="198"/>
      <c r="J35" s="1465"/>
      <c r="K35" s="1465"/>
      <c r="L35" s="1465"/>
      <c r="M35" s="1465"/>
      <c r="N35" s="1465"/>
      <c r="O35" s="1465"/>
      <c r="P35" s="1465"/>
      <c r="Q35" s="1465"/>
      <c r="R35" s="1465"/>
      <c r="S35" s="1465"/>
      <c r="T35" s="1465"/>
      <c r="U35" s="1609"/>
      <c r="V35" s="1465"/>
      <c r="W35" s="1465"/>
      <c r="X35" s="283"/>
    </row>
    <row r="36" spans="1:79" ht="13.5" customHeight="1" thickBot="1">
      <c r="A36" s="2006" t="s">
        <v>139</v>
      </c>
      <c r="B36" s="2007"/>
      <c r="C36" s="48" t="s">
        <v>90</v>
      </c>
      <c r="D36" s="48" t="s">
        <v>91</v>
      </c>
      <c r="E36" s="48" t="s">
        <v>89</v>
      </c>
      <c r="F36" s="359" t="s">
        <v>141</v>
      </c>
      <c r="G36" s="198"/>
      <c r="O36" s="195"/>
      <c r="P36" s="188"/>
      <c r="Q36" s="188"/>
      <c r="R36" s="188"/>
      <c r="X36" s="283"/>
      <c r="Y36" s="283"/>
      <c r="Z36" s="315"/>
      <c r="AA36" s="195"/>
      <c r="AB36" s="195"/>
      <c r="AC36" s="315"/>
      <c r="AD36" s="1859"/>
      <c r="AF36" s="195"/>
      <c r="AG36" s="188"/>
      <c r="AH36" s="188"/>
    </row>
    <row r="37" spans="1:79" ht="13.5" customHeight="1" thickBot="1">
      <c r="A37" s="1996" t="s">
        <v>258</v>
      </c>
      <c r="B37" s="1997"/>
      <c r="C37" s="50">
        <f>COUNTIFS(M2:M26,A37,C2:C26,C36)</f>
        <v>5</v>
      </c>
      <c r="D37" s="50">
        <f>COUNTIFS(M2:M26,A37,C2:C26,D36)</f>
        <v>8</v>
      </c>
      <c r="E37" s="50">
        <f>COUNTIFS(M2:M26,A37,C2:C26,E36)</f>
        <v>5</v>
      </c>
      <c r="F37" s="260">
        <f>SUM(C37:E37)</f>
        <v>18</v>
      </c>
      <c r="G37" s="198"/>
      <c r="O37" s="195"/>
      <c r="P37" s="188"/>
      <c r="Q37" s="188"/>
      <c r="R37" s="188"/>
      <c r="X37" s="283"/>
      <c r="Y37" s="283"/>
      <c r="Z37" s="315"/>
      <c r="AA37" s="195"/>
      <c r="AB37" s="195"/>
      <c r="AC37" s="315"/>
      <c r="AD37" s="283"/>
      <c r="AF37" s="195"/>
      <c r="AG37" s="188"/>
      <c r="AH37" s="188"/>
    </row>
    <row r="38" spans="1:79" ht="13.5" customHeight="1" thickBot="1">
      <c r="A38" s="2002" t="s">
        <v>102</v>
      </c>
      <c r="B38" s="2015"/>
      <c r="C38" s="53">
        <f>COUNTIFS(M2:M26,A38,C2:C26,C36)</f>
        <v>0</v>
      </c>
      <c r="D38" s="53">
        <f>COUNTIFS(M2:M26,A38,C2:C26,D36)</f>
        <v>0</v>
      </c>
      <c r="E38" s="53">
        <f>COUNTIFS(M2:M26,A38,C2:C26,E36)</f>
        <v>0</v>
      </c>
      <c r="F38" s="263">
        <f>SUM(C38:E38)</f>
        <v>0</v>
      </c>
      <c r="G38" s="198"/>
      <c r="J38" s="1890" t="s">
        <v>17437</v>
      </c>
      <c r="K38" s="1891"/>
      <c r="L38" s="1891"/>
      <c r="M38" s="1892"/>
      <c r="N38" s="1"/>
      <c r="O38" s="1890" t="s">
        <v>17441</v>
      </c>
      <c r="P38" s="1891"/>
      <c r="Q38" s="1891"/>
      <c r="R38" s="1891"/>
      <c r="S38" s="1892"/>
      <c r="Y38" s="283"/>
      <c r="AA38" s="315"/>
      <c r="AB38" s="195"/>
      <c r="AD38" s="315"/>
      <c r="AE38" s="283"/>
      <c r="AF38" s="315"/>
      <c r="AG38" s="195"/>
      <c r="AH38" s="188"/>
    </row>
    <row r="39" spans="1:79" ht="12.75" customHeight="1" thickBot="1">
      <c r="A39" s="1988" t="s">
        <v>138</v>
      </c>
      <c r="B39" s="1989"/>
      <c r="C39" s="138">
        <f>COUNTIFS(M2:M26,"",C2:C26,C36)</f>
        <v>0</v>
      </c>
      <c r="D39" s="138">
        <f>COUNTIFS(M2:M26,"",C2:C26,D36)</f>
        <v>5</v>
      </c>
      <c r="E39" s="138">
        <f>COUNTIFS(M2:M26,"",C2:C26,E36)</f>
        <v>2</v>
      </c>
      <c r="F39" s="377">
        <f>SUM(C39:E39)</f>
        <v>7</v>
      </c>
      <c r="G39" s="198"/>
      <c r="J39" s="1010"/>
      <c r="K39" s="1011" t="s">
        <v>17438</v>
      </c>
      <c r="L39" s="1011">
        <v>2024</v>
      </c>
      <c r="M39" s="1011" t="s">
        <v>17444</v>
      </c>
      <c r="N39" s="1"/>
      <c r="O39" s="1010"/>
      <c r="P39" s="1011" t="s">
        <v>17438</v>
      </c>
      <c r="Q39" s="1011"/>
      <c r="R39" s="1011">
        <v>2024</v>
      </c>
      <c r="S39" s="1013" t="s">
        <v>17444</v>
      </c>
      <c r="Y39" s="283"/>
      <c r="AA39" s="315"/>
      <c r="AB39" s="195"/>
      <c r="AD39" s="315"/>
      <c r="AE39" s="283"/>
      <c r="AF39" s="315"/>
      <c r="AG39" s="195"/>
      <c r="AH39" s="188"/>
    </row>
    <row r="40" spans="1:79" ht="13.5" customHeight="1" thickBot="1">
      <c r="A40" s="1990" t="s">
        <v>210</v>
      </c>
      <c r="B40" s="1991"/>
      <c r="C40" s="202">
        <f>COUNTIFS(M2:M26,A40,C2:C26,C36)</f>
        <v>0</v>
      </c>
      <c r="D40" s="202">
        <f>COUNTIFS(M2:M26,A40,C2:C26,D36)</f>
        <v>0</v>
      </c>
      <c r="E40" s="202">
        <f>COUNTIFS(M2:M26,A40,C2:C26,E36)</f>
        <v>0</v>
      </c>
      <c r="F40" s="378">
        <f>SUM(C40:E40)</f>
        <v>0</v>
      </c>
      <c r="G40" s="198"/>
      <c r="J40" s="31" t="s">
        <v>17439</v>
      </c>
      <c r="K40" s="129">
        <f>COUNTIFS(M2:M26,M4,AG2:AG26,AG4)</f>
        <v>9</v>
      </c>
      <c r="L40" s="129">
        <f>COUNTIFS(Z2:Z26,"&gt;="&amp;DATE(2024,1,1),Z2:Z26,"&lt;="&amp;DATE(2024,12,31),AG2:AG26,AG4)</f>
        <v>8</v>
      </c>
      <c r="M40" s="343">
        <f>K40/(K40+K41+K42)</f>
        <v>0.5625</v>
      </c>
      <c r="N40" s="1"/>
      <c r="O40" s="34" t="s">
        <v>265</v>
      </c>
      <c r="P40" s="719">
        <f>COUNTIFS($M$2:$M$26,M7,$AM$2:$AM$26,AM7)</f>
        <v>6</v>
      </c>
      <c r="Q40" s="719"/>
      <c r="R40" s="129">
        <f>COUNTIFS(Z2:Z26,"&gt;="&amp;DATE(2024,1,1),Z2:Z26,"&lt;="&amp;DATE(2024,12,31),AM2:AM26,AM4)</f>
        <v>6</v>
      </c>
      <c r="S40" s="1014">
        <f>P40/($P$40+$P$41+$P$42+$P$43+$P$44+$P$45+$P$46)</f>
        <v>0.33333333333333331</v>
      </c>
      <c r="Y40" s="283"/>
      <c r="AA40" s="315"/>
      <c r="AB40" s="195"/>
      <c r="AD40" s="315"/>
      <c r="AE40" s="283"/>
      <c r="AF40" s="315"/>
      <c r="AG40" s="195"/>
      <c r="AH40" s="188"/>
    </row>
    <row r="41" spans="1:79" ht="13.5" customHeight="1" thickBot="1">
      <c r="A41" s="1992" t="s">
        <v>141</v>
      </c>
      <c r="B41" s="1993"/>
      <c r="C41" s="56">
        <f>SUM(C37:C40)</f>
        <v>5</v>
      </c>
      <c r="D41" s="56">
        <f>SUM(D37:D40)</f>
        <v>13</v>
      </c>
      <c r="E41" s="56">
        <f>SUM(E37:E40)</f>
        <v>7</v>
      </c>
      <c r="F41" s="264">
        <f>SUM(F37:F40)</f>
        <v>25</v>
      </c>
      <c r="G41" s="198"/>
      <c r="J41" s="665" t="s">
        <v>17440</v>
      </c>
      <c r="K41" s="129">
        <f>COUNTIFS(M2:M26,M4,AG2:AG26,J41)</f>
        <v>3</v>
      </c>
      <c r="L41" s="129">
        <f>COUNTIFS(Z2:Z26,"&gt;="&amp;DATE(2024,1,1),Z2:Z26,"&lt;="&amp;DATE(2024,12,31),AG2:AG26,J41)</f>
        <v>3</v>
      </c>
      <c r="M41" s="343">
        <f>K41/(K40+K41+K42)</f>
        <v>0.1875</v>
      </c>
      <c r="N41" s="1"/>
      <c r="O41" s="34" t="s">
        <v>517</v>
      </c>
      <c r="P41" s="719">
        <f>COUNTIFS($M$2:$M$26,M7,$AM$2:$AM$26,AM17)</f>
        <v>3</v>
      </c>
      <c r="Q41" s="719"/>
      <c r="R41" s="129">
        <f>COUNTIFS(Z2:Z26,"&gt;="&amp;DATE(2024,1,1),Z2:Z26,"&lt;="&amp;DATE(2024,12,31),AM2:AM26,O41)</f>
        <v>3</v>
      </c>
      <c r="S41" s="1014">
        <f t="shared" ref="S41:S46" si="8">P41/($P$40+$P$41+$P$42+$P$43+$P$44+$P$45+$P$46)</f>
        <v>0.16666666666666666</v>
      </c>
      <c r="Y41" s="283"/>
      <c r="AA41" s="315"/>
      <c r="AB41" s="195"/>
      <c r="AD41" s="315"/>
      <c r="AE41" s="283"/>
      <c r="AF41" s="315"/>
      <c r="AG41" s="195"/>
      <c r="AH41" s="188"/>
    </row>
    <row r="42" spans="1:79" ht="13.5" customHeight="1">
      <c r="A42" s="198"/>
      <c r="B42" s="198"/>
      <c r="C42" s="198"/>
      <c r="D42" s="198"/>
      <c r="E42" s="198"/>
      <c r="F42" s="357"/>
      <c r="G42" s="198"/>
      <c r="J42" s="665" t="s">
        <v>222</v>
      </c>
      <c r="K42" s="129">
        <f>COUNTIFS(M2:M26,M4,AG2:AG26,J42)</f>
        <v>4</v>
      </c>
      <c r="L42" s="129">
        <f>COUNTIFS(Z2:Z26,"&gt;="&amp;DATE(2024,1,1),Z2:Z26,"&lt;="&amp;DATE(2024,12,31),AG2:AG26,J42)</f>
        <v>2</v>
      </c>
      <c r="M42" s="343">
        <f>K42/(K40+K41+K42)</f>
        <v>0.25</v>
      </c>
      <c r="N42" s="1"/>
      <c r="O42" s="34" t="s">
        <v>565</v>
      </c>
      <c r="P42" s="719">
        <f>COUNTIFS($M$2:$M$26,M7,$AM$2:$AM$26,O42)</f>
        <v>4</v>
      </c>
      <c r="Q42" s="719"/>
      <c r="R42" s="129">
        <f>COUNTIFS(Z2:Z26,"&gt;="&amp;DATE(2024,1,1),Z2:Z26,"&lt;="&amp;DATE(2024,12,31),AM2:AM26,O42)</f>
        <v>2</v>
      </c>
      <c r="S42" s="1014">
        <f t="shared" si="8"/>
        <v>0.22222222222222221</v>
      </c>
      <c r="Y42" s="283"/>
      <c r="AA42" s="315"/>
      <c r="AB42" s="195"/>
      <c r="AD42" s="315"/>
      <c r="AE42" s="283"/>
      <c r="AF42" s="315"/>
      <c r="AG42" s="195"/>
      <c r="AH42" s="315"/>
    </row>
    <row r="43" spans="1:79" ht="13.5" customHeight="1" thickBot="1">
      <c r="A43" s="198"/>
      <c r="B43" s="198"/>
      <c r="C43" s="198"/>
      <c r="D43" s="198"/>
      <c r="E43" s="198"/>
      <c r="F43" s="332"/>
      <c r="G43" s="198"/>
      <c r="N43" s="195"/>
      <c r="O43" s="22" t="s">
        <v>563</v>
      </c>
      <c r="P43" s="364">
        <f>COUNTIFS($M$2:$M$26,M7,$AM$2:$AM$26,O43)</f>
        <v>4</v>
      </c>
      <c r="Q43" s="364"/>
      <c r="R43" s="5">
        <f>COUNTIFS(Z2:Z26,"&gt;="&amp;DATE(2024,1,1),Z2:Z26,"&lt;="&amp;DATE(2024,12,31),AM2:AM26,O43)</f>
        <v>2</v>
      </c>
      <c r="S43" s="1014">
        <f t="shared" si="8"/>
        <v>0.22222222222222221</v>
      </c>
      <c r="Y43" s="283"/>
      <c r="AA43" s="315"/>
      <c r="AB43" s="195"/>
      <c r="AD43" s="315"/>
      <c r="AE43" s="283"/>
      <c r="AF43" s="315"/>
      <c r="AG43" s="195"/>
      <c r="AH43" s="315"/>
    </row>
    <row r="44" spans="1:79" ht="13.5" customHeight="1">
      <c r="A44" s="1994" t="s">
        <v>142</v>
      </c>
      <c r="B44" s="1995"/>
      <c r="C44" s="48" t="s">
        <v>90</v>
      </c>
      <c r="D44" s="48" t="s">
        <v>91</v>
      </c>
      <c r="E44" s="48" t="s">
        <v>89</v>
      </c>
      <c r="F44" s="359" t="s">
        <v>141</v>
      </c>
      <c r="G44" s="198"/>
      <c r="N44" s="195"/>
      <c r="O44" s="130" t="s">
        <v>17200</v>
      </c>
      <c r="P44" s="364">
        <f>COUNTIFS($M$2:$M$26,M7,$AM$2:$AM$26,O44)</f>
        <v>0</v>
      </c>
      <c r="Q44" s="364"/>
      <c r="R44" s="5">
        <f>COUNTIFS(Z2:Z26,"&gt;="&amp;DATE(2024,1,1),Z2:Z26,"&lt;="&amp;DATE(2024,12,31),AM2:AM26,O44)</f>
        <v>0</v>
      </c>
      <c r="S44" s="1014">
        <f t="shared" si="8"/>
        <v>0</v>
      </c>
      <c r="Y44" s="283"/>
      <c r="AA44" s="315"/>
      <c r="AB44" s="195"/>
      <c r="AD44" s="315"/>
      <c r="AE44" s="283"/>
      <c r="AF44" s="315"/>
      <c r="AG44" s="195"/>
      <c r="AH44" s="315"/>
    </row>
    <row r="45" spans="1:79" ht="13.5" customHeight="1">
      <c r="A45" s="1996" t="s">
        <v>258</v>
      </c>
      <c r="B45" s="1997"/>
      <c r="C45" s="51">
        <f>AVERAGEIFS(V2:V26,M2:M26,A45,C2:C26,C44)</f>
        <v>4877.4700800266528</v>
      </c>
      <c r="D45" s="51">
        <f>AVERAGEIFS(V2:V26,M2:M26,A45,C2:C26,D44)</f>
        <v>4960.4680258959552</v>
      </c>
      <c r="E45" s="51">
        <f>AVERAGEIFS(V2:V26,M2:M26,A45,C2:C26,E44)</f>
        <v>5619.8006254270176</v>
      </c>
      <c r="F45" s="360">
        <f>AVERAGEIF(M2:M26,A45,V2:V26)</f>
        <v>5120.560985246444</v>
      </c>
      <c r="G45" s="198"/>
      <c r="J45" s="188">
        <f>D32/C32</f>
        <v>552000</v>
      </c>
      <c r="O45" s="5" t="s">
        <v>17777</v>
      </c>
      <c r="P45" s="364">
        <f>COUNTIFS($M$2:$M$26,M7,$AM$2:$AM$26,O45)</f>
        <v>1</v>
      </c>
      <c r="Q45" s="364"/>
      <c r="R45" s="5">
        <f>COUNTIFS(Z2:Z26,"&gt;="&amp;DATE(2024,1,1),Z2:Z26,"&lt;="&amp;DATE(2024,12,31),AM2:AM26,O45)</f>
        <v>1</v>
      </c>
      <c r="S45" s="1014">
        <f t="shared" si="8"/>
        <v>5.5555555555555552E-2</v>
      </c>
      <c r="Y45" s="283"/>
      <c r="AA45" s="315"/>
      <c r="AB45" s="195"/>
      <c r="AD45" s="315"/>
      <c r="AE45" s="283"/>
      <c r="AF45" s="315"/>
      <c r="AG45" s="195"/>
      <c r="AH45" s="188"/>
    </row>
    <row r="46" spans="1:79" ht="13.5" customHeight="1">
      <c r="A46" s="2002" t="s">
        <v>102</v>
      </c>
      <c r="B46" s="2003"/>
      <c r="C46" s="54" t="e">
        <f>AVERAGEIFS(W2:W26,M2:M26,A46,C2:C26,C44)</f>
        <v>#DIV/0!</v>
      </c>
      <c r="D46" s="54" t="e">
        <f>AVERAGEIFS(W2:W26,M2:M26,A46,C2:C26,D44)</f>
        <v>#DIV/0!</v>
      </c>
      <c r="E46" s="54" t="e">
        <f>AVERAGEIFS(W2:W26,M2:M26,A46,C2:C26,E44)</f>
        <v>#DIV/0!</v>
      </c>
      <c r="F46" s="361" t="e">
        <f>AVERAGEIF(M2:M26,A46,W2:W26)</f>
        <v>#DIV/0!</v>
      </c>
      <c r="G46" s="198"/>
      <c r="J46" s="188">
        <f>J45*0.96</f>
        <v>529920</v>
      </c>
      <c r="O46" s="5" t="s">
        <v>17421</v>
      </c>
      <c r="P46" s="364">
        <f>COUNTIFS($M$2:$M$26,M7,$AM$2:$AM$26,O46)</f>
        <v>0</v>
      </c>
      <c r="Q46" s="364"/>
      <c r="R46" s="5">
        <f>COUNTIFS(Z2:Z26,"&gt;="&amp;DATE(2024,1,1),Z2:Z26,"&lt;="&amp;DATE(2024,12,31),AM2:AM26,O46)</f>
        <v>0</v>
      </c>
      <c r="S46" s="1014">
        <f t="shared" si="8"/>
        <v>0</v>
      </c>
      <c r="Y46" s="283"/>
      <c r="AA46" s="315"/>
      <c r="AB46" s="195"/>
      <c r="AD46" s="315"/>
      <c r="AE46" s="283"/>
      <c r="AF46" s="315"/>
      <c r="AG46" s="195"/>
      <c r="AH46" s="188"/>
    </row>
    <row r="47" spans="1:79" ht="13.5" customHeight="1">
      <c r="A47" s="2004" t="s">
        <v>138</v>
      </c>
      <c r="B47" s="2005"/>
      <c r="C47" s="80" t="e">
        <f>AVERAGEIFS(W2:W26,M2:M26,"",C2:C26,C44)</f>
        <v>#DIV/0!</v>
      </c>
      <c r="D47" s="80">
        <f>AVERAGEIFS(W2:W26,M2:M26,"",C2:C26,D44)</f>
        <v>4719.4416415936621</v>
      </c>
      <c r="E47" s="80">
        <f>AVERAGEIFS(W2:W26,M2:M26,"",C2:C26,E44)</f>
        <v>4693.3809549452344</v>
      </c>
      <c r="F47" s="81">
        <f>AVERAGEIF(M2:M26,"",W2:W26)</f>
        <v>4711.9957311226826</v>
      </c>
      <c r="G47" s="198"/>
      <c r="O47" s="195"/>
      <c r="P47" s="188"/>
      <c r="Q47" s="188"/>
      <c r="R47" s="188"/>
      <c r="Y47" s="283"/>
      <c r="AA47" s="315"/>
      <c r="AB47" s="195"/>
      <c r="AD47" s="315"/>
      <c r="AE47" s="283"/>
      <c r="AF47" s="315"/>
      <c r="AG47" s="195"/>
      <c r="AH47" s="188"/>
    </row>
    <row r="48" spans="1:79" ht="13.5" customHeight="1" thickBot="1">
      <c r="A48" s="2000" t="s">
        <v>210</v>
      </c>
      <c r="B48" s="2001"/>
      <c r="C48" s="60" t="e">
        <f>AVERAGEIFS(V2:V26,M2:M26,A48,C2:C26,C44)</f>
        <v>#DIV/0!</v>
      </c>
      <c r="D48" s="60" t="e">
        <f>AVERAGEIFS(V2:V26,M2:M26,A48,C2:C26,D44)</f>
        <v>#DIV/0!</v>
      </c>
      <c r="E48" s="60" t="e">
        <f>AVERAGEIFS(V2:V26,M2:M26,A48,C2:C26,E44)</f>
        <v>#DIV/0!</v>
      </c>
      <c r="F48" s="363" t="e">
        <f>AVERAGEIF(M2:M26,A48,V2:V26)</f>
        <v>#DIV/0!</v>
      </c>
      <c r="G48" s="198"/>
      <c r="O48" s="195"/>
      <c r="P48" s="188"/>
      <c r="Q48" s="188"/>
      <c r="R48" s="188"/>
      <c r="Y48" s="283"/>
      <c r="AA48" s="315"/>
      <c r="AB48" s="195"/>
      <c r="AD48" s="315"/>
      <c r="AE48" s="283"/>
      <c r="AF48" s="315"/>
      <c r="AG48" s="195"/>
      <c r="AH48" s="188"/>
    </row>
    <row r="49" spans="1:34" ht="13.5" customHeight="1" thickBot="1">
      <c r="F49" s="332"/>
      <c r="G49" s="198"/>
      <c r="O49" s="195"/>
      <c r="P49" s="188"/>
      <c r="Q49" s="188"/>
      <c r="R49" s="188"/>
      <c r="Y49" s="283"/>
      <c r="AA49" s="315"/>
      <c r="AB49" s="195"/>
      <c r="AD49" s="315"/>
      <c r="AE49" s="283"/>
      <c r="AF49" s="315"/>
      <c r="AG49" s="195"/>
      <c r="AH49" s="188"/>
    </row>
    <row r="50" spans="1:34" ht="13.5" customHeight="1">
      <c r="A50" s="1994" t="s">
        <v>192</v>
      </c>
      <c r="B50" s="1995"/>
      <c r="C50" s="48" t="s">
        <v>90</v>
      </c>
      <c r="D50" s="48" t="s">
        <v>91</v>
      </c>
      <c r="E50" s="48" t="s">
        <v>89</v>
      </c>
      <c r="F50" s="359" t="s">
        <v>141</v>
      </c>
      <c r="G50" s="198"/>
      <c r="O50" s="195"/>
      <c r="P50" s="188"/>
      <c r="Q50" s="188"/>
      <c r="R50" s="188"/>
      <c r="Y50" s="283"/>
      <c r="AA50" s="315"/>
      <c r="AB50" s="195"/>
      <c r="AD50" s="315"/>
      <c r="AE50" s="283"/>
      <c r="AF50" s="315"/>
      <c r="AG50" s="195"/>
      <c r="AH50" s="188"/>
    </row>
    <row r="51" spans="1:34" ht="13.5" customHeight="1">
      <c r="A51" s="1996" t="s">
        <v>258</v>
      </c>
      <c r="B51" s="1997"/>
      <c r="C51" s="51">
        <f>AVERAGEIFS(P2:P26,M2:M26,A51,C2:C26,C50)</f>
        <v>301935</v>
      </c>
      <c r="D51" s="51">
        <f>AVERAGEIFS(P2:P26,M2:M26,A51,C2:C26,D50)</f>
        <v>512568.75</v>
      </c>
      <c r="E51" s="51">
        <f>AVERAGEIFS(P2:P26,M2:M26,A51,C2:C26,E50)</f>
        <v>1039728</v>
      </c>
      <c r="F51" s="76">
        <f>AVERAGEIF(M2:M26,A51,P2:P26)</f>
        <v>600492.5</v>
      </c>
      <c r="G51" s="198"/>
      <c r="O51" s="195"/>
      <c r="P51" s="188"/>
      <c r="Q51" s="188"/>
      <c r="R51" s="188"/>
      <c r="Y51" s="283"/>
      <c r="AA51" s="315"/>
      <c r="AB51" s="195"/>
      <c r="AD51" s="315"/>
      <c r="AE51" s="283"/>
      <c r="AF51" s="315"/>
      <c r="AG51" s="195"/>
      <c r="AH51" s="188"/>
    </row>
    <row r="52" spans="1:34" ht="13.5" customHeight="1">
      <c r="A52" s="2002" t="s">
        <v>102</v>
      </c>
      <c r="B52" s="2003"/>
      <c r="C52" s="54" t="e">
        <f>AVERAGEIFS(P2:P26,M2:M26,A52,C2:C26,C50)</f>
        <v>#DIV/0!</v>
      </c>
      <c r="D52" s="54" t="e">
        <f>AVERAGEIFS(P2:P26,M2:M26,A52,C2:C26,D50)</f>
        <v>#DIV/0!</v>
      </c>
      <c r="E52" s="54" t="e">
        <f>AVERAGEIFS(P2:P26,M2:M26,A52,C2:C26,E50)</f>
        <v>#DIV/0!</v>
      </c>
      <c r="F52" s="361" t="e">
        <f>AVERAGEIF(M2:M26,A52,P2:P26)</f>
        <v>#DIV/0!</v>
      </c>
      <c r="G52" s="198"/>
      <c r="O52" s="195"/>
      <c r="P52" s="188"/>
      <c r="Q52" s="188"/>
      <c r="R52" s="188"/>
      <c r="Y52" s="283"/>
      <c r="AA52" s="315"/>
      <c r="AB52" s="195"/>
      <c r="AD52" s="315"/>
      <c r="AE52" s="283"/>
      <c r="AF52" s="315"/>
      <c r="AG52" s="195"/>
      <c r="AH52" s="188"/>
    </row>
    <row r="53" spans="1:34" ht="13.5" customHeight="1" thickBot="1">
      <c r="A53" s="1998" t="s">
        <v>138</v>
      </c>
      <c r="B53" s="1999"/>
      <c r="C53" s="85" t="e">
        <f>AVERAGEIFS(R2:R26,M2:M26,"",C2:C26,C50)</f>
        <v>#DIV/0!</v>
      </c>
      <c r="D53" s="85">
        <f>AVERAGEIFS(R2:R26,M2:M26,"",C2:C26,D50)</f>
        <v>552000</v>
      </c>
      <c r="E53" s="85">
        <f>AVERAGEIFS(R2:R26,M2:M26,"",C2:C26,E50)</f>
        <v>552000</v>
      </c>
      <c r="F53" s="362">
        <f>AVERAGEIF(M2:M26,"",R2:R26)</f>
        <v>552000</v>
      </c>
      <c r="G53" s="198"/>
      <c r="O53" s="195"/>
      <c r="P53" s="188"/>
      <c r="Q53" s="188"/>
      <c r="R53" s="188"/>
      <c r="Y53" s="283"/>
      <c r="AA53" s="315"/>
      <c r="AB53" s="195"/>
      <c r="AD53" s="315"/>
      <c r="AE53" s="283"/>
      <c r="AF53" s="315"/>
      <c r="AG53" s="195"/>
      <c r="AH53" s="188"/>
    </row>
    <row r="54" spans="1:34" ht="13.5" customHeight="1" thickBot="1">
      <c r="A54" s="2000" t="s">
        <v>210</v>
      </c>
      <c r="B54" s="2001"/>
      <c r="C54" s="60" t="e">
        <f>AVERAGEIFS(P2:P26,M2:M26,A54,C2:C26,C50)</f>
        <v>#DIV/0!</v>
      </c>
      <c r="D54" s="60" t="e">
        <f>AVERAGEIFS(P2:P26,M2:M26,A54,C2:C26,D50)</f>
        <v>#DIV/0!</v>
      </c>
      <c r="E54" s="60" t="e">
        <f>AVERAGEIFS(P2:P26,M2:M26,A54,C2:C26,E50)</f>
        <v>#DIV/0!</v>
      </c>
      <c r="F54" s="363" t="e">
        <f>AVERAGEIF(M2:M26,"",P2:P26)</f>
        <v>#DIV/0!</v>
      </c>
      <c r="G54" s="198"/>
      <c r="O54" s="195"/>
      <c r="P54" s="188"/>
      <c r="Q54" s="188"/>
      <c r="R54" s="188"/>
      <c r="Y54" s="283"/>
      <c r="AA54" s="315"/>
      <c r="AB54" s="195"/>
      <c r="AD54" s="315"/>
      <c r="AE54" s="283"/>
      <c r="AF54" s="315"/>
      <c r="AG54" s="195"/>
      <c r="AH54" s="188"/>
    </row>
    <row r="55" spans="1:34" ht="13.5" customHeight="1" thickBot="1">
      <c r="F55" s="332"/>
      <c r="G55" s="198"/>
      <c r="O55" s="195"/>
      <c r="P55" s="188"/>
      <c r="Q55" s="188"/>
      <c r="R55" s="188"/>
      <c r="Y55" s="283"/>
      <c r="AA55" s="315"/>
      <c r="AB55" s="195"/>
      <c r="AD55" s="315"/>
      <c r="AE55" s="283"/>
      <c r="AF55" s="315"/>
      <c r="AG55" s="195"/>
      <c r="AH55" s="188"/>
    </row>
    <row r="56" spans="1:34" ht="13.5" customHeight="1">
      <c r="A56" s="1994" t="s">
        <v>234</v>
      </c>
      <c r="B56" s="1995"/>
      <c r="C56" s="48" t="s">
        <v>90</v>
      </c>
      <c r="D56" s="48" t="s">
        <v>91</v>
      </c>
      <c r="E56" s="48" t="s">
        <v>89</v>
      </c>
      <c r="F56" s="359" t="s">
        <v>141</v>
      </c>
      <c r="G56" s="198"/>
      <c r="O56" s="195"/>
      <c r="P56" s="188"/>
      <c r="Q56" s="188"/>
      <c r="R56" s="188"/>
      <c r="Y56" s="283"/>
      <c r="AA56" s="315"/>
      <c r="AB56" s="195"/>
      <c r="AD56" s="315"/>
      <c r="AE56" s="283"/>
      <c r="AF56" s="315"/>
      <c r="AG56" s="195"/>
      <c r="AH56" s="188"/>
    </row>
    <row r="57" spans="1:34" ht="13.5" customHeight="1">
      <c r="A57" s="1996" t="s">
        <v>258</v>
      </c>
      <c r="B57" s="1997"/>
      <c r="C57" s="258">
        <f>AVERAGEIFS(J2:J26,C2:C26,C56,M2:M26,A57)</f>
        <v>61.923000000000002</v>
      </c>
      <c r="D57" s="258">
        <f>AVERAGEIFS(J2:J26,C2:C26,D56,M2:M26,A57)</f>
        <v>103.01475000000001</v>
      </c>
      <c r="E57" s="258">
        <f>AVERAGEIFS(J2:J26,C2:C26,E56,M2:M26,A57)</f>
        <v>182.33099999999999</v>
      </c>
      <c r="F57" s="360">
        <f>AVERAGEIF(M2:M26,A57,J2:J26)</f>
        <v>113.63266666666667</v>
      </c>
      <c r="G57" s="198"/>
      <c r="O57" s="195"/>
      <c r="P57" s="188"/>
      <c r="Q57" s="188"/>
      <c r="R57" s="188"/>
      <c r="Y57" s="283"/>
      <c r="AA57" s="315"/>
      <c r="AB57" s="195"/>
      <c r="AD57" s="315"/>
      <c r="AE57" s="283"/>
      <c r="AF57" s="315"/>
      <c r="AG57" s="195"/>
      <c r="AH57" s="188"/>
    </row>
    <row r="58" spans="1:34" ht="13.5" customHeight="1">
      <c r="A58" s="2002" t="s">
        <v>102</v>
      </c>
      <c r="B58" s="2003"/>
      <c r="C58" s="261" t="e">
        <f>AVERAGEIFS(J2:J26,C2:C26,C56,M2:M26,A58)</f>
        <v>#DIV/0!</v>
      </c>
      <c r="D58" s="261" t="e">
        <f>AVERAGEIFS(J2:J26,C2:C26,D56,M2:M26,A58)</f>
        <v>#DIV/0!</v>
      </c>
      <c r="E58" s="261" t="e">
        <f>AVERAGEIFS(J2:J26,C2:C26,E56,M2:M26,A58)</f>
        <v>#DIV/0!</v>
      </c>
      <c r="F58" s="361" t="e">
        <f>AVERAGEIF(M2:M26,A58,J2:J26)</f>
        <v>#DIV/0!</v>
      </c>
      <c r="G58" s="198"/>
      <c r="O58" s="195"/>
      <c r="P58" s="188"/>
      <c r="Q58" s="188"/>
      <c r="R58" s="188"/>
      <c r="Y58" s="283"/>
      <c r="AA58" s="315"/>
      <c r="AB58" s="195"/>
      <c r="AD58" s="315"/>
      <c r="AE58" s="283"/>
      <c r="AF58" s="315"/>
      <c r="AG58" s="195"/>
      <c r="AH58" s="188"/>
    </row>
    <row r="59" spans="1:34" ht="13.5" customHeight="1" thickBot="1">
      <c r="A59" s="1998" t="s">
        <v>138</v>
      </c>
      <c r="B59" s="1999"/>
      <c r="C59" s="221" t="e">
        <f>AVERAGEIFS(J2:J26,C2:C26,C56,M2:M26,"")</f>
        <v>#DIV/0!</v>
      </c>
      <c r="D59" s="221">
        <f>AVERAGEIFS(J2:J26,C2:C26,D56,M2:M26,"")</f>
        <v>116.84499999999998</v>
      </c>
      <c r="E59" s="221">
        <f>AVERAGEIFS(J2:J26,C2:C26,E56,M2:M26,"")</f>
        <v>117.63</v>
      </c>
      <c r="F59" s="362">
        <f>AVERAGEIF(M2:M26,"",J2:J26)</f>
        <v>117.0692857142857</v>
      </c>
      <c r="G59" s="198"/>
      <c r="Y59" s="283"/>
      <c r="AA59" s="315"/>
      <c r="AB59" s="195"/>
      <c r="AD59" s="315"/>
      <c r="AE59" s="283"/>
      <c r="AF59" s="315"/>
      <c r="AG59" s="195"/>
      <c r="AH59" s="188"/>
    </row>
    <row r="60" spans="1:34" ht="13.5" customHeight="1" thickBot="1">
      <c r="A60" s="2000" t="s">
        <v>210</v>
      </c>
      <c r="B60" s="2001"/>
      <c r="C60" s="265" t="e">
        <f>AVERAGEIFS(J2:J26,C2:C26,C56,M2:M26,A60)</f>
        <v>#DIV/0!</v>
      </c>
      <c r="D60" s="265" t="e">
        <f>AVERAGEIFS(P14:P37,M14:M37,A60,C14:C39,D56)</f>
        <v>#VALUE!</v>
      </c>
      <c r="E60" s="265" t="e">
        <f>AVERAGEIFS(P14:P37,M14:M37,A60,C14:C39,E56)</f>
        <v>#VALUE!</v>
      </c>
      <c r="F60" s="363" t="e">
        <f>AVERAGEIF(M2:M26,A60,J2:J26)</f>
        <v>#DIV/0!</v>
      </c>
      <c r="G60" s="198"/>
      <c r="Y60" s="283"/>
      <c r="AA60" s="315"/>
      <c r="AB60" s="195"/>
      <c r="AD60" s="315"/>
      <c r="AE60" s="283"/>
      <c r="AF60" s="315"/>
      <c r="AG60" s="195"/>
      <c r="AH60" s="188"/>
    </row>
  </sheetData>
  <sheetProtection selectLockedCells="1" selectUnlockedCells="1"/>
  <autoFilter ref="A1:CA27" xr:uid="{E1185951-E5E8-4833-8E2E-1FA5A2BBA74F}"/>
  <mergeCells count="31">
    <mergeCell ref="J32:W32"/>
    <mergeCell ref="A48:B48"/>
    <mergeCell ref="A34:B34"/>
    <mergeCell ref="G29:H29"/>
    <mergeCell ref="A30:B30"/>
    <mergeCell ref="A31:B31"/>
    <mergeCell ref="A32:B32"/>
    <mergeCell ref="A33:B33"/>
    <mergeCell ref="J38:M38"/>
    <mergeCell ref="O38:S38"/>
    <mergeCell ref="J29:W29"/>
    <mergeCell ref="A36:B36"/>
    <mergeCell ref="A37:B37"/>
    <mergeCell ref="A38:B38"/>
    <mergeCell ref="A60:B60"/>
    <mergeCell ref="A51:B51"/>
    <mergeCell ref="A52:B52"/>
    <mergeCell ref="A53:B53"/>
    <mergeCell ref="A54:B54"/>
    <mergeCell ref="A56:B56"/>
    <mergeCell ref="A57:B57"/>
    <mergeCell ref="A58:B58"/>
    <mergeCell ref="A59:B59"/>
    <mergeCell ref="A50:B50"/>
    <mergeCell ref="A39:B39"/>
    <mergeCell ref="A40:B40"/>
    <mergeCell ref="A41:B41"/>
    <mergeCell ref="A44:B44"/>
    <mergeCell ref="A45:B45"/>
    <mergeCell ref="A46:B46"/>
    <mergeCell ref="A47:B47"/>
  </mergeCells>
  <conditionalFormatting sqref="Y1:Y26 AA27:AA35 Y36:Y37 Z38:Z60 AA61:AA1048576">
    <cfRule type="cellIs" dxfId="12" priority="1" operator="lessThan">
      <formula>TODAY()-15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46BE-50A3-4D60-BE73-9D0A3DB5E038}">
  <sheetPr>
    <tabColor rgb="FF0070C0"/>
  </sheetPr>
  <dimension ref="A1:BV83"/>
  <sheetViews>
    <sheetView zoomScaleNormal="100" workbookViewId="0">
      <pane xSplit="2" topLeftCell="Y1" activePane="topRight" state="frozen"/>
      <selection activeCell="A13" sqref="A13"/>
      <selection pane="topRight" activeCell="AA22" sqref="AA22"/>
    </sheetView>
  </sheetViews>
  <sheetFormatPr defaultColWidth="9.140625" defaultRowHeight="12.75"/>
  <cols>
    <col min="1" max="2" width="9.140625" style="1"/>
    <col min="3" max="3" width="11.7109375" style="1" customWidth="1"/>
    <col min="4" max="4" width="12.42578125" style="1" customWidth="1"/>
    <col min="5" max="6" width="11.7109375" style="1" customWidth="1"/>
    <col min="7" max="7" width="12.5703125" style="1" customWidth="1"/>
    <col min="8" max="8" width="9.140625" style="1" customWidth="1"/>
    <col min="9" max="9" width="12" style="1" customWidth="1"/>
    <col min="10" max="10" width="15.7109375" style="124" customWidth="1"/>
    <col min="11" max="11" width="12.7109375" style="1" customWidth="1"/>
    <col min="12" max="12" width="11.7109375" style="1" customWidth="1"/>
    <col min="13" max="13" width="11.42578125" style="1" customWidth="1"/>
    <col min="14" max="14" width="8.28515625" style="1" customWidth="1"/>
    <col min="15" max="15" width="6.42578125" style="1" customWidth="1"/>
    <col min="16" max="16" width="9.85546875" style="1" customWidth="1"/>
    <col min="17" max="17" width="12.7109375" style="304" customWidth="1"/>
    <col min="18" max="18" width="12.7109375" style="304" hidden="1" customWidth="1"/>
    <col min="19" max="19" width="11.42578125" style="1" customWidth="1"/>
    <col min="20" max="20" width="14.28515625" style="1" customWidth="1"/>
    <col min="21" max="21" width="9.140625" style="1" customWidth="1"/>
    <col min="22" max="22" width="9.42578125" style="1" customWidth="1"/>
    <col min="23" max="25" width="10.5703125" style="1" customWidth="1"/>
    <col min="26" max="26" width="10.5703125" style="553" customWidth="1"/>
    <col min="27" max="27" width="11.140625" style="553" customWidth="1"/>
    <col min="28" max="29" width="11.140625" style="329" customWidth="1"/>
    <col min="30" max="30" width="14.140625" style="1" customWidth="1"/>
    <col min="31" max="31" width="11.140625" style="329" customWidth="1"/>
    <col min="32" max="32" width="11.140625" style="1" customWidth="1"/>
    <col min="33" max="33" width="11.140625" style="329" customWidth="1"/>
    <col min="34" max="34" width="12.42578125" style="1" customWidth="1"/>
    <col min="35" max="35" width="12.42578125" style="1" hidden="1" customWidth="1"/>
    <col min="36" max="40" width="15.5703125" style="1" hidden="1" customWidth="1"/>
    <col min="41" max="41" width="52.7109375" style="125" bestFit="1" customWidth="1"/>
    <col min="42" max="43" width="11.7109375" style="125" customWidth="1"/>
    <col min="44" max="44" width="46.85546875" style="125" customWidth="1"/>
    <col min="45" max="45" width="11.7109375" style="125" customWidth="1"/>
    <col min="46" max="47" width="11.7109375" style="1" customWidth="1"/>
    <col min="48" max="48" width="17.7109375" style="304" customWidth="1"/>
    <col min="49" max="49" width="18" style="304" customWidth="1"/>
    <col min="50" max="16384" width="9.140625" style="1"/>
  </cols>
  <sheetData>
    <row r="1" spans="1:74" ht="26.25" thickBot="1">
      <c r="A1" s="6" t="s">
        <v>23</v>
      </c>
      <c r="B1" s="6" t="s">
        <v>5</v>
      </c>
      <c r="C1" s="6" t="s">
        <v>1</v>
      </c>
      <c r="D1" s="20" t="s">
        <v>0</v>
      </c>
      <c r="E1" s="20" t="s">
        <v>3</v>
      </c>
      <c r="F1" s="6" t="s">
        <v>6</v>
      </c>
      <c r="G1" s="6" t="s">
        <v>2</v>
      </c>
      <c r="H1" s="6" t="s">
        <v>212</v>
      </c>
      <c r="I1" s="6" t="s">
        <v>7</v>
      </c>
      <c r="J1" s="120" t="s">
        <v>11</v>
      </c>
      <c r="K1" s="6" t="s">
        <v>17330</v>
      </c>
      <c r="L1" s="6" t="s">
        <v>17323</v>
      </c>
      <c r="M1" s="6" t="s">
        <v>17324</v>
      </c>
      <c r="N1" s="6" t="s">
        <v>22</v>
      </c>
      <c r="O1" s="6"/>
      <c r="P1" s="6" t="s">
        <v>12</v>
      </c>
      <c r="Q1" s="21" t="s">
        <v>221</v>
      </c>
      <c r="R1" s="21" t="s">
        <v>17920</v>
      </c>
      <c r="S1" s="6" t="s">
        <v>17259</v>
      </c>
      <c r="T1" s="21" t="s">
        <v>17260</v>
      </c>
      <c r="U1" s="6" t="s">
        <v>16</v>
      </c>
      <c r="V1" s="6" t="s">
        <v>227</v>
      </c>
      <c r="W1" s="6" t="s">
        <v>550</v>
      </c>
      <c r="X1" s="6" t="s">
        <v>228</v>
      </c>
      <c r="Y1" s="6" t="s">
        <v>214</v>
      </c>
      <c r="Z1" s="281" t="s">
        <v>300</v>
      </c>
      <c r="AA1" s="281" t="s">
        <v>4</v>
      </c>
      <c r="AB1" s="310" t="s">
        <v>545</v>
      </c>
      <c r="AC1" s="310" t="s">
        <v>546</v>
      </c>
      <c r="AD1" s="281" t="s">
        <v>553</v>
      </c>
      <c r="AE1" s="310" t="s">
        <v>547</v>
      </c>
      <c r="AF1" s="281" t="s">
        <v>554</v>
      </c>
      <c r="AG1" s="310" t="s">
        <v>548</v>
      </c>
      <c r="AH1" s="6" t="s">
        <v>8</v>
      </c>
      <c r="AI1" s="6" t="s">
        <v>718</v>
      </c>
      <c r="AJ1" s="6" t="s">
        <v>18</v>
      </c>
      <c r="AK1" s="6" t="s">
        <v>542</v>
      </c>
      <c r="AL1" s="6" t="s">
        <v>543</v>
      </c>
      <c r="AM1" s="6" t="s">
        <v>542</v>
      </c>
      <c r="AN1" s="6" t="s">
        <v>543</v>
      </c>
      <c r="AO1" s="1641" t="s">
        <v>19</v>
      </c>
      <c r="AP1" s="6" t="s">
        <v>261</v>
      </c>
      <c r="AQ1" s="6" t="s">
        <v>17980</v>
      </c>
      <c r="AR1" s="6" t="s">
        <v>17599</v>
      </c>
      <c r="AS1" s="6" t="s">
        <v>17601</v>
      </c>
      <c r="AT1" s="6" t="s">
        <v>262</v>
      </c>
      <c r="AU1" s="6" t="s">
        <v>263</v>
      </c>
      <c r="AV1" s="21" t="s">
        <v>20</v>
      </c>
      <c r="AW1" s="21" t="s">
        <v>21</v>
      </c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</row>
    <row r="2" spans="1:74" s="457" customFormat="1" ht="15">
      <c r="A2" s="95">
        <v>1</v>
      </c>
      <c r="B2" s="50" t="s">
        <v>24</v>
      </c>
      <c r="C2" s="97" t="s">
        <v>91</v>
      </c>
      <c r="D2" s="97">
        <v>1</v>
      </c>
      <c r="E2" s="97" t="s">
        <v>17261</v>
      </c>
      <c r="F2" s="1173">
        <v>125.65</v>
      </c>
      <c r="G2" s="1174"/>
      <c r="H2" s="1174">
        <v>47</v>
      </c>
      <c r="I2" s="1174">
        <v>45</v>
      </c>
      <c r="J2" s="121">
        <f>F2+0.3*G2+0.2*H2+0.2*I2</f>
        <v>144.05000000000001</v>
      </c>
      <c r="K2" s="370">
        <v>2</v>
      </c>
      <c r="L2" s="95">
        <v>-1</v>
      </c>
      <c r="M2" s="95" t="s">
        <v>17325</v>
      </c>
      <c r="N2" s="99"/>
      <c r="O2" s="99"/>
      <c r="P2" s="95" t="s">
        <v>258</v>
      </c>
      <c r="Q2" s="100">
        <v>518400</v>
      </c>
      <c r="R2" s="100"/>
      <c r="S2" s="115">
        <f>0.96*T2</f>
        <v>518400</v>
      </c>
      <c r="T2" s="100">
        <v>540000</v>
      </c>
      <c r="U2" s="101">
        <f t="shared" ref="U2:U47" si="0">(S2/T2)-1</f>
        <v>-4.0000000000000036E-2</v>
      </c>
      <c r="V2" s="102">
        <f t="shared" ref="V2:V47" si="1">Q2/J2</f>
        <v>3598.7504338771255</v>
      </c>
      <c r="W2" s="102">
        <f t="shared" ref="W2:W47" si="2">S2/J2</f>
        <v>3598.7504338771255</v>
      </c>
      <c r="X2" s="102">
        <f t="shared" ref="X2:X47" si="3">T2/J2</f>
        <v>3748.698368622006</v>
      </c>
      <c r="Y2" s="102" t="s">
        <v>215</v>
      </c>
      <c r="Z2" s="554">
        <v>45462</v>
      </c>
      <c r="AA2" s="103">
        <v>45491</v>
      </c>
      <c r="AB2" s="313">
        <v>51840</v>
      </c>
      <c r="AC2" s="313"/>
      <c r="AD2" s="103"/>
      <c r="AE2" s="313"/>
      <c r="AF2" s="103"/>
      <c r="AG2" s="313">
        <v>466560</v>
      </c>
      <c r="AH2" s="95" t="s">
        <v>222</v>
      </c>
      <c r="AI2" s="95"/>
      <c r="AJ2" s="306"/>
      <c r="AK2" s="306"/>
      <c r="AL2" s="306"/>
      <c r="AM2" s="306"/>
      <c r="AN2" s="95"/>
      <c r="AO2" s="104" t="s">
        <v>17539</v>
      </c>
      <c r="AP2" s="104" t="s">
        <v>563</v>
      </c>
      <c r="AQ2" s="104" t="s">
        <v>17982</v>
      </c>
      <c r="AR2" s="1615" t="s">
        <v>17928</v>
      </c>
      <c r="AS2" s="104"/>
      <c r="AT2" s="104"/>
      <c r="AU2" s="104"/>
      <c r="AV2" s="115"/>
      <c r="AW2" s="115"/>
    </row>
    <row r="3" spans="1:74" s="1515" customFormat="1" ht="15">
      <c r="A3" s="671">
        <v>2</v>
      </c>
      <c r="B3" s="1509" t="s">
        <v>25</v>
      </c>
      <c r="C3" s="1510" t="s">
        <v>90</v>
      </c>
      <c r="D3" s="1510">
        <v>1</v>
      </c>
      <c r="E3" s="1510" t="s">
        <v>37</v>
      </c>
      <c r="F3" s="1166">
        <v>78.569999999999993</v>
      </c>
      <c r="G3" s="1167">
        <v>36.299999999999997</v>
      </c>
      <c r="H3" s="1167"/>
      <c r="I3" s="1167"/>
      <c r="J3" s="1511">
        <f t="shared" ref="J3:J47" si="4">F3+0.3*G3+0.2*H3+0.2*I3</f>
        <v>89.46</v>
      </c>
      <c r="K3" s="371">
        <v>1</v>
      </c>
      <c r="L3" s="671">
        <v>-2</v>
      </c>
      <c r="M3" s="671" t="s">
        <v>17329</v>
      </c>
      <c r="N3" s="105">
        <v>1</v>
      </c>
      <c r="O3" s="105"/>
      <c r="P3" s="95" t="s">
        <v>258</v>
      </c>
      <c r="Q3" s="1512">
        <v>316650</v>
      </c>
      <c r="R3" s="1512"/>
      <c r="S3" s="535">
        <f t="shared" ref="S3:S46" si="5">0.96*T3</f>
        <v>319680</v>
      </c>
      <c r="T3" s="1512">
        <v>333000</v>
      </c>
      <c r="U3" s="685">
        <f t="shared" si="0"/>
        <v>-4.0000000000000036E-2</v>
      </c>
      <c r="V3" s="686">
        <f t="shared" si="1"/>
        <v>3539.5707578806173</v>
      </c>
      <c r="W3" s="686">
        <f t="shared" si="2"/>
        <v>3573.4406438631795</v>
      </c>
      <c r="X3" s="686">
        <f t="shared" si="3"/>
        <v>3722.3340040241451</v>
      </c>
      <c r="Y3" s="686"/>
      <c r="Z3" s="687"/>
      <c r="AA3" s="731">
        <v>45688</v>
      </c>
      <c r="AB3" s="733">
        <v>63270</v>
      </c>
      <c r="AC3" s="733"/>
      <c r="AD3" s="731"/>
      <c r="AE3" s="733"/>
      <c r="AF3" s="731"/>
      <c r="AG3" s="733">
        <v>253080</v>
      </c>
      <c r="AH3" s="671" t="s">
        <v>274</v>
      </c>
      <c r="AI3" s="671"/>
      <c r="AJ3" s="1513"/>
      <c r="AK3" s="1513"/>
      <c r="AL3" s="1513"/>
      <c r="AM3" s="1513"/>
      <c r="AN3" s="671"/>
      <c r="AO3" s="690" t="s">
        <v>17829</v>
      </c>
      <c r="AP3" s="690" t="s">
        <v>517</v>
      </c>
      <c r="AQ3" s="690" t="s">
        <v>17982</v>
      </c>
      <c r="AR3" s="1615" t="s">
        <v>17929</v>
      </c>
      <c r="AS3" s="690"/>
      <c r="AT3" s="1514"/>
      <c r="AU3" s="1514"/>
      <c r="AV3" s="535"/>
      <c r="AW3" s="535"/>
    </row>
    <row r="4" spans="1:74" s="457" customFormat="1" ht="15">
      <c r="A4" s="95">
        <v>3</v>
      </c>
      <c r="B4" s="96" t="s">
        <v>26</v>
      </c>
      <c r="C4" s="97" t="s">
        <v>91</v>
      </c>
      <c r="D4" s="97">
        <v>1</v>
      </c>
      <c r="E4" s="97" t="s">
        <v>37</v>
      </c>
      <c r="F4" s="1166">
        <v>96.19</v>
      </c>
      <c r="G4" s="1167"/>
      <c r="H4" s="1167">
        <v>46.46</v>
      </c>
      <c r="I4" s="1167"/>
      <c r="J4" s="121">
        <f t="shared" si="4"/>
        <v>105.482</v>
      </c>
      <c r="K4" s="371">
        <v>1</v>
      </c>
      <c r="L4" s="95">
        <v>-2</v>
      </c>
      <c r="M4" s="95" t="s">
        <v>17329</v>
      </c>
      <c r="N4" s="99">
        <v>1</v>
      </c>
      <c r="O4" s="99"/>
      <c r="P4" s="95" t="s">
        <v>258</v>
      </c>
      <c r="Q4" s="100">
        <v>419520</v>
      </c>
      <c r="R4" s="100">
        <v>400000</v>
      </c>
      <c r="S4" s="115">
        <f t="shared" si="5"/>
        <v>419520</v>
      </c>
      <c r="T4" s="100">
        <v>437000</v>
      </c>
      <c r="U4" s="101">
        <f t="shared" si="0"/>
        <v>-4.0000000000000036E-2</v>
      </c>
      <c r="V4" s="102">
        <f t="shared" si="1"/>
        <v>3977.171460533551</v>
      </c>
      <c r="W4" s="102">
        <f>S4/J4</f>
        <v>3977.171460533551</v>
      </c>
      <c r="X4" s="102">
        <f t="shared" si="3"/>
        <v>4142.8869380557817</v>
      </c>
      <c r="Y4" s="102"/>
      <c r="Z4" s="554">
        <v>45891</v>
      </c>
      <c r="AA4" s="103">
        <v>45917</v>
      </c>
      <c r="AB4" s="313">
        <f>5000+78904</f>
        <v>83904</v>
      </c>
      <c r="AC4" s="313"/>
      <c r="AD4" s="103"/>
      <c r="AE4" s="313"/>
      <c r="AF4" s="103"/>
      <c r="AG4" s="313">
        <v>335616</v>
      </c>
      <c r="AH4" s="95" t="s">
        <v>247</v>
      </c>
      <c r="AI4" s="95"/>
      <c r="AJ4" s="306"/>
      <c r="AK4" s="306"/>
      <c r="AL4" s="306"/>
      <c r="AM4" s="306"/>
      <c r="AN4" s="95"/>
      <c r="AO4" s="104" t="s">
        <v>18080</v>
      </c>
      <c r="AP4" s="104" t="s">
        <v>565</v>
      </c>
      <c r="AQ4" s="104" t="s">
        <v>17981</v>
      </c>
      <c r="AR4" s="1612" t="s">
        <v>18081</v>
      </c>
      <c r="AS4" s="104"/>
      <c r="AT4" s="104"/>
      <c r="AU4" s="104"/>
      <c r="AV4" s="115"/>
      <c r="AW4" s="115"/>
    </row>
    <row r="5" spans="1:74" s="627" customFormat="1" ht="15">
      <c r="A5" s="610">
        <v>4</v>
      </c>
      <c r="B5" s="633" t="s">
        <v>27</v>
      </c>
      <c r="C5" s="612" t="s">
        <v>91</v>
      </c>
      <c r="D5" s="612">
        <v>1</v>
      </c>
      <c r="E5" s="612" t="s">
        <v>145</v>
      </c>
      <c r="F5" s="628">
        <v>104.42</v>
      </c>
      <c r="G5" s="629"/>
      <c r="H5" s="629">
        <v>83.81</v>
      </c>
      <c r="I5" s="629"/>
      <c r="J5" s="615">
        <f t="shared" si="4"/>
        <v>121.182</v>
      </c>
      <c r="K5" s="630">
        <v>1</v>
      </c>
      <c r="L5" s="610">
        <v>-2</v>
      </c>
      <c r="M5" s="610" t="s">
        <v>17329</v>
      </c>
      <c r="N5" s="631">
        <v>1</v>
      </c>
      <c r="O5" s="631"/>
      <c r="P5" s="610"/>
      <c r="Q5" s="618"/>
      <c r="R5" s="618">
        <v>420000</v>
      </c>
      <c r="S5" s="626">
        <f t="shared" si="5"/>
        <v>494400</v>
      </c>
      <c r="T5" s="618">
        <v>515000</v>
      </c>
      <c r="U5" s="619">
        <f t="shared" si="0"/>
        <v>-4.0000000000000036E-2</v>
      </c>
      <c r="V5" s="620">
        <f t="shared" si="1"/>
        <v>0</v>
      </c>
      <c r="W5" s="32">
        <f>S5/J5</f>
        <v>4079.8138337376836</v>
      </c>
      <c r="X5" s="620">
        <f t="shared" si="3"/>
        <v>4249.8060768100868</v>
      </c>
      <c r="Y5" s="620"/>
      <c r="Z5" s="621"/>
      <c r="AA5" s="622"/>
      <c r="AB5" s="623"/>
      <c r="AC5" s="623"/>
      <c r="AD5" s="622"/>
      <c r="AE5" s="623"/>
      <c r="AF5" s="622"/>
      <c r="AG5" s="623"/>
      <c r="AH5" s="610"/>
      <c r="AI5" s="610"/>
      <c r="AJ5" s="624"/>
      <c r="AK5" s="624"/>
      <c r="AL5" s="624"/>
      <c r="AM5" s="624"/>
      <c r="AN5" s="624"/>
      <c r="AO5" s="625"/>
      <c r="AP5" s="625"/>
      <c r="AQ5" s="625"/>
      <c r="AR5" s="625"/>
      <c r="AS5" s="625"/>
      <c r="AT5" s="625"/>
      <c r="AU5" s="625"/>
      <c r="AV5" s="626"/>
      <c r="AW5" s="626"/>
    </row>
    <row r="6" spans="1:74" s="627" customFormat="1" ht="15">
      <c r="A6" s="610">
        <v>5</v>
      </c>
      <c r="B6" s="633" t="s">
        <v>28</v>
      </c>
      <c r="C6" s="612" t="s">
        <v>91</v>
      </c>
      <c r="D6" s="612">
        <v>1</v>
      </c>
      <c r="E6" s="612" t="s">
        <v>753</v>
      </c>
      <c r="F6" s="628">
        <v>101.14</v>
      </c>
      <c r="G6" s="629"/>
      <c r="H6" s="629">
        <v>159.61000000000001</v>
      </c>
      <c r="I6" s="629"/>
      <c r="J6" s="615">
        <f>F6+0.3*G6+0.2*H6+0.2*I6</f>
        <v>133.06200000000001</v>
      </c>
      <c r="K6" s="630">
        <v>2</v>
      </c>
      <c r="L6" s="630">
        <v>-2</v>
      </c>
      <c r="M6" s="610" t="s">
        <v>17326</v>
      </c>
      <c r="N6" s="617">
        <v>1</v>
      </c>
      <c r="O6" s="617"/>
      <c r="P6" s="610"/>
      <c r="Q6" s="618"/>
      <c r="R6" s="618">
        <v>475000</v>
      </c>
      <c r="S6" s="626">
        <f t="shared" si="5"/>
        <v>524160</v>
      </c>
      <c r="T6" s="618">
        <v>546000</v>
      </c>
      <c r="U6" s="619">
        <f>(S6/T6)-1</f>
        <v>-4.0000000000000036E-2</v>
      </c>
      <c r="V6" s="620">
        <f t="shared" si="1"/>
        <v>0</v>
      </c>
      <c r="W6" s="32">
        <f>S6/J6</f>
        <v>3939.216305181043</v>
      </c>
      <c r="X6" s="620">
        <f t="shared" si="3"/>
        <v>4103.3503178969195</v>
      </c>
      <c r="Y6" s="620"/>
      <c r="Z6" s="621"/>
      <c r="AA6" s="622"/>
      <c r="AB6" s="623"/>
      <c r="AC6" s="623"/>
      <c r="AD6" s="622"/>
      <c r="AE6" s="623"/>
      <c r="AF6" s="622"/>
      <c r="AG6" s="623"/>
      <c r="AH6" s="610"/>
      <c r="AI6" s="610"/>
      <c r="AJ6" s="624"/>
      <c r="AK6" s="624"/>
      <c r="AL6" s="624"/>
      <c r="AM6" s="624"/>
      <c r="AN6" s="610"/>
      <c r="AO6" s="625"/>
      <c r="AP6" s="625"/>
      <c r="AQ6" s="625"/>
      <c r="AR6" s="625"/>
      <c r="AS6" s="625"/>
      <c r="AT6" s="625"/>
      <c r="AU6" s="625"/>
      <c r="AV6" s="626"/>
      <c r="AW6" s="626"/>
    </row>
    <row r="7" spans="1:74" s="106" customFormat="1" ht="15">
      <c r="A7" s="31">
        <v>6</v>
      </c>
      <c r="B7" s="87" t="s">
        <v>29</v>
      </c>
      <c r="C7" s="88" t="s">
        <v>91</v>
      </c>
      <c r="D7" s="88">
        <v>1</v>
      </c>
      <c r="E7" s="88" t="s">
        <v>42</v>
      </c>
      <c r="F7" s="90">
        <v>102.37</v>
      </c>
      <c r="G7" s="24"/>
      <c r="H7" s="24">
        <v>116.54</v>
      </c>
      <c r="I7" s="24"/>
      <c r="J7" s="224">
        <f t="shared" si="4"/>
        <v>125.67800000000001</v>
      </c>
      <c r="K7" s="375">
        <v>2</v>
      </c>
      <c r="L7" s="31">
        <v>-2</v>
      </c>
      <c r="M7" s="31" t="s">
        <v>17326</v>
      </c>
      <c r="N7" s="92">
        <v>1</v>
      </c>
      <c r="O7" s="92" t="s">
        <v>17491</v>
      </c>
      <c r="P7" s="31"/>
      <c r="Q7" s="89"/>
      <c r="R7" s="89">
        <v>455000</v>
      </c>
      <c r="S7" s="39">
        <f t="shared" si="5"/>
        <v>504000</v>
      </c>
      <c r="T7" s="89">
        <v>525000</v>
      </c>
      <c r="U7" s="37">
        <f t="shared" si="0"/>
        <v>-4.0000000000000036E-2</v>
      </c>
      <c r="V7" s="32">
        <f t="shared" si="1"/>
        <v>0</v>
      </c>
      <c r="W7" s="32">
        <f>S7/J7</f>
        <v>4010.248412610003</v>
      </c>
      <c r="X7" s="32">
        <f t="shared" si="3"/>
        <v>4177.342096468753</v>
      </c>
      <c r="Y7" s="32"/>
      <c r="Z7" s="278"/>
      <c r="AA7" s="35"/>
      <c r="AB7" s="93"/>
      <c r="AC7" s="93"/>
      <c r="AD7" s="35"/>
      <c r="AE7" s="93"/>
      <c r="AF7" s="35"/>
      <c r="AG7" s="93"/>
      <c r="AH7" s="31"/>
      <c r="AI7" s="31"/>
      <c r="AJ7" s="307"/>
      <c r="AK7" s="307"/>
      <c r="AL7" s="307"/>
      <c r="AM7" s="307"/>
      <c r="AN7" s="307"/>
      <c r="AO7" s="31"/>
      <c r="AP7" s="31"/>
      <c r="AQ7" s="31"/>
      <c r="AR7" s="31"/>
      <c r="AS7" s="31"/>
      <c r="AT7" s="31"/>
      <c r="AU7" s="31"/>
      <c r="AV7" s="39"/>
      <c r="AW7" s="39"/>
    </row>
    <row r="8" spans="1:74" s="368" customFormat="1" ht="15">
      <c r="A8" s="26">
        <v>7</v>
      </c>
      <c r="B8" s="369" t="s">
        <v>30</v>
      </c>
      <c r="C8" s="366" t="s">
        <v>91</v>
      </c>
      <c r="D8" s="366">
        <v>1</v>
      </c>
      <c r="E8" s="366" t="s">
        <v>42</v>
      </c>
      <c r="F8" s="1524">
        <v>92.21</v>
      </c>
      <c r="G8" s="1143"/>
      <c r="H8" s="1143">
        <v>91.18</v>
      </c>
      <c r="I8" s="1143"/>
      <c r="J8" s="1144">
        <f t="shared" si="4"/>
        <v>110.446</v>
      </c>
      <c r="K8" s="373">
        <v>2</v>
      </c>
      <c r="L8" s="26">
        <v>-2</v>
      </c>
      <c r="M8" s="26" t="s">
        <v>17326</v>
      </c>
      <c r="N8" s="1860">
        <v>1</v>
      </c>
      <c r="O8" s="1860" t="s">
        <v>17491</v>
      </c>
      <c r="P8" s="26" t="s">
        <v>210</v>
      </c>
      <c r="Q8" s="342">
        <v>427200</v>
      </c>
      <c r="R8" s="342">
        <v>420000</v>
      </c>
      <c r="S8" s="38">
        <f t="shared" si="5"/>
        <v>427200</v>
      </c>
      <c r="T8" s="342">
        <v>445000</v>
      </c>
      <c r="U8" s="27">
        <f t="shared" si="0"/>
        <v>-4.0000000000000036E-2</v>
      </c>
      <c r="V8" s="28">
        <f t="shared" si="1"/>
        <v>3867.9535700704419</v>
      </c>
      <c r="W8" s="28">
        <f>S8/J8</f>
        <v>3867.9535700704419</v>
      </c>
      <c r="X8" s="28">
        <f t="shared" si="3"/>
        <v>4029.1183021567103</v>
      </c>
      <c r="Y8" s="28" t="s">
        <v>215</v>
      </c>
      <c r="Z8" s="256">
        <v>45987</v>
      </c>
      <c r="AA8" s="1765"/>
      <c r="AB8" s="1764">
        <f>5000+80440</f>
        <v>85440</v>
      </c>
      <c r="AC8" s="1764"/>
      <c r="AD8" s="1765"/>
      <c r="AE8" s="1764"/>
      <c r="AF8" s="1765"/>
      <c r="AG8" s="1764">
        <v>341760</v>
      </c>
      <c r="AH8" s="26" t="s">
        <v>222</v>
      </c>
      <c r="AI8" s="26"/>
      <c r="AJ8" s="367"/>
      <c r="AK8" s="367"/>
      <c r="AL8" s="367"/>
      <c r="AM8" s="367"/>
      <c r="AN8" s="26"/>
      <c r="AO8" s="26" t="s">
        <v>18393</v>
      </c>
      <c r="AP8" s="26" t="s">
        <v>565</v>
      </c>
      <c r="AQ8" s="26" t="s">
        <v>17981</v>
      </c>
      <c r="AR8" s="26"/>
      <c r="AS8" s="26"/>
      <c r="AT8" s="26"/>
      <c r="AU8" s="26"/>
      <c r="AV8" s="38"/>
      <c r="AW8" s="38"/>
    </row>
    <row r="9" spans="1:74" s="457" customFormat="1" ht="15">
      <c r="A9" s="95">
        <v>8</v>
      </c>
      <c r="B9" s="96" t="s">
        <v>31</v>
      </c>
      <c r="C9" s="97" t="s">
        <v>90</v>
      </c>
      <c r="D9" s="97">
        <v>1</v>
      </c>
      <c r="E9" s="97" t="s">
        <v>42</v>
      </c>
      <c r="F9" s="1166">
        <v>59.87</v>
      </c>
      <c r="G9" s="1167">
        <v>19.82</v>
      </c>
      <c r="H9" s="1167"/>
      <c r="I9" s="1167"/>
      <c r="J9" s="121">
        <f t="shared" si="4"/>
        <v>65.816000000000003</v>
      </c>
      <c r="K9" s="371">
        <v>1</v>
      </c>
      <c r="L9" s="95">
        <v>-2</v>
      </c>
      <c r="M9" s="95" t="s">
        <v>17329</v>
      </c>
      <c r="N9" s="105">
        <v>1</v>
      </c>
      <c r="O9" s="105"/>
      <c r="P9" s="115" t="s">
        <v>258</v>
      </c>
      <c r="Q9" s="100">
        <v>259200</v>
      </c>
      <c r="R9" s="100"/>
      <c r="S9" s="115">
        <f t="shared" si="5"/>
        <v>259200</v>
      </c>
      <c r="T9" s="100">
        <v>270000</v>
      </c>
      <c r="U9" s="101">
        <f t="shared" si="0"/>
        <v>-4.0000000000000036E-2</v>
      </c>
      <c r="V9" s="102">
        <f t="shared" si="1"/>
        <v>3938.2520967545884</v>
      </c>
      <c r="W9" s="102">
        <f t="shared" si="2"/>
        <v>3938.2520967545884</v>
      </c>
      <c r="X9" s="102">
        <f t="shared" si="3"/>
        <v>4102.3459341193629</v>
      </c>
      <c r="Y9" s="102" t="s">
        <v>215</v>
      </c>
      <c r="Z9" s="554"/>
      <c r="AA9" s="113">
        <v>45485</v>
      </c>
      <c r="AB9" s="325">
        <v>51840</v>
      </c>
      <c r="AC9" s="325"/>
      <c r="AD9" s="113"/>
      <c r="AE9" s="325"/>
      <c r="AF9" s="113"/>
      <c r="AG9" s="325">
        <v>207360</v>
      </c>
      <c r="AH9" s="95" t="s">
        <v>222</v>
      </c>
      <c r="AI9" s="95"/>
      <c r="AJ9" s="306"/>
      <c r="AK9" s="306"/>
      <c r="AL9" s="306"/>
      <c r="AM9" s="306"/>
      <c r="AN9" s="95"/>
      <c r="AO9" s="330" t="s">
        <v>17497</v>
      </c>
      <c r="AP9" s="112" t="s">
        <v>265</v>
      </c>
      <c r="AQ9" s="112" t="s">
        <v>17981</v>
      </c>
      <c r="AR9" s="1428" t="s">
        <v>17930</v>
      </c>
      <c r="AS9" s="112"/>
      <c r="AT9" s="112"/>
      <c r="AU9" s="112"/>
      <c r="AV9" s="115"/>
      <c r="AW9" s="115"/>
    </row>
    <row r="10" spans="1:74" s="457" customFormat="1" ht="15">
      <c r="A10" s="95">
        <v>9</v>
      </c>
      <c r="B10" s="96" t="s">
        <v>32</v>
      </c>
      <c r="C10" s="97" t="s">
        <v>90</v>
      </c>
      <c r="D10" s="97">
        <v>1</v>
      </c>
      <c r="E10" s="97" t="s">
        <v>42</v>
      </c>
      <c r="F10" s="1166">
        <v>59.71</v>
      </c>
      <c r="G10" s="1167">
        <v>15.08</v>
      </c>
      <c r="H10" s="1167"/>
      <c r="I10" s="1167"/>
      <c r="J10" s="121">
        <f t="shared" si="4"/>
        <v>64.233999999999995</v>
      </c>
      <c r="K10" s="371">
        <v>1</v>
      </c>
      <c r="L10" s="95">
        <v>-2</v>
      </c>
      <c r="M10" s="95" t="s">
        <v>17329</v>
      </c>
      <c r="N10" s="99"/>
      <c r="O10" s="99"/>
      <c r="P10" s="115" t="s">
        <v>258</v>
      </c>
      <c r="Q10" s="100">
        <v>257280</v>
      </c>
      <c r="R10" s="100"/>
      <c r="S10" s="115">
        <f t="shared" si="5"/>
        <v>257280</v>
      </c>
      <c r="T10" s="100">
        <v>268000</v>
      </c>
      <c r="U10" s="101">
        <f t="shared" si="0"/>
        <v>-4.0000000000000036E-2</v>
      </c>
      <c r="V10" s="102">
        <f t="shared" si="1"/>
        <v>4005.3554192483734</v>
      </c>
      <c r="W10" s="102">
        <f t="shared" si="2"/>
        <v>4005.3554192483734</v>
      </c>
      <c r="X10" s="102">
        <f t="shared" si="3"/>
        <v>4172.245228383722</v>
      </c>
      <c r="Y10" s="102" t="s">
        <v>215</v>
      </c>
      <c r="Z10" s="554"/>
      <c r="AA10" s="103">
        <v>45537</v>
      </c>
      <c r="AB10" s="313">
        <v>51456</v>
      </c>
      <c r="AC10" s="313"/>
      <c r="AD10" s="103"/>
      <c r="AE10" s="313"/>
      <c r="AF10" s="103"/>
      <c r="AG10" s="313">
        <v>205824</v>
      </c>
      <c r="AH10" s="95" t="s">
        <v>247</v>
      </c>
      <c r="AI10" s="95"/>
      <c r="AJ10" s="306"/>
      <c r="AK10" s="306"/>
      <c r="AL10" s="306"/>
      <c r="AM10" s="306"/>
      <c r="AN10" s="95"/>
      <c r="AO10" s="104" t="s">
        <v>17498</v>
      </c>
      <c r="AP10" s="112" t="s">
        <v>565</v>
      </c>
      <c r="AQ10" s="112" t="s">
        <v>17981</v>
      </c>
      <c r="AR10" s="1428" t="s">
        <v>17931</v>
      </c>
      <c r="AS10" s="112"/>
      <c r="AT10" s="104"/>
      <c r="AU10" s="104"/>
      <c r="AV10" s="115"/>
      <c r="AW10" s="115"/>
    </row>
    <row r="11" spans="1:74" s="106" customFormat="1" ht="15">
      <c r="A11" s="31">
        <v>10</v>
      </c>
      <c r="B11" s="87" t="s">
        <v>33</v>
      </c>
      <c r="C11" s="88" t="s">
        <v>89</v>
      </c>
      <c r="D11" s="88">
        <v>2</v>
      </c>
      <c r="E11" s="88" t="s">
        <v>17261</v>
      </c>
      <c r="F11" s="90">
        <v>151.46</v>
      </c>
      <c r="G11" s="24">
        <v>28.16</v>
      </c>
      <c r="H11" s="24"/>
      <c r="I11" s="24"/>
      <c r="J11" s="224">
        <f t="shared" si="4"/>
        <v>159.90800000000002</v>
      </c>
      <c r="K11" s="375">
        <v>2</v>
      </c>
      <c r="L11" s="31">
        <v>-2</v>
      </c>
      <c r="M11" s="31" t="s">
        <v>17326</v>
      </c>
      <c r="N11" s="92">
        <v>1</v>
      </c>
      <c r="O11" s="92"/>
      <c r="P11" s="31"/>
      <c r="Q11" s="89"/>
      <c r="R11" s="89">
        <v>750000</v>
      </c>
      <c r="S11" s="39">
        <f t="shared" si="5"/>
        <v>839040</v>
      </c>
      <c r="T11" s="89">
        <v>874000</v>
      </c>
      <c r="U11" s="37">
        <f t="shared" si="0"/>
        <v>-4.0000000000000036E-2</v>
      </c>
      <c r="V11" s="32">
        <f t="shared" si="1"/>
        <v>0</v>
      </c>
      <c r="W11" s="32">
        <f>S11/J11</f>
        <v>5247.017034795007</v>
      </c>
      <c r="X11" s="32">
        <f t="shared" si="3"/>
        <v>5465.6427445781319</v>
      </c>
      <c r="Y11" s="32"/>
      <c r="Z11" s="278"/>
      <c r="AA11" s="33"/>
      <c r="AB11" s="311"/>
      <c r="AC11" s="311"/>
      <c r="AD11" s="33"/>
      <c r="AE11" s="311"/>
      <c r="AF11" s="33"/>
      <c r="AG11" s="311"/>
      <c r="AH11" s="31"/>
      <c r="AI11" s="31"/>
      <c r="AJ11" s="307"/>
      <c r="AK11" s="307"/>
      <c r="AL11" s="307"/>
      <c r="AM11" s="307"/>
      <c r="AN11" s="307"/>
      <c r="AO11" s="34"/>
      <c r="AP11" s="36"/>
      <c r="AQ11" s="36"/>
      <c r="AR11" s="36"/>
      <c r="AS11" s="36"/>
      <c r="AT11" s="36"/>
      <c r="AU11" s="36"/>
      <c r="AV11" s="39"/>
      <c r="AW11" s="39"/>
    </row>
    <row r="12" spans="1:74" s="457" customFormat="1" ht="14.25" customHeight="1">
      <c r="A12" s="95">
        <v>11</v>
      </c>
      <c r="B12" s="96" t="s">
        <v>34</v>
      </c>
      <c r="C12" s="97" t="s">
        <v>91</v>
      </c>
      <c r="D12" s="97">
        <v>2</v>
      </c>
      <c r="E12" s="97" t="s">
        <v>37</v>
      </c>
      <c r="F12" s="1166">
        <v>121.68</v>
      </c>
      <c r="G12" s="1167">
        <v>12.61</v>
      </c>
      <c r="H12" s="1167"/>
      <c r="I12" s="1167"/>
      <c r="J12" s="121">
        <f t="shared" si="4"/>
        <v>125.46300000000001</v>
      </c>
      <c r="K12" s="371">
        <v>2</v>
      </c>
      <c r="L12" s="95">
        <v>-1</v>
      </c>
      <c r="M12" s="95" t="s">
        <v>17326</v>
      </c>
      <c r="N12" s="99">
        <v>1</v>
      </c>
      <c r="O12" s="99" t="s">
        <v>17491</v>
      </c>
      <c r="P12" s="95" t="s">
        <v>258</v>
      </c>
      <c r="Q12" s="100">
        <v>550000</v>
      </c>
      <c r="R12" s="100"/>
      <c r="S12" s="115">
        <f t="shared" si="5"/>
        <v>528000</v>
      </c>
      <c r="T12" s="100">
        <v>550000</v>
      </c>
      <c r="U12" s="101">
        <f t="shared" si="0"/>
        <v>-4.0000000000000036E-2</v>
      </c>
      <c r="V12" s="102">
        <f t="shared" si="1"/>
        <v>4383.7625435387326</v>
      </c>
      <c r="W12" s="102">
        <f t="shared" si="2"/>
        <v>4208.4120417971826</v>
      </c>
      <c r="X12" s="102">
        <f t="shared" si="3"/>
        <v>4383.7625435387326</v>
      </c>
      <c r="Y12" s="102"/>
      <c r="Z12" s="554">
        <v>45503</v>
      </c>
      <c r="AA12" s="103">
        <v>45532</v>
      </c>
      <c r="AB12" s="313">
        <v>55000</v>
      </c>
      <c r="AC12" s="313"/>
      <c r="AD12" s="103"/>
      <c r="AE12" s="313"/>
      <c r="AF12" s="103"/>
      <c r="AG12" s="313">
        <v>495000</v>
      </c>
      <c r="AH12" s="95" t="s">
        <v>247</v>
      </c>
      <c r="AI12" s="95"/>
      <c r="AJ12" s="306"/>
      <c r="AK12" s="306"/>
      <c r="AL12" s="306"/>
      <c r="AM12" s="306"/>
      <c r="AN12" s="306"/>
      <c r="AO12" s="104" t="s">
        <v>17550</v>
      </c>
      <c r="AP12" s="132" t="s">
        <v>265</v>
      </c>
      <c r="AQ12" s="112" t="s">
        <v>17981</v>
      </c>
      <c r="AR12" s="1428" t="s">
        <v>17932</v>
      </c>
      <c r="AS12" s="132"/>
      <c r="AT12" s="132"/>
      <c r="AU12" s="132"/>
      <c r="AV12" s="115"/>
      <c r="AW12" s="115"/>
    </row>
    <row r="13" spans="1:74" s="457" customFormat="1" ht="15">
      <c r="A13" s="95">
        <v>12</v>
      </c>
      <c r="B13" s="96" t="s">
        <v>35</v>
      </c>
      <c r="C13" s="97" t="s">
        <v>91</v>
      </c>
      <c r="D13" s="97">
        <v>2</v>
      </c>
      <c r="E13" s="97" t="s">
        <v>37</v>
      </c>
      <c r="F13" s="1166">
        <v>102.12</v>
      </c>
      <c r="G13" s="1167">
        <v>12.61</v>
      </c>
      <c r="H13" s="1167"/>
      <c r="I13" s="1167"/>
      <c r="J13" s="121">
        <f t="shared" si="4"/>
        <v>105.90300000000001</v>
      </c>
      <c r="K13" s="371">
        <v>1</v>
      </c>
      <c r="L13" s="95">
        <v>-2</v>
      </c>
      <c r="M13" s="95" t="s">
        <v>17329</v>
      </c>
      <c r="N13" s="105">
        <v>1</v>
      </c>
      <c r="O13" s="105"/>
      <c r="P13" s="95" t="s">
        <v>258</v>
      </c>
      <c r="Q13" s="100">
        <v>397440</v>
      </c>
      <c r="R13" s="100"/>
      <c r="S13" s="115">
        <f t="shared" si="5"/>
        <v>397440</v>
      </c>
      <c r="T13" s="100">
        <v>414000</v>
      </c>
      <c r="U13" s="101">
        <f t="shared" si="0"/>
        <v>-4.0000000000000036E-2</v>
      </c>
      <c r="V13" s="102">
        <f t="shared" si="1"/>
        <v>3752.8681907028126</v>
      </c>
      <c r="W13" s="102">
        <f t="shared" si="2"/>
        <v>3752.8681907028126</v>
      </c>
      <c r="X13" s="102">
        <f t="shared" si="3"/>
        <v>3909.2376986487634</v>
      </c>
      <c r="Y13" s="102" t="s">
        <v>215</v>
      </c>
      <c r="Z13" s="554">
        <v>45463</v>
      </c>
      <c r="AA13" s="103">
        <v>45489</v>
      </c>
      <c r="AB13" s="313">
        <v>39744</v>
      </c>
      <c r="AC13" s="313"/>
      <c r="AD13" s="103"/>
      <c r="AE13" s="313"/>
      <c r="AF13" s="103"/>
      <c r="AG13" s="313">
        <v>357696</v>
      </c>
      <c r="AH13" s="95" t="s">
        <v>247</v>
      </c>
      <c r="AI13" s="95"/>
      <c r="AJ13" s="306"/>
      <c r="AK13" s="306"/>
      <c r="AL13" s="306"/>
      <c r="AM13" s="306"/>
      <c r="AN13" s="306"/>
      <c r="AO13" s="104" t="s">
        <v>17510</v>
      </c>
      <c r="AP13" s="104" t="s">
        <v>265</v>
      </c>
      <c r="AQ13" s="112" t="s">
        <v>17981</v>
      </c>
      <c r="AR13" s="1612" t="s">
        <v>17933</v>
      </c>
      <c r="AS13" s="104"/>
      <c r="AT13" s="1175"/>
      <c r="AU13" s="104"/>
      <c r="AV13" s="115"/>
      <c r="AW13" s="115"/>
    </row>
    <row r="14" spans="1:74" s="457" customFormat="1" ht="15">
      <c r="A14" s="95">
        <v>13</v>
      </c>
      <c r="B14" s="96" t="s">
        <v>36</v>
      </c>
      <c r="C14" s="97" t="s">
        <v>91</v>
      </c>
      <c r="D14" s="97">
        <v>2</v>
      </c>
      <c r="E14" s="97" t="s">
        <v>145</v>
      </c>
      <c r="F14" s="1166">
        <v>104.35</v>
      </c>
      <c r="G14" s="1167">
        <v>24.93</v>
      </c>
      <c r="H14" s="1167"/>
      <c r="I14" s="1167"/>
      <c r="J14" s="121">
        <f t="shared" si="4"/>
        <v>111.82899999999999</v>
      </c>
      <c r="K14" s="371">
        <v>1</v>
      </c>
      <c r="L14" s="95">
        <v>-1</v>
      </c>
      <c r="M14" s="95" t="s">
        <v>17329</v>
      </c>
      <c r="N14" s="99">
        <v>1</v>
      </c>
      <c r="O14" s="99"/>
      <c r="P14" s="95" t="s">
        <v>258</v>
      </c>
      <c r="Q14" s="100">
        <v>423360</v>
      </c>
      <c r="R14" s="100"/>
      <c r="S14" s="115">
        <f t="shared" si="5"/>
        <v>414720</v>
      </c>
      <c r="T14" s="100">
        <v>432000</v>
      </c>
      <c r="U14" s="101">
        <f t="shared" si="0"/>
        <v>-4.0000000000000036E-2</v>
      </c>
      <c r="V14" s="102">
        <f t="shared" si="1"/>
        <v>3785.7800749358398</v>
      </c>
      <c r="W14" s="102">
        <f t="shared" si="2"/>
        <v>3708.5192570800064</v>
      </c>
      <c r="X14" s="102">
        <f t="shared" si="3"/>
        <v>3863.0408927916733</v>
      </c>
      <c r="Y14" s="102"/>
      <c r="Z14" s="554"/>
      <c r="AA14" s="103">
        <v>45546</v>
      </c>
      <c r="AB14" s="313">
        <v>84672</v>
      </c>
      <c r="AC14" s="313"/>
      <c r="AD14" s="103"/>
      <c r="AE14" s="313"/>
      <c r="AF14" s="103"/>
      <c r="AG14" s="313">
        <v>338688</v>
      </c>
      <c r="AH14" s="95" t="s">
        <v>247</v>
      </c>
      <c r="AI14" s="95"/>
      <c r="AJ14" s="306"/>
      <c r="AK14" s="306"/>
      <c r="AL14" s="306"/>
      <c r="AM14" s="306"/>
      <c r="AN14" s="306"/>
      <c r="AO14" s="104" t="s">
        <v>17525</v>
      </c>
      <c r="AP14" s="104" t="s">
        <v>565</v>
      </c>
      <c r="AQ14" s="112" t="s">
        <v>17981</v>
      </c>
      <c r="AR14" s="1613" t="s">
        <v>17934</v>
      </c>
      <c r="AS14" s="104"/>
      <c r="AT14" s="104"/>
      <c r="AU14" s="104"/>
      <c r="AV14" s="115"/>
      <c r="AW14" s="115"/>
    </row>
    <row r="15" spans="1:74" s="457" customFormat="1" ht="15.75" thickBot="1">
      <c r="A15" s="95">
        <v>14</v>
      </c>
      <c r="B15" s="96" t="s">
        <v>37</v>
      </c>
      <c r="C15" s="97" t="s">
        <v>91</v>
      </c>
      <c r="D15" s="97">
        <v>2</v>
      </c>
      <c r="E15" s="97" t="s">
        <v>753</v>
      </c>
      <c r="F15" s="1168">
        <v>89.98</v>
      </c>
      <c r="G15" s="1167">
        <v>16.8</v>
      </c>
      <c r="H15" s="1167"/>
      <c r="I15" s="1167"/>
      <c r="J15" s="121">
        <f t="shared" si="4"/>
        <v>95.02000000000001</v>
      </c>
      <c r="K15" s="372">
        <v>1</v>
      </c>
      <c r="L15" s="95">
        <v>-2</v>
      </c>
      <c r="M15" s="95" t="s">
        <v>17329</v>
      </c>
      <c r="N15" s="114">
        <v>1</v>
      </c>
      <c r="O15" s="105"/>
      <c r="P15" s="95" t="s">
        <v>258</v>
      </c>
      <c r="Q15" s="100">
        <v>380160</v>
      </c>
      <c r="R15" s="100"/>
      <c r="S15" s="115">
        <f t="shared" si="5"/>
        <v>380160</v>
      </c>
      <c r="T15" s="100">
        <v>396000</v>
      </c>
      <c r="U15" s="101">
        <f t="shared" si="0"/>
        <v>-4.0000000000000036E-2</v>
      </c>
      <c r="V15" s="102">
        <f t="shared" si="1"/>
        <v>4000.8419280151543</v>
      </c>
      <c r="W15" s="102">
        <f t="shared" si="2"/>
        <v>4000.8419280151543</v>
      </c>
      <c r="X15" s="102">
        <f t="shared" si="3"/>
        <v>4167.543675015786</v>
      </c>
      <c r="Y15" s="102" t="s">
        <v>215</v>
      </c>
      <c r="Z15" s="554"/>
      <c r="AA15" s="103">
        <v>45485</v>
      </c>
      <c r="AB15" s="313">
        <f>10%*Q15</f>
        <v>38016</v>
      </c>
      <c r="AC15" s="313"/>
      <c r="AD15" s="103"/>
      <c r="AE15" s="313"/>
      <c r="AF15" s="103"/>
      <c r="AG15" s="313">
        <f>90%*Q15</f>
        <v>342144</v>
      </c>
      <c r="AH15" s="95" t="s">
        <v>247</v>
      </c>
      <c r="AI15" s="95"/>
      <c r="AJ15" s="306"/>
      <c r="AK15" s="306"/>
      <c r="AL15" s="306"/>
      <c r="AM15" s="306"/>
      <c r="AN15" s="95"/>
      <c r="AO15" s="104" t="s">
        <v>17495</v>
      </c>
      <c r="AP15" s="104" t="s">
        <v>265</v>
      </c>
      <c r="AQ15" s="112" t="s">
        <v>17981</v>
      </c>
      <c r="AR15" s="1612" t="s">
        <v>17935</v>
      </c>
      <c r="AS15" s="104"/>
      <c r="AT15" s="1175"/>
      <c r="AU15" s="104"/>
      <c r="AV15" s="115"/>
      <c r="AW15" s="115"/>
    </row>
    <row r="16" spans="1:74" s="457" customFormat="1" ht="15">
      <c r="A16" s="95">
        <v>1</v>
      </c>
      <c r="B16" s="96" t="s">
        <v>38</v>
      </c>
      <c r="C16" s="97" t="s">
        <v>90</v>
      </c>
      <c r="D16" s="97">
        <v>2</v>
      </c>
      <c r="E16" s="97" t="s">
        <v>42</v>
      </c>
      <c r="F16" s="1173">
        <v>56.87</v>
      </c>
      <c r="G16" s="1167">
        <v>9.5299999999999994</v>
      </c>
      <c r="H16" s="1167"/>
      <c r="I16" s="1167"/>
      <c r="J16" s="121">
        <f t="shared" si="4"/>
        <v>59.728999999999999</v>
      </c>
      <c r="K16" s="370">
        <v>1</v>
      </c>
      <c r="L16" s="95">
        <v>-2</v>
      </c>
      <c r="M16" s="95" t="s">
        <v>17329</v>
      </c>
      <c r="N16" s="232"/>
      <c r="O16" s="99"/>
      <c r="P16" s="95" t="s">
        <v>258</v>
      </c>
      <c r="Q16" s="100">
        <v>289920</v>
      </c>
      <c r="R16" s="100"/>
      <c r="S16" s="115">
        <f t="shared" si="5"/>
        <v>289920</v>
      </c>
      <c r="T16" s="100">
        <v>302000</v>
      </c>
      <c r="U16" s="101">
        <f t="shared" si="0"/>
        <v>-4.0000000000000036E-2</v>
      </c>
      <c r="V16" s="102">
        <f t="shared" si="1"/>
        <v>4853.9235547221615</v>
      </c>
      <c r="W16" s="102">
        <f t="shared" si="2"/>
        <v>4853.9235547221615</v>
      </c>
      <c r="X16" s="102">
        <f t="shared" si="3"/>
        <v>5056.1703695022516</v>
      </c>
      <c r="Y16" s="102"/>
      <c r="Z16" s="554"/>
      <c r="AA16" s="103">
        <v>45729</v>
      </c>
      <c r="AB16" s="313">
        <v>57984</v>
      </c>
      <c r="AC16" s="313"/>
      <c r="AD16" s="103"/>
      <c r="AE16" s="313"/>
      <c r="AF16" s="103"/>
      <c r="AG16" s="313">
        <v>231936</v>
      </c>
      <c r="AH16" s="95" t="s">
        <v>247</v>
      </c>
      <c r="AI16" s="95" t="s">
        <v>17856</v>
      </c>
      <c r="AJ16" s="306"/>
      <c r="AK16" s="306"/>
      <c r="AL16" s="306"/>
      <c r="AM16" s="306"/>
      <c r="AN16" s="95"/>
      <c r="AO16" s="104" t="s">
        <v>17853</v>
      </c>
      <c r="AP16" s="104" t="s">
        <v>565</v>
      </c>
      <c r="AQ16" s="112" t="s">
        <v>17981</v>
      </c>
      <c r="AR16" s="1612" t="s">
        <v>17936</v>
      </c>
      <c r="AS16" s="104"/>
      <c r="AT16" s="104"/>
      <c r="AU16" s="104"/>
      <c r="AV16" s="115"/>
      <c r="AW16" s="115"/>
    </row>
    <row r="17" spans="1:50" s="457" customFormat="1" ht="15">
      <c r="A17" s="95">
        <v>16</v>
      </c>
      <c r="B17" s="96" t="s">
        <v>39</v>
      </c>
      <c r="C17" s="97" t="s">
        <v>90</v>
      </c>
      <c r="D17" s="97">
        <v>2</v>
      </c>
      <c r="E17" s="97" t="s">
        <v>42</v>
      </c>
      <c r="F17" s="1166">
        <v>56.71</v>
      </c>
      <c r="G17" s="1167">
        <v>12.61</v>
      </c>
      <c r="H17" s="1167"/>
      <c r="I17" s="1167"/>
      <c r="J17" s="121">
        <f t="shared" si="4"/>
        <v>60.493000000000002</v>
      </c>
      <c r="K17" s="371">
        <v>1</v>
      </c>
      <c r="L17" s="95">
        <v>-2</v>
      </c>
      <c r="M17" s="95" t="s">
        <v>17329</v>
      </c>
      <c r="N17" s="105"/>
      <c r="O17" s="105"/>
      <c r="P17" s="95" t="s">
        <v>258</v>
      </c>
      <c r="Q17" s="100">
        <v>259200</v>
      </c>
      <c r="R17" s="100"/>
      <c r="S17" s="115">
        <f t="shared" si="5"/>
        <v>259200</v>
      </c>
      <c r="T17" s="100">
        <v>270000</v>
      </c>
      <c r="U17" s="101">
        <f t="shared" si="0"/>
        <v>-4.0000000000000036E-2</v>
      </c>
      <c r="V17" s="102">
        <f t="shared" si="1"/>
        <v>4284.7932818673235</v>
      </c>
      <c r="W17" s="102">
        <f t="shared" si="2"/>
        <v>4284.7932818673235</v>
      </c>
      <c r="X17" s="102">
        <f t="shared" si="3"/>
        <v>4463.3263352784616</v>
      </c>
      <c r="Y17" s="102" t="s">
        <v>215</v>
      </c>
      <c r="Z17" s="554"/>
      <c r="AA17" s="103">
        <v>45499</v>
      </c>
      <c r="AB17" s="313">
        <v>51840</v>
      </c>
      <c r="AC17" s="313"/>
      <c r="AD17" s="103"/>
      <c r="AE17" s="313"/>
      <c r="AF17" s="103"/>
      <c r="AG17" s="313">
        <v>207360</v>
      </c>
      <c r="AH17" s="95" t="s">
        <v>247</v>
      </c>
      <c r="AI17" s="95"/>
      <c r="AJ17" s="306"/>
      <c r="AK17" s="306"/>
      <c r="AL17" s="306"/>
      <c r="AM17" s="306"/>
      <c r="AN17" s="306"/>
      <c r="AO17" s="104" t="s">
        <v>17489</v>
      </c>
      <c r="AP17" s="104" t="s">
        <v>734</v>
      </c>
      <c r="AQ17" s="104" t="s">
        <v>17982</v>
      </c>
      <c r="AR17" s="1612" t="s">
        <v>17937</v>
      </c>
      <c r="AS17" s="104"/>
      <c r="AT17" s="104"/>
      <c r="AU17" s="104"/>
      <c r="AV17" s="115"/>
      <c r="AW17" s="115"/>
      <c r="AX17" s="457">
        <v>290000</v>
      </c>
    </row>
    <row r="18" spans="1:50" s="457" customFormat="1" ht="15">
      <c r="A18" s="95">
        <v>17</v>
      </c>
      <c r="B18" s="96" t="s">
        <v>40</v>
      </c>
      <c r="C18" s="97" t="s">
        <v>91</v>
      </c>
      <c r="D18" s="97">
        <v>2</v>
      </c>
      <c r="E18" s="97" t="s">
        <v>42</v>
      </c>
      <c r="F18" s="1166">
        <v>93.8</v>
      </c>
      <c r="G18" s="1167">
        <v>12.61</v>
      </c>
      <c r="H18" s="1167"/>
      <c r="I18" s="1167"/>
      <c r="J18" s="121">
        <f t="shared" si="4"/>
        <v>97.582999999999998</v>
      </c>
      <c r="K18" s="371">
        <v>1</v>
      </c>
      <c r="L18" s="95">
        <v>-2</v>
      </c>
      <c r="M18" s="95" t="s">
        <v>17329</v>
      </c>
      <c r="N18" s="99"/>
      <c r="O18" s="99"/>
      <c r="P18" s="95" t="s">
        <v>258</v>
      </c>
      <c r="Q18" s="100">
        <v>404160</v>
      </c>
      <c r="R18" s="100">
        <v>404000</v>
      </c>
      <c r="S18" s="115">
        <f t="shared" si="5"/>
        <v>404160</v>
      </c>
      <c r="T18" s="100">
        <v>421000</v>
      </c>
      <c r="U18" s="101">
        <f t="shared" si="0"/>
        <v>-4.0000000000000036E-2</v>
      </c>
      <c r="V18" s="102">
        <f t="shared" si="1"/>
        <v>4141.7050100939714</v>
      </c>
      <c r="W18" s="102">
        <f>R18/J18</f>
        <v>4140.0653802404104</v>
      </c>
      <c r="X18" s="102">
        <f t="shared" si="3"/>
        <v>4314.2760521812197</v>
      </c>
      <c r="Y18" s="102"/>
      <c r="Z18" s="554">
        <v>45795</v>
      </c>
      <c r="AA18" s="128">
        <v>45828</v>
      </c>
      <c r="AB18" s="275">
        <f>5000+75832</f>
        <v>80832</v>
      </c>
      <c r="AC18" s="275"/>
      <c r="AD18" s="128"/>
      <c r="AE18" s="275"/>
      <c r="AF18" s="128"/>
      <c r="AG18" s="275">
        <f>80%*Q18</f>
        <v>323328</v>
      </c>
      <c r="AH18" s="95" t="s">
        <v>247</v>
      </c>
      <c r="AI18" s="95"/>
      <c r="AJ18" s="306"/>
      <c r="AK18" s="306"/>
      <c r="AL18" s="306"/>
      <c r="AM18" s="306"/>
      <c r="AN18" s="95"/>
      <c r="AO18" s="330" t="s">
        <v>18017</v>
      </c>
      <c r="AP18" s="330" t="s">
        <v>265</v>
      </c>
      <c r="AQ18" s="330" t="s">
        <v>17981</v>
      </c>
      <c r="AR18" s="95"/>
      <c r="AS18" s="95"/>
      <c r="AT18" s="95"/>
      <c r="AU18" s="95"/>
      <c r="AV18" s="115"/>
      <c r="AW18" s="115"/>
    </row>
    <row r="19" spans="1:50" s="457" customFormat="1" ht="15">
      <c r="A19" s="95">
        <v>18</v>
      </c>
      <c r="B19" s="96" t="s">
        <v>41</v>
      </c>
      <c r="C19" s="97" t="s">
        <v>91</v>
      </c>
      <c r="D19" s="97">
        <v>2</v>
      </c>
      <c r="E19" s="97" t="s">
        <v>42</v>
      </c>
      <c r="F19" s="1166">
        <v>80.87</v>
      </c>
      <c r="G19" s="1167">
        <v>12.91</v>
      </c>
      <c r="H19" s="1167"/>
      <c r="I19" s="1167"/>
      <c r="J19" s="121">
        <f t="shared" si="4"/>
        <v>84.743000000000009</v>
      </c>
      <c r="K19" s="371">
        <v>1</v>
      </c>
      <c r="L19" s="95">
        <v>-2</v>
      </c>
      <c r="M19" s="95" t="s">
        <v>17329</v>
      </c>
      <c r="N19" s="105">
        <v>1</v>
      </c>
      <c r="O19" s="105"/>
      <c r="P19" s="95" t="s">
        <v>258</v>
      </c>
      <c r="Q19" s="100">
        <v>380000</v>
      </c>
      <c r="R19" s="100"/>
      <c r="S19" s="115">
        <f t="shared" si="5"/>
        <v>379200</v>
      </c>
      <c r="T19" s="100">
        <v>395000</v>
      </c>
      <c r="U19" s="101">
        <f t="shared" si="0"/>
        <v>-4.0000000000000036E-2</v>
      </c>
      <c r="V19" s="102">
        <f t="shared" si="1"/>
        <v>4484.1461831655706</v>
      </c>
      <c r="W19" s="102">
        <f t="shared" si="2"/>
        <v>4474.7058754115378</v>
      </c>
      <c r="X19" s="102">
        <f t="shared" si="3"/>
        <v>4661.1519535536854</v>
      </c>
      <c r="Y19" s="102" t="s">
        <v>215</v>
      </c>
      <c r="Z19" s="554">
        <v>45604</v>
      </c>
      <c r="AA19" s="103">
        <v>45628</v>
      </c>
      <c r="AB19" s="313">
        <f>5000+71000</f>
        <v>76000</v>
      </c>
      <c r="AC19" s="313"/>
      <c r="AD19" s="103"/>
      <c r="AE19" s="313"/>
      <c r="AF19" s="103"/>
      <c r="AG19" s="313">
        <v>304000</v>
      </c>
      <c r="AH19" s="95" t="s">
        <v>247</v>
      </c>
      <c r="AI19" s="95"/>
      <c r="AJ19" s="306"/>
      <c r="AK19" s="306"/>
      <c r="AL19" s="306"/>
      <c r="AM19" s="306"/>
      <c r="AN19" s="95"/>
      <c r="AO19" s="104" t="s">
        <v>17722</v>
      </c>
      <c r="AP19" s="104" t="s">
        <v>17721</v>
      </c>
      <c r="AQ19" s="104" t="s">
        <v>17982</v>
      </c>
      <c r="AR19" s="1612" t="s">
        <v>17938</v>
      </c>
      <c r="AS19" s="104"/>
      <c r="AT19" s="104"/>
      <c r="AU19" s="104"/>
      <c r="AV19" s="115"/>
      <c r="AW19" s="115"/>
    </row>
    <row r="20" spans="1:50" s="106" customFormat="1" ht="15">
      <c r="A20" s="31">
        <v>19</v>
      </c>
      <c r="B20" s="87" t="s">
        <v>42</v>
      </c>
      <c r="C20" s="88" t="s">
        <v>89</v>
      </c>
      <c r="D20" s="88">
        <v>2</v>
      </c>
      <c r="E20" s="88" t="s">
        <v>752</v>
      </c>
      <c r="F20" s="90">
        <v>128.54</v>
      </c>
      <c r="G20" s="24">
        <v>23.65</v>
      </c>
      <c r="H20" s="24"/>
      <c r="I20" s="24"/>
      <c r="J20" s="224">
        <f t="shared" si="4"/>
        <v>135.63499999999999</v>
      </c>
      <c r="K20" s="375">
        <v>2</v>
      </c>
      <c r="L20" s="31">
        <v>-2</v>
      </c>
      <c r="M20" s="31" t="s">
        <v>17326</v>
      </c>
      <c r="N20" s="94">
        <v>1</v>
      </c>
      <c r="O20" s="94"/>
      <c r="P20" s="31"/>
      <c r="Q20" s="89"/>
      <c r="R20" s="89">
        <v>590000</v>
      </c>
      <c r="S20" s="39">
        <f>0.93*T20</f>
        <v>667740</v>
      </c>
      <c r="T20" s="89">
        <v>718000</v>
      </c>
      <c r="U20" s="37">
        <f t="shared" si="0"/>
        <v>-6.9999999999999951E-2</v>
      </c>
      <c r="V20" s="32">
        <f t="shared" si="1"/>
        <v>0</v>
      </c>
      <c r="W20" s="32">
        <f t="shared" si="2"/>
        <v>4923.0655804180342</v>
      </c>
      <c r="X20" s="32">
        <f t="shared" si="3"/>
        <v>5293.6189036753058</v>
      </c>
      <c r="Y20" s="32"/>
      <c r="Z20" s="278"/>
      <c r="AA20" s="33"/>
      <c r="AB20" s="311"/>
      <c r="AC20" s="311"/>
      <c r="AD20" s="36"/>
      <c r="AE20" s="311"/>
      <c r="AF20" s="36"/>
      <c r="AG20" s="311"/>
      <c r="AH20" s="31"/>
      <c r="AI20" s="31"/>
      <c r="AJ20" s="307"/>
      <c r="AK20" s="307"/>
      <c r="AL20" s="307"/>
      <c r="AM20" s="307"/>
      <c r="AN20" s="31"/>
      <c r="AO20" s="34"/>
      <c r="AP20" s="34"/>
      <c r="AQ20" s="34"/>
      <c r="AR20" s="34"/>
      <c r="AS20" s="34"/>
      <c r="AT20" s="303"/>
      <c r="AU20" s="303"/>
      <c r="AV20" s="39"/>
      <c r="AW20" s="39"/>
    </row>
    <row r="21" spans="1:50" s="457" customFormat="1" ht="15">
      <c r="A21" s="95">
        <v>20</v>
      </c>
      <c r="B21" s="96" t="s">
        <v>43</v>
      </c>
      <c r="C21" s="97" t="s">
        <v>89</v>
      </c>
      <c r="D21" s="97">
        <v>3</v>
      </c>
      <c r="E21" s="97" t="s">
        <v>17261</v>
      </c>
      <c r="F21" s="1166">
        <v>151.66999999999999</v>
      </c>
      <c r="G21" s="1167">
        <v>28.16</v>
      </c>
      <c r="H21" s="1167"/>
      <c r="I21" s="1167"/>
      <c r="J21" s="121">
        <f t="shared" si="4"/>
        <v>160.11799999999999</v>
      </c>
      <c r="K21" s="371">
        <v>2</v>
      </c>
      <c r="L21" s="95">
        <v>-2</v>
      </c>
      <c r="M21" s="95" t="s">
        <v>17326</v>
      </c>
      <c r="N21" s="105">
        <v>1</v>
      </c>
      <c r="O21" s="105"/>
      <c r="P21" s="95" t="s">
        <v>258</v>
      </c>
      <c r="Q21" s="100">
        <v>868800</v>
      </c>
      <c r="R21" s="100">
        <v>770000</v>
      </c>
      <c r="S21" s="115">
        <f>0.96*T21</f>
        <v>868800</v>
      </c>
      <c r="T21" s="100">
        <v>905000</v>
      </c>
      <c r="U21" s="101">
        <f t="shared" si="0"/>
        <v>-4.0000000000000036E-2</v>
      </c>
      <c r="V21" s="102">
        <f t="shared" si="1"/>
        <v>5425.9983262344022</v>
      </c>
      <c r="W21" s="102">
        <f t="shared" si="2"/>
        <v>5425.9983262344022</v>
      </c>
      <c r="X21" s="102">
        <f t="shared" si="3"/>
        <v>5652.0815898275023</v>
      </c>
      <c r="Y21" s="102"/>
      <c r="Z21" s="554">
        <v>45960</v>
      </c>
      <c r="AA21" s="103">
        <v>45995</v>
      </c>
      <c r="AB21" s="313">
        <f>5000+(20%*Q21-5000)</f>
        <v>173760</v>
      </c>
      <c r="AC21" s="313"/>
      <c r="AD21" s="103"/>
      <c r="AE21" s="313"/>
      <c r="AF21" s="103"/>
      <c r="AG21" s="313">
        <f>80%*Q21</f>
        <v>695040</v>
      </c>
      <c r="AH21" s="95" t="s">
        <v>222</v>
      </c>
      <c r="AI21" s="95"/>
      <c r="AJ21" s="306"/>
      <c r="AK21" s="306"/>
      <c r="AL21" s="306"/>
      <c r="AM21" s="306"/>
      <c r="AN21" s="95"/>
      <c r="AO21" s="104" t="s">
        <v>18394</v>
      </c>
      <c r="AP21" s="104" t="s">
        <v>265</v>
      </c>
      <c r="AQ21" s="104" t="s">
        <v>17981</v>
      </c>
      <c r="AR21" s="1612" t="s">
        <v>18395</v>
      </c>
      <c r="AS21" s="104"/>
      <c r="AT21" s="104"/>
      <c r="AU21" s="104"/>
      <c r="AV21" s="115"/>
      <c r="AW21" s="115"/>
    </row>
    <row r="22" spans="1:50" s="457" customFormat="1" ht="15">
      <c r="A22" s="95">
        <v>21</v>
      </c>
      <c r="B22" s="96" t="s">
        <v>44</v>
      </c>
      <c r="C22" s="97" t="s">
        <v>90</v>
      </c>
      <c r="D22" s="97">
        <v>3</v>
      </c>
      <c r="E22" s="97" t="s">
        <v>37</v>
      </c>
      <c r="F22" s="1166">
        <v>68.290000000000006</v>
      </c>
      <c r="G22" s="1167">
        <v>12.91</v>
      </c>
      <c r="H22" s="1167"/>
      <c r="I22" s="1167"/>
      <c r="J22" s="121">
        <f t="shared" si="4"/>
        <v>72.163000000000011</v>
      </c>
      <c r="K22" s="371">
        <v>1</v>
      </c>
      <c r="L22" s="95">
        <v>-2</v>
      </c>
      <c r="M22" s="95" t="s">
        <v>17329</v>
      </c>
      <c r="N22" s="99">
        <v>1</v>
      </c>
      <c r="O22" s="99"/>
      <c r="P22" s="115" t="s">
        <v>258</v>
      </c>
      <c r="Q22" s="100">
        <v>307000</v>
      </c>
      <c r="R22" s="100"/>
      <c r="S22" s="115">
        <f t="shared" si="5"/>
        <v>307200</v>
      </c>
      <c r="T22" s="100">
        <v>320000</v>
      </c>
      <c r="U22" s="101">
        <f t="shared" si="0"/>
        <v>-4.0000000000000036E-2</v>
      </c>
      <c r="V22" s="102">
        <f t="shared" si="1"/>
        <v>4254.2577221013535</v>
      </c>
      <c r="W22" s="102">
        <f t="shared" si="2"/>
        <v>4257.0292255033737</v>
      </c>
      <c r="X22" s="102">
        <f t="shared" si="3"/>
        <v>4434.4054432326811</v>
      </c>
      <c r="Y22" s="102"/>
      <c r="Z22" s="554"/>
      <c r="AA22" s="103">
        <v>45506</v>
      </c>
      <c r="AB22" s="313">
        <v>61400</v>
      </c>
      <c r="AC22" s="313"/>
      <c r="AD22" s="103"/>
      <c r="AE22" s="313"/>
      <c r="AF22" s="103"/>
      <c r="AG22" s="313">
        <v>245600</v>
      </c>
      <c r="AH22" s="95" t="s">
        <v>274</v>
      </c>
      <c r="AI22" s="95"/>
      <c r="AJ22" s="306"/>
      <c r="AK22" s="306"/>
      <c r="AL22" s="306"/>
      <c r="AM22" s="306"/>
      <c r="AN22" s="95"/>
      <c r="AO22" s="104" t="s">
        <v>17507</v>
      </c>
      <c r="AP22" s="104" t="s">
        <v>517</v>
      </c>
      <c r="AQ22" s="104" t="s">
        <v>17982</v>
      </c>
      <c r="AR22" s="1612" t="s">
        <v>17939</v>
      </c>
      <c r="AS22" s="104"/>
      <c r="AT22" s="104"/>
      <c r="AU22" s="104"/>
      <c r="AV22" s="115"/>
      <c r="AW22" s="115"/>
    </row>
    <row r="23" spans="1:50" s="457" customFormat="1" ht="15">
      <c r="A23" s="95">
        <v>22</v>
      </c>
      <c r="B23" s="96" t="s">
        <v>45</v>
      </c>
      <c r="C23" s="97" t="s">
        <v>91</v>
      </c>
      <c r="D23" s="97">
        <v>3</v>
      </c>
      <c r="E23" s="97" t="s">
        <v>37</v>
      </c>
      <c r="F23" s="1166">
        <v>95.64</v>
      </c>
      <c r="G23" s="1167">
        <v>12.61</v>
      </c>
      <c r="H23" s="1167"/>
      <c r="I23" s="1167"/>
      <c r="J23" s="121">
        <f t="shared" si="4"/>
        <v>99.423000000000002</v>
      </c>
      <c r="K23" s="371">
        <v>1</v>
      </c>
      <c r="L23" s="95">
        <v>-2</v>
      </c>
      <c r="M23" s="95" t="s">
        <v>17329</v>
      </c>
      <c r="N23" s="105">
        <v>1</v>
      </c>
      <c r="O23" s="105" t="s">
        <v>17491</v>
      </c>
      <c r="P23" s="115" t="s">
        <v>258</v>
      </c>
      <c r="Q23" s="100">
        <v>510000</v>
      </c>
      <c r="R23" s="100">
        <v>440000</v>
      </c>
      <c r="S23" s="115">
        <f t="shared" si="5"/>
        <v>489600</v>
      </c>
      <c r="T23" s="100">
        <v>510000</v>
      </c>
      <c r="U23" s="101">
        <f t="shared" si="0"/>
        <v>-4.0000000000000036E-2</v>
      </c>
      <c r="V23" s="102">
        <f t="shared" si="1"/>
        <v>5129.5977791859023</v>
      </c>
      <c r="W23" s="102">
        <f>R23/J23</f>
        <v>4425.5353389054844</v>
      </c>
      <c r="X23" s="102">
        <f t="shared" si="3"/>
        <v>5129.5977791859023</v>
      </c>
      <c r="Y23" s="102"/>
      <c r="Z23" s="554">
        <v>45786</v>
      </c>
      <c r="AA23" s="103">
        <v>45848</v>
      </c>
      <c r="AB23" s="313">
        <f>5000+97000</f>
        <v>102000</v>
      </c>
      <c r="AC23" s="313"/>
      <c r="AD23" s="103"/>
      <c r="AE23" s="313"/>
      <c r="AF23" s="103"/>
      <c r="AG23" s="313">
        <v>408000</v>
      </c>
      <c r="AH23" s="95" t="s">
        <v>247</v>
      </c>
      <c r="AI23" s="95"/>
      <c r="AJ23" s="306"/>
      <c r="AK23" s="306"/>
      <c r="AL23" s="306"/>
      <c r="AM23" s="306"/>
      <c r="AN23" s="95"/>
      <c r="AO23" s="104" t="s">
        <v>18004</v>
      </c>
      <c r="AP23" s="104" t="s">
        <v>565</v>
      </c>
      <c r="AQ23" s="104" t="s">
        <v>17981</v>
      </c>
      <c r="AR23" s="1612" t="s">
        <v>18005</v>
      </c>
      <c r="AS23" s="104"/>
      <c r="AT23" s="104"/>
      <c r="AU23" s="104"/>
      <c r="AV23" s="115"/>
      <c r="AW23" s="115"/>
    </row>
    <row r="24" spans="1:50" s="457" customFormat="1" ht="15">
      <c r="A24" s="95">
        <v>23</v>
      </c>
      <c r="B24" s="96" t="s">
        <v>46</v>
      </c>
      <c r="C24" s="97" t="s">
        <v>91</v>
      </c>
      <c r="D24" s="97">
        <v>3</v>
      </c>
      <c r="E24" s="97" t="s">
        <v>37</v>
      </c>
      <c r="F24" s="1166">
        <v>102.18</v>
      </c>
      <c r="G24" s="1167">
        <v>12.61</v>
      </c>
      <c r="H24" s="1167"/>
      <c r="I24" s="1167"/>
      <c r="J24" s="121">
        <f t="shared" si="4"/>
        <v>105.96300000000001</v>
      </c>
      <c r="K24" s="371">
        <v>1</v>
      </c>
      <c r="L24" s="95">
        <v>-1</v>
      </c>
      <c r="M24" s="95" t="s">
        <v>17329</v>
      </c>
      <c r="N24" s="99">
        <v>1</v>
      </c>
      <c r="O24" s="99"/>
      <c r="P24" s="95" t="s">
        <v>258</v>
      </c>
      <c r="Q24" s="100">
        <v>419040</v>
      </c>
      <c r="R24" s="100"/>
      <c r="S24" s="115">
        <f t="shared" si="5"/>
        <v>419040</v>
      </c>
      <c r="T24" s="100">
        <v>436500</v>
      </c>
      <c r="U24" s="101">
        <f t="shared" si="0"/>
        <v>-4.0000000000000036E-2</v>
      </c>
      <c r="V24" s="102">
        <f t="shared" si="1"/>
        <v>3954.5879221992577</v>
      </c>
      <c r="W24" s="102">
        <f t="shared" si="2"/>
        <v>3954.5879221992577</v>
      </c>
      <c r="X24" s="102">
        <f t="shared" si="3"/>
        <v>4119.3624189575603</v>
      </c>
      <c r="Y24" s="102"/>
      <c r="Z24" s="554"/>
      <c r="AA24" s="103">
        <v>45525</v>
      </c>
      <c r="AB24" s="313">
        <v>41904</v>
      </c>
      <c r="AC24" s="313"/>
      <c r="AD24" s="103"/>
      <c r="AE24" s="313"/>
      <c r="AF24" s="103"/>
      <c r="AG24" s="313">
        <v>377136</v>
      </c>
      <c r="AH24" s="95" t="s">
        <v>247</v>
      </c>
      <c r="AI24" s="95"/>
      <c r="AJ24" s="306"/>
      <c r="AK24" s="306"/>
      <c r="AL24" s="306"/>
      <c r="AM24" s="306"/>
      <c r="AN24" s="95"/>
      <c r="AO24" s="104" t="s">
        <v>17583</v>
      </c>
      <c r="AP24" s="104" t="s">
        <v>265</v>
      </c>
      <c r="AQ24" s="112" t="s">
        <v>17981</v>
      </c>
      <c r="AR24" s="1612" t="s">
        <v>17940</v>
      </c>
      <c r="AS24" s="104"/>
      <c r="AT24" s="104"/>
      <c r="AU24" s="104"/>
      <c r="AV24" s="115"/>
      <c r="AW24" s="115"/>
    </row>
    <row r="25" spans="1:50" s="457" customFormat="1" ht="15">
      <c r="A25" s="95">
        <v>24</v>
      </c>
      <c r="B25" s="96" t="s">
        <v>47</v>
      </c>
      <c r="C25" s="97" t="s">
        <v>91</v>
      </c>
      <c r="D25" s="97">
        <v>3</v>
      </c>
      <c r="E25" s="97" t="s">
        <v>145</v>
      </c>
      <c r="F25" s="1166">
        <v>104.39</v>
      </c>
      <c r="G25" s="1167">
        <v>24.93</v>
      </c>
      <c r="H25" s="1167"/>
      <c r="I25" s="1167"/>
      <c r="J25" s="121">
        <f t="shared" si="4"/>
        <v>111.869</v>
      </c>
      <c r="K25" s="371">
        <v>1</v>
      </c>
      <c r="L25" s="95">
        <v>-1</v>
      </c>
      <c r="M25" s="95" t="s">
        <v>17329</v>
      </c>
      <c r="N25" s="105">
        <v>1</v>
      </c>
      <c r="O25" s="105"/>
      <c r="P25" s="95" t="s">
        <v>258</v>
      </c>
      <c r="Q25" s="100">
        <v>423360</v>
      </c>
      <c r="R25" s="100"/>
      <c r="S25" s="115">
        <f t="shared" si="5"/>
        <v>423360</v>
      </c>
      <c r="T25" s="100">
        <v>441000</v>
      </c>
      <c r="U25" s="101">
        <f t="shared" si="0"/>
        <v>-4.0000000000000036E-2</v>
      </c>
      <c r="V25" s="102">
        <f t="shared" si="1"/>
        <v>3784.42642733912</v>
      </c>
      <c r="W25" s="102">
        <f t="shared" si="2"/>
        <v>3784.42642733912</v>
      </c>
      <c r="X25" s="102">
        <f t="shared" si="3"/>
        <v>3942.1108618115832</v>
      </c>
      <c r="Y25" s="102" t="s">
        <v>215</v>
      </c>
      <c r="Z25" s="554"/>
      <c r="AA25" s="103">
        <v>45488</v>
      </c>
      <c r="AB25" s="313">
        <v>42336</v>
      </c>
      <c r="AC25" s="313"/>
      <c r="AD25" s="103"/>
      <c r="AE25" s="313"/>
      <c r="AF25" s="103"/>
      <c r="AG25" s="313">
        <v>381024</v>
      </c>
      <c r="AH25" s="95" t="s">
        <v>247</v>
      </c>
      <c r="AI25" s="95"/>
      <c r="AJ25" s="306"/>
      <c r="AK25" s="306"/>
      <c r="AL25" s="306"/>
      <c r="AM25" s="306"/>
      <c r="AN25" s="95"/>
      <c r="AO25" s="104" t="s">
        <v>17493</v>
      </c>
      <c r="AP25" s="132" t="s">
        <v>265</v>
      </c>
      <c r="AQ25" s="112" t="s">
        <v>17981</v>
      </c>
      <c r="AR25" s="1428" t="s">
        <v>17941</v>
      </c>
      <c r="AS25" s="132"/>
      <c r="AT25" s="1175"/>
      <c r="AU25" s="132"/>
      <c r="AV25" s="115"/>
      <c r="AW25" s="115"/>
    </row>
    <row r="26" spans="1:50" s="457" customFormat="1" ht="15">
      <c r="A26" s="95">
        <v>25</v>
      </c>
      <c r="B26" s="96" t="s">
        <v>48</v>
      </c>
      <c r="C26" s="97" t="s">
        <v>91</v>
      </c>
      <c r="D26" s="97">
        <v>3</v>
      </c>
      <c r="E26" s="97" t="s">
        <v>753</v>
      </c>
      <c r="F26" s="1166">
        <v>89.98</v>
      </c>
      <c r="G26" s="1167">
        <v>16.8</v>
      </c>
      <c r="H26" s="1167"/>
      <c r="I26" s="1167"/>
      <c r="J26" s="121">
        <f t="shared" si="4"/>
        <v>95.02000000000001</v>
      </c>
      <c r="K26" s="371">
        <v>1</v>
      </c>
      <c r="L26" s="95">
        <v>-1</v>
      </c>
      <c r="M26" s="95" t="s">
        <v>17329</v>
      </c>
      <c r="N26" s="99">
        <v>1</v>
      </c>
      <c r="O26" s="99"/>
      <c r="P26" s="95" t="s">
        <v>258</v>
      </c>
      <c r="Q26" s="100">
        <v>404160</v>
      </c>
      <c r="R26" s="100"/>
      <c r="S26" s="115">
        <f t="shared" si="5"/>
        <v>404160</v>
      </c>
      <c r="T26" s="100">
        <v>421000</v>
      </c>
      <c r="U26" s="101">
        <f t="shared" si="0"/>
        <v>-4.0000000000000036E-2</v>
      </c>
      <c r="V26" s="102">
        <f t="shared" si="1"/>
        <v>4253.4203325615654</v>
      </c>
      <c r="W26" s="102">
        <f t="shared" si="2"/>
        <v>4253.4203325615654</v>
      </c>
      <c r="X26" s="102">
        <f t="shared" si="3"/>
        <v>4430.6461797516304</v>
      </c>
      <c r="Y26" s="102"/>
      <c r="Z26" s="554">
        <v>45604</v>
      </c>
      <c r="AA26" s="103">
        <v>45629</v>
      </c>
      <c r="AB26" s="313">
        <v>40416</v>
      </c>
      <c r="AC26" s="313">
        <v>40416</v>
      </c>
      <c r="AD26" s="103"/>
      <c r="AE26" s="313"/>
      <c r="AF26" s="103"/>
      <c r="AG26" s="313">
        <v>323328</v>
      </c>
      <c r="AH26" s="95" t="s">
        <v>247</v>
      </c>
      <c r="AI26" s="95"/>
      <c r="AJ26" s="306"/>
      <c r="AK26" s="306"/>
      <c r="AL26" s="306"/>
      <c r="AM26" s="306"/>
      <c r="AN26" s="95"/>
      <c r="AO26" s="104" t="s">
        <v>17735</v>
      </c>
      <c r="AP26" s="104" t="s">
        <v>565</v>
      </c>
      <c r="AQ26" s="112" t="s">
        <v>17981</v>
      </c>
      <c r="AR26" s="1612" t="s">
        <v>17942</v>
      </c>
      <c r="AS26" s="104"/>
      <c r="AT26" s="104"/>
      <c r="AU26" s="104"/>
      <c r="AV26" s="115"/>
      <c r="AW26" s="115"/>
    </row>
    <row r="27" spans="1:50" s="457" customFormat="1" ht="15">
      <c r="A27" s="95">
        <v>26</v>
      </c>
      <c r="B27" s="96" t="s">
        <v>49</v>
      </c>
      <c r="C27" s="97" t="s">
        <v>90</v>
      </c>
      <c r="D27" s="97">
        <v>3</v>
      </c>
      <c r="E27" s="97" t="s">
        <v>42</v>
      </c>
      <c r="F27" s="1166">
        <v>55.87</v>
      </c>
      <c r="G27" s="1167">
        <v>8.68</v>
      </c>
      <c r="H27" s="1167"/>
      <c r="I27" s="1167"/>
      <c r="J27" s="121">
        <f t="shared" si="4"/>
        <v>58.473999999999997</v>
      </c>
      <c r="K27" s="371">
        <v>1</v>
      </c>
      <c r="L27" s="95">
        <v>-2</v>
      </c>
      <c r="M27" s="95" t="s">
        <v>17329</v>
      </c>
      <c r="N27" s="105">
        <v>1</v>
      </c>
      <c r="O27" s="105"/>
      <c r="P27" s="115" t="s">
        <v>258</v>
      </c>
      <c r="Q27" s="100">
        <v>299000</v>
      </c>
      <c r="R27" s="100"/>
      <c r="S27" s="115">
        <f t="shared" si="5"/>
        <v>299520</v>
      </c>
      <c r="T27" s="100">
        <v>312000</v>
      </c>
      <c r="U27" s="101">
        <f t="shared" si="0"/>
        <v>-4.0000000000000036E-2</v>
      </c>
      <c r="V27" s="102">
        <f t="shared" si="1"/>
        <v>5113.3837261004892</v>
      </c>
      <c r="W27" s="102">
        <f t="shared" si="2"/>
        <v>5122.276567363273</v>
      </c>
      <c r="X27" s="102">
        <f t="shared" si="3"/>
        <v>5335.7047576700761</v>
      </c>
      <c r="Y27" s="102"/>
      <c r="Z27" s="554">
        <v>45559</v>
      </c>
      <c r="AA27" s="103">
        <v>45583</v>
      </c>
      <c r="AB27" s="313">
        <v>59800</v>
      </c>
      <c r="AC27" s="313"/>
      <c r="AD27" s="103"/>
      <c r="AE27" s="313"/>
      <c r="AF27" s="103"/>
      <c r="AG27" s="313">
        <v>239200</v>
      </c>
      <c r="AH27" s="95" t="s">
        <v>247</v>
      </c>
      <c r="AI27" s="95"/>
      <c r="AJ27" s="306"/>
      <c r="AK27" s="306"/>
      <c r="AL27" s="306"/>
      <c r="AM27" s="306"/>
      <c r="AN27" s="95"/>
      <c r="AO27" s="104" t="s">
        <v>17670</v>
      </c>
      <c r="AP27" s="104" t="s">
        <v>265</v>
      </c>
      <c r="AQ27" s="112" t="s">
        <v>17981</v>
      </c>
      <c r="AR27" s="1614" t="s">
        <v>17943</v>
      </c>
      <c r="AS27" s="104"/>
      <c r="AT27" s="104"/>
      <c r="AU27" s="104"/>
      <c r="AV27" s="115"/>
      <c r="AW27" s="115"/>
    </row>
    <row r="28" spans="1:50" s="457" customFormat="1" ht="15">
      <c r="A28" s="95">
        <v>27</v>
      </c>
      <c r="B28" s="96" t="s">
        <v>50</v>
      </c>
      <c r="C28" s="97" t="s">
        <v>90</v>
      </c>
      <c r="D28" s="97">
        <v>3</v>
      </c>
      <c r="E28" s="97" t="s">
        <v>42</v>
      </c>
      <c r="F28" s="1166">
        <v>56.71</v>
      </c>
      <c r="G28" s="1167">
        <v>11.49</v>
      </c>
      <c r="H28" s="1167"/>
      <c r="I28" s="1167"/>
      <c r="J28" s="121">
        <f t="shared" si="4"/>
        <v>60.157000000000004</v>
      </c>
      <c r="K28" s="371">
        <v>1</v>
      </c>
      <c r="L28" s="95">
        <v>-2</v>
      </c>
      <c r="M28" s="95" t="s">
        <v>17329</v>
      </c>
      <c r="N28" s="99"/>
      <c r="O28" s="99"/>
      <c r="P28" s="115" t="s">
        <v>258</v>
      </c>
      <c r="Q28" s="100">
        <v>286600</v>
      </c>
      <c r="R28" s="100"/>
      <c r="S28" s="115">
        <f t="shared" si="5"/>
        <v>285600</v>
      </c>
      <c r="T28" s="100">
        <v>297500</v>
      </c>
      <c r="U28" s="101">
        <f t="shared" si="0"/>
        <v>-4.0000000000000036E-2</v>
      </c>
      <c r="V28" s="102">
        <f t="shared" si="1"/>
        <v>4764.2003424372888</v>
      </c>
      <c r="W28" s="102">
        <f t="shared" si="2"/>
        <v>4747.5771730638162</v>
      </c>
      <c r="X28" s="102">
        <f t="shared" si="3"/>
        <v>4945.3928886081421</v>
      </c>
      <c r="Y28" s="102"/>
      <c r="Z28" s="554" t="s">
        <v>17673</v>
      </c>
      <c r="AA28" s="103">
        <v>45516</v>
      </c>
      <c r="AB28" s="313">
        <v>57320</v>
      </c>
      <c r="AC28" s="313"/>
      <c r="AD28" s="103"/>
      <c r="AE28" s="313"/>
      <c r="AF28" s="103"/>
      <c r="AG28" s="313">
        <v>229280</v>
      </c>
      <c r="AH28" s="95" t="s">
        <v>247</v>
      </c>
      <c r="AI28" s="95"/>
      <c r="AJ28" s="306"/>
      <c r="AK28" s="306"/>
      <c r="AL28" s="306"/>
      <c r="AM28" s="306"/>
      <c r="AN28" s="95"/>
      <c r="AO28" s="104" t="s">
        <v>17589</v>
      </c>
      <c r="AP28" s="104" t="s">
        <v>265</v>
      </c>
      <c r="AQ28" s="112" t="s">
        <v>17981</v>
      </c>
      <c r="AR28" s="1612" t="s">
        <v>17944</v>
      </c>
      <c r="AS28" s="104"/>
      <c r="AT28" s="104"/>
      <c r="AU28" s="104"/>
      <c r="AV28" s="115"/>
      <c r="AW28" s="115"/>
    </row>
    <row r="29" spans="1:50" s="457" customFormat="1" ht="15">
      <c r="A29" s="95">
        <v>28</v>
      </c>
      <c r="B29" s="96" t="s">
        <v>51</v>
      </c>
      <c r="C29" s="97" t="s">
        <v>91</v>
      </c>
      <c r="D29" s="97">
        <v>3</v>
      </c>
      <c r="E29" s="97" t="s">
        <v>42</v>
      </c>
      <c r="F29" s="1166">
        <v>93.94</v>
      </c>
      <c r="G29" s="1167">
        <v>11.49</v>
      </c>
      <c r="H29" s="1167"/>
      <c r="I29" s="1167"/>
      <c r="J29" s="121">
        <f t="shared" si="4"/>
        <v>97.387</v>
      </c>
      <c r="K29" s="371">
        <v>1</v>
      </c>
      <c r="L29" s="95">
        <v>-2</v>
      </c>
      <c r="M29" s="95" t="s">
        <v>17329</v>
      </c>
      <c r="N29" s="105">
        <v>1</v>
      </c>
      <c r="O29" s="105"/>
      <c r="P29" s="115" t="s">
        <v>258</v>
      </c>
      <c r="Q29" s="100">
        <v>414000</v>
      </c>
      <c r="R29" s="100"/>
      <c r="S29" s="115">
        <f t="shared" si="5"/>
        <v>397440</v>
      </c>
      <c r="T29" s="100">
        <v>414000</v>
      </c>
      <c r="U29" s="101">
        <f t="shared" si="0"/>
        <v>-4.0000000000000036E-2</v>
      </c>
      <c r="V29" s="102">
        <f t="shared" si="1"/>
        <v>4251.0807397291219</v>
      </c>
      <c r="W29" s="102">
        <f t="shared" si="2"/>
        <v>4081.0375101399572</v>
      </c>
      <c r="X29" s="102">
        <f t="shared" si="3"/>
        <v>4251.0807397291219</v>
      </c>
      <c r="Y29" s="102"/>
      <c r="Z29" s="554">
        <v>45475</v>
      </c>
      <c r="AA29" s="103">
        <v>45483</v>
      </c>
      <c r="AB29" s="313">
        <v>82800</v>
      </c>
      <c r="AC29" s="313"/>
      <c r="AD29" s="103"/>
      <c r="AE29" s="313"/>
      <c r="AF29" s="103"/>
      <c r="AG29" s="313">
        <v>331200</v>
      </c>
      <c r="AH29" s="95" t="s">
        <v>247</v>
      </c>
      <c r="AI29" s="95"/>
      <c r="AJ29" s="306"/>
      <c r="AK29" s="306"/>
      <c r="AL29" s="306"/>
      <c r="AM29" s="306"/>
      <c r="AN29" s="95"/>
      <c r="AO29" s="104" t="s">
        <v>17514</v>
      </c>
      <c r="AP29" s="104" t="s">
        <v>265</v>
      </c>
      <c r="AQ29" s="112" t="s">
        <v>17981</v>
      </c>
      <c r="AR29" s="1612" t="s">
        <v>17945</v>
      </c>
      <c r="AS29" s="104"/>
      <c r="AT29" s="1175"/>
      <c r="AU29" s="104"/>
      <c r="AV29" s="115"/>
      <c r="AW29" s="115"/>
    </row>
    <row r="30" spans="1:50" s="457" customFormat="1" ht="15">
      <c r="A30" s="95">
        <v>29</v>
      </c>
      <c r="B30" s="96" t="s">
        <v>52</v>
      </c>
      <c r="C30" s="97" t="s">
        <v>91</v>
      </c>
      <c r="D30" s="97">
        <v>3</v>
      </c>
      <c r="E30" s="97" t="s">
        <v>42</v>
      </c>
      <c r="F30" s="1166">
        <v>80.87</v>
      </c>
      <c r="G30" s="1167">
        <v>11.75</v>
      </c>
      <c r="H30" s="1167"/>
      <c r="I30" s="1167"/>
      <c r="J30" s="121">
        <f t="shared" si="4"/>
        <v>84.39500000000001</v>
      </c>
      <c r="K30" s="371">
        <v>1</v>
      </c>
      <c r="L30" s="95">
        <v>-2</v>
      </c>
      <c r="M30" s="95" t="s">
        <v>17329</v>
      </c>
      <c r="N30" s="99">
        <v>1</v>
      </c>
      <c r="O30" s="99" t="s">
        <v>17491</v>
      </c>
      <c r="P30" s="95" t="s">
        <v>258</v>
      </c>
      <c r="Q30" s="100">
        <v>387000</v>
      </c>
      <c r="R30" s="100"/>
      <c r="S30" s="115">
        <f t="shared" si="5"/>
        <v>371520</v>
      </c>
      <c r="T30" s="100">
        <v>387000</v>
      </c>
      <c r="U30" s="101">
        <f t="shared" si="0"/>
        <v>-4.0000000000000036E-2</v>
      </c>
      <c r="V30" s="102">
        <f t="shared" si="1"/>
        <v>4585.5797144380585</v>
      </c>
      <c r="W30" s="102">
        <f t="shared" si="2"/>
        <v>4402.156525860536</v>
      </c>
      <c r="X30" s="102">
        <f t="shared" si="3"/>
        <v>4585.5797144380585</v>
      </c>
      <c r="Y30" s="102" t="s">
        <v>215</v>
      </c>
      <c r="Z30" s="554"/>
      <c r="AA30" s="103">
        <v>45551</v>
      </c>
      <c r="AB30" s="313">
        <v>38700</v>
      </c>
      <c r="AC30" s="313"/>
      <c r="AD30" s="103"/>
      <c r="AE30" s="313"/>
      <c r="AF30" s="103"/>
      <c r="AG30" s="313">
        <v>348300</v>
      </c>
      <c r="AH30" s="95" t="s">
        <v>247</v>
      </c>
      <c r="AI30" s="95"/>
      <c r="AJ30" s="306"/>
      <c r="AK30" s="306"/>
      <c r="AL30" s="306"/>
      <c r="AM30" s="306"/>
      <c r="AN30" s="95"/>
      <c r="AO30" s="104" t="s">
        <v>17513</v>
      </c>
      <c r="AP30" s="104" t="s">
        <v>517</v>
      </c>
      <c r="AQ30" s="104" t="s">
        <v>17982</v>
      </c>
      <c r="AR30" s="1612" t="s">
        <v>17946</v>
      </c>
      <c r="AS30" s="104"/>
      <c r="AT30" s="133"/>
      <c r="AU30" s="133"/>
      <c r="AV30" s="115"/>
      <c r="AW30" s="115"/>
    </row>
    <row r="31" spans="1:50" s="457" customFormat="1" ht="15">
      <c r="A31" s="95">
        <v>30</v>
      </c>
      <c r="B31" s="96" t="s">
        <v>53</v>
      </c>
      <c r="C31" s="97" t="s">
        <v>89</v>
      </c>
      <c r="D31" s="97">
        <v>3</v>
      </c>
      <c r="E31" s="97" t="s">
        <v>17263</v>
      </c>
      <c r="F31" s="1166">
        <v>128.54</v>
      </c>
      <c r="G31" s="1167">
        <v>21.48</v>
      </c>
      <c r="H31" s="1167"/>
      <c r="I31" s="1167"/>
      <c r="J31" s="121">
        <f t="shared" si="4"/>
        <v>134.98399999999998</v>
      </c>
      <c r="K31" s="371">
        <v>2</v>
      </c>
      <c r="L31" s="95">
        <v>-2</v>
      </c>
      <c r="M31" s="95" t="s">
        <v>17326</v>
      </c>
      <c r="N31" s="99">
        <v>1</v>
      </c>
      <c r="O31" s="99"/>
      <c r="P31" s="95" t="s">
        <v>258</v>
      </c>
      <c r="Q31" s="100">
        <v>651000</v>
      </c>
      <c r="R31" s="100"/>
      <c r="S31" s="115">
        <f>0.93*T31</f>
        <v>651000</v>
      </c>
      <c r="T31" s="100">
        <v>700000</v>
      </c>
      <c r="U31" s="101">
        <f t="shared" si="0"/>
        <v>-6.9999999999999951E-2</v>
      </c>
      <c r="V31" s="102">
        <f t="shared" si="1"/>
        <v>4822.7938126000126</v>
      </c>
      <c r="W31" s="102">
        <f t="shared" si="2"/>
        <v>4822.7938126000126</v>
      </c>
      <c r="X31" s="102">
        <f t="shared" si="3"/>
        <v>5185.7997984946369</v>
      </c>
      <c r="Y31" s="102" t="s">
        <v>215</v>
      </c>
      <c r="Z31" s="554"/>
      <c r="AA31" s="103">
        <v>45488</v>
      </c>
      <c r="AB31" s="313">
        <v>65100</v>
      </c>
      <c r="AC31" s="313"/>
      <c r="AD31" s="103"/>
      <c r="AE31" s="313"/>
      <c r="AF31" s="103"/>
      <c r="AG31" s="313">
        <v>585900</v>
      </c>
      <c r="AH31" s="95" t="s">
        <v>247</v>
      </c>
      <c r="AI31" s="95"/>
      <c r="AJ31" s="306"/>
      <c r="AK31" s="306"/>
      <c r="AL31" s="306"/>
      <c r="AM31" s="306"/>
      <c r="AN31" s="95"/>
      <c r="AO31" s="104" t="s">
        <v>17492</v>
      </c>
      <c r="AP31" s="104" t="s">
        <v>265</v>
      </c>
      <c r="AQ31" s="112" t="s">
        <v>17981</v>
      </c>
      <c r="AR31" s="1612" t="s">
        <v>17947</v>
      </c>
      <c r="AS31" s="104"/>
      <c r="AT31" s="1175"/>
      <c r="AU31" s="133"/>
      <c r="AV31" s="115"/>
      <c r="AW31" s="115"/>
    </row>
    <row r="32" spans="1:50" s="457" customFormat="1" ht="15">
      <c r="A32" s="95">
        <v>31</v>
      </c>
      <c r="B32" s="96" t="s">
        <v>54</v>
      </c>
      <c r="C32" s="97" t="s">
        <v>89</v>
      </c>
      <c r="D32" s="97">
        <v>4</v>
      </c>
      <c r="E32" s="97" t="s">
        <v>17261</v>
      </c>
      <c r="F32" s="1166">
        <v>151.66999999999999</v>
      </c>
      <c r="G32" s="1167">
        <v>28.16</v>
      </c>
      <c r="H32" s="1167"/>
      <c r="I32" s="1167"/>
      <c r="J32" s="121">
        <f t="shared" si="4"/>
        <v>160.11799999999999</v>
      </c>
      <c r="K32" s="371">
        <v>2</v>
      </c>
      <c r="L32" s="95">
        <v>-2</v>
      </c>
      <c r="M32" s="95" t="s">
        <v>17321</v>
      </c>
      <c r="N32" s="99"/>
      <c r="O32" s="99"/>
      <c r="P32" s="95" t="s">
        <v>258</v>
      </c>
      <c r="Q32" s="100">
        <v>898560</v>
      </c>
      <c r="R32" s="100">
        <v>790000</v>
      </c>
      <c r="S32" s="115">
        <f>0.96*T32</f>
        <v>898560</v>
      </c>
      <c r="T32" s="100">
        <v>936000</v>
      </c>
      <c r="U32" s="101">
        <f t="shared" si="0"/>
        <v>-4.0000000000000036E-2</v>
      </c>
      <c r="V32" s="102">
        <f t="shared" si="1"/>
        <v>5611.8612523264092</v>
      </c>
      <c r="W32" s="102">
        <f>S32/J32</f>
        <v>5611.8612523264092</v>
      </c>
      <c r="X32" s="102">
        <f t="shared" si="3"/>
        <v>5845.6888045066762</v>
      </c>
      <c r="Y32" s="102" t="s">
        <v>215</v>
      </c>
      <c r="Z32" s="554">
        <v>45959</v>
      </c>
      <c r="AA32" s="103">
        <v>45973</v>
      </c>
      <c r="AB32" s="313">
        <f>5000+174712</f>
        <v>179712</v>
      </c>
      <c r="AC32" s="313"/>
      <c r="AD32" s="103"/>
      <c r="AE32" s="313"/>
      <c r="AF32" s="103"/>
      <c r="AG32" s="313">
        <v>718848</v>
      </c>
      <c r="AH32" s="95" t="s">
        <v>247</v>
      </c>
      <c r="AI32" s="95"/>
      <c r="AJ32" s="306"/>
      <c r="AK32" s="306"/>
      <c r="AL32" s="306"/>
      <c r="AM32" s="306"/>
      <c r="AN32" s="95"/>
      <c r="AO32" s="104" t="s">
        <v>18379</v>
      </c>
      <c r="AP32" s="104" t="s">
        <v>17693</v>
      </c>
      <c r="AQ32" s="104" t="s">
        <v>17982</v>
      </c>
      <c r="AR32" s="104"/>
      <c r="AS32" s="104"/>
      <c r="AT32" s="104"/>
      <c r="AU32" s="104"/>
      <c r="AV32" s="115"/>
      <c r="AW32" s="115"/>
    </row>
    <row r="33" spans="1:50" s="457" customFormat="1" ht="15">
      <c r="A33" s="95">
        <v>32</v>
      </c>
      <c r="B33" s="96" t="s">
        <v>55</v>
      </c>
      <c r="C33" s="97" t="s">
        <v>90</v>
      </c>
      <c r="D33" s="97">
        <v>4</v>
      </c>
      <c r="E33" s="97" t="s">
        <v>37</v>
      </c>
      <c r="F33" s="1166">
        <v>68.290000000000006</v>
      </c>
      <c r="G33" s="1167">
        <v>12.91</v>
      </c>
      <c r="H33" s="1167"/>
      <c r="I33" s="1167"/>
      <c r="J33" s="121">
        <f t="shared" si="4"/>
        <v>72.163000000000011</v>
      </c>
      <c r="K33" s="371">
        <v>1</v>
      </c>
      <c r="L33" s="95">
        <v>-1</v>
      </c>
      <c r="M33" s="95" t="s">
        <v>17329</v>
      </c>
      <c r="N33" s="105">
        <v>1</v>
      </c>
      <c r="O33" s="105"/>
      <c r="P33" s="95" t="s">
        <v>258</v>
      </c>
      <c r="Q33" s="100">
        <v>288000</v>
      </c>
      <c r="R33" s="100"/>
      <c r="S33" s="115">
        <f t="shared" si="5"/>
        <v>288000</v>
      </c>
      <c r="T33" s="100">
        <v>300000</v>
      </c>
      <c r="U33" s="101">
        <f t="shared" si="0"/>
        <v>-4.0000000000000036E-2</v>
      </c>
      <c r="V33" s="102">
        <f t="shared" si="1"/>
        <v>3990.964898909413</v>
      </c>
      <c r="W33" s="102">
        <f t="shared" si="2"/>
        <v>3990.964898909413</v>
      </c>
      <c r="X33" s="102">
        <f t="shared" si="3"/>
        <v>4157.2551030306386</v>
      </c>
      <c r="Y33" s="102" t="s">
        <v>215</v>
      </c>
      <c r="Z33" s="554"/>
      <c r="AA33" s="103">
        <v>45488</v>
      </c>
      <c r="AB33" s="313">
        <v>57600</v>
      </c>
      <c r="AC33" s="313"/>
      <c r="AD33" s="103"/>
      <c r="AE33" s="313"/>
      <c r="AF33" s="103"/>
      <c r="AG33" s="313">
        <v>230400</v>
      </c>
      <c r="AH33" s="95" t="s">
        <v>247</v>
      </c>
      <c r="AI33" s="95"/>
      <c r="AJ33" s="306"/>
      <c r="AK33" s="306"/>
      <c r="AL33" s="306"/>
      <c r="AM33" s="306"/>
      <c r="AN33" s="95"/>
      <c r="AO33" s="104" t="s">
        <v>17488</v>
      </c>
      <c r="AP33" s="104" t="s">
        <v>265</v>
      </c>
      <c r="AQ33" s="112" t="s">
        <v>17981</v>
      </c>
      <c r="AR33" s="1615" t="s">
        <v>17948</v>
      </c>
      <c r="AS33" s="104"/>
      <c r="AT33" s="1175"/>
      <c r="AU33" s="104"/>
      <c r="AV33" s="115"/>
      <c r="AW33" s="115"/>
      <c r="AX33" s="457">
        <v>310000</v>
      </c>
    </row>
    <row r="34" spans="1:50" s="457" customFormat="1" ht="15.75" thickBot="1">
      <c r="A34" s="95">
        <v>33</v>
      </c>
      <c r="B34" s="96" t="s">
        <v>56</v>
      </c>
      <c r="C34" s="97" t="s">
        <v>91</v>
      </c>
      <c r="D34" s="97">
        <v>4</v>
      </c>
      <c r="E34" s="97" t="s">
        <v>37</v>
      </c>
      <c r="F34" s="1168">
        <v>95.64</v>
      </c>
      <c r="G34" s="1167">
        <v>12.61</v>
      </c>
      <c r="H34" s="1167"/>
      <c r="I34" s="1167"/>
      <c r="J34" s="121">
        <f t="shared" si="4"/>
        <v>99.423000000000002</v>
      </c>
      <c r="K34" s="372">
        <v>1</v>
      </c>
      <c r="L34" s="95">
        <v>-1</v>
      </c>
      <c r="M34" s="95" t="s">
        <v>17329</v>
      </c>
      <c r="N34" s="300">
        <v>1</v>
      </c>
      <c r="O34" s="99" t="s">
        <v>17491</v>
      </c>
      <c r="P34" s="95" t="s">
        <v>258</v>
      </c>
      <c r="Q34" s="100">
        <v>494400</v>
      </c>
      <c r="R34" s="100"/>
      <c r="S34" s="115">
        <f t="shared" si="5"/>
        <v>494400</v>
      </c>
      <c r="T34" s="100">
        <v>515000</v>
      </c>
      <c r="U34" s="101">
        <f t="shared" si="0"/>
        <v>-4.0000000000000036E-2</v>
      </c>
      <c r="V34" s="102">
        <f t="shared" si="1"/>
        <v>4972.6924353519807</v>
      </c>
      <c r="W34" s="102">
        <f t="shared" si="2"/>
        <v>4972.6924353519807</v>
      </c>
      <c r="X34" s="102">
        <f t="shared" si="3"/>
        <v>5179.8879534916468</v>
      </c>
      <c r="Y34" s="102"/>
      <c r="Z34" s="554">
        <v>45623</v>
      </c>
      <c r="AA34" s="103">
        <v>45632</v>
      </c>
      <c r="AB34" s="313">
        <f>5000+69160</f>
        <v>74160</v>
      </c>
      <c r="AC34" s="313"/>
      <c r="AD34" s="103"/>
      <c r="AE34" s="313"/>
      <c r="AF34" s="103"/>
      <c r="AG34" s="313">
        <v>420240</v>
      </c>
      <c r="AH34" s="95" t="s">
        <v>247</v>
      </c>
      <c r="AI34" s="95"/>
      <c r="AJ34" s="306"/>
      <c r="AK34" s="306"/>
      <c r="AL34" s="306"/>
      <c r="AM34" s="306"/>
      <c r="AN34" s="306"/>
      <c r="AO34" s="104" t="s">
        <v>17733</v>
      </c>
      <c r="AP34" s="104" t="s">
        <v>565</v>
      </c>
      <c r="AQ34" s="112" t="s">
        <v>17981</v>
      </c>
      <c r="AR34" s="1615" t="s">
        <v>17949</v>
      </c>
      <c r="AS34" s="104"/>
      <c r="AT34" s="104"/>
      <c r="AU34" s="104"/>
      <c r="AV34" s="115"/>
      <c r="AW34" s="115"/>
    </row>
    <row r="35" spans="1:50" s="457" customFormat="1" ht="15">
      <c r="A35" s="95">
        <v>34</v>
      </c>
      <c r="B35" s="96" t="s">
        <v>57</v>
      </c>
      <c r="C35" s="97" t="s">
        <v>91</v>
      </c>
      <c r="D35" s="97">
        <v>4</v>
      </c>
      <c r="E35" s="97" t="s">
        <v>37</v>
      </c>
      <c r="F35" s="1173">
        <v>102.18</v>
      </c>
      <c r="G35" s="1167">
        <v>12.61</v>
      </c>
      <c r="H35" s="1167"/>
      <c r="I35" s="1167"/>
      <c r="J35" s="121">
        <f t="shared" si="4"/>
        <v>105.96300000000001</v>
      </c>
      <c r="K35" s="370">
        <v>2</v>
      </c>
      <c r="L35" s="95">
        <v>-1</v>
      </c>
      <c r="M35" s="95" t="s">
        <v>17326</v>
      </c>
      <c r="N35" s="533">
        <v>1</v>
      </c>
      <c r="O35" s="105" t="s">
        <v>17491</v>
      </c>
      <c r="P35" s="95" t="s">
        <v>258</v>
      </c>
      <c r="Q35" s="100">
        <v>427680</v>
      </c>
      <c r="R35" s="100"/>
      <c r="S35" s="115">
        <f t="shared" si="5"/>
        <v>427680</v>
      </c>
      <c r="T35" s="100">
        <v>445500</v>
      </c>
      <c r="U35" s="101">
        <f t="shared" si="0"/>
        <v>-4.0000000000000036E-2</v>
      </c>
      <c r="V35" s="102">
        <f t="shared" si="1"/>
        <v>4036.1258175023354</v>
      </c>
      <c r="W35" s="102">
        <f t="shared" si="2"/>
        <v>4036.1258175023354</v>
      </c>
      <c r="X35" s="102">
        <f t="shared" si="3"/>
        <v>4204.2977265649324</v>
      </c>
      <c r="Y35" s="102"/>
      <c r="Z35" s="554"/>
      <c r="AA35" s="103">
        <v>45504</v>
      </c>
      <c r="AB35" s="313">
        <v>42768</v>
      </c>
      <c r="AC35" s="313"/>
      <c r="AD35" s="103"/>
      <c r="AE35" s="313"/>
      <c r="AF35" s="103"/>
      <c r="AG35" s="313">
        <v>384912</v>
      </c>
      <c r="AH35" s="313" t="s">
        <v>247</v>
      </c>
      <c r="AI35" s="95"/>
      <c r="AJ35" s="306"/>
      <c r="AK35" s="306"/>
      <c r="AL35" s="306"/>
      <c r="AM35" s="306"/>
      <c r="AN35" s="95"/>
      <c r="AO35" s="104" t="s">
        <v>17554</v>
      </c>
      <c r="AP35" s="132" t="s">
        <v>265</v>
      </c>
      <c r="AQ35" s="112" t="s">
        <v>17981</v>
      </c>
      <c r="AR35" s="1428" t="s">
        <v>17950</v>
      </c>
      <c r="AS35" s="132"/>
      <c r="AT35" s="132"/>
      <c r="AU35" s="132"/>
      <c r="AV35" s="115"/>
      <c r="AW35" s="115"/>
    </row>
    <row r="36" spans="1:50" s="457" customFormat="1" ht="15">
      <c r="A36" s="95">
        <v>35</v>
      </c>
      <c r="B36" s="96" t="s">
        <v>58</v>
      </c>
      <c r="C36" s="97" t="s">
        <v>91</v>
      </c>
      <c r="D36" s="97">
        <v>4</v>
      </c>
      <c r="E36" s="97" t="s">
        <v>145</v>
      </c>
      <c r="F36" s="1166">
        <v>104.39</v>
      </c>
      <c r="G36" s="1167">
        <v>24.93</v>
      </c>
      <c r="H36" s="1167"/>
      <c r="I36" s="1167"/>
      <c r="J36" s="121">
        <f t="shared" si="4"/>
        <v>111.869</v>
      </c>
      <c r="K36" s="371">
        <v>2</v>
      </c>
      <c r="L36" s="713">
        <v>-1</v>
      </c>
      <c r="M36" s="95" t="s">
        <v>17326</v>
      </c>
      <c r="N36" s="99">
        <v>1</v>
      </c>
      <c r="O36" s="99" t="s">
        <v>17491</v>
      </c>
      <c r="P36" s="95" t="s">
        <v>258</v>
      </c>
      <c r="Q36" s="100">
        <v>432000</v>
      </c>
      <c r="R36" s="100"/>
      <c r="S36" s="115">
        <f t="shared" si="5"/>
        <v>432000</v>
      </c>
      <c r="T36" s="100">
        <v>450000</v>
      </c>
      <c r="U36" s="101">
        <f t="shared" si="0"/>
        <v>-4.0000000000000036E-2</v>
      </c>
      <c r="V36" s="102">
        <f t="shared" si="1"/>
        <v>3861.6596197337958</v>
      </c>
      <c r="W36" s="102">
        <f t="shared" si="2"/>
        <v>3861.6596197337958</v>
      </c>
      <c r="X36" s="102">
        <f t="shared" si="3"/>
        <v>4022.5621038893705</v>
      </c>
      <c r="Y36" s="102"/>
      <c r="Z36" s="554"/>
      <c r="AA36" s="103">
        <v>45496</v>
      </c>
      <c r="AB36" s="313">
        <v>43200</v>
      </c>
      <c r="AC36" s="313"/>
      <c r="AD36" s="103"/>
      <c r="AE36" s="313"/>
      <c r="AF36" s="103"/>
      <c r="AG36" s="313">
        <v>388800</v>
      </c>
      <c r="AH36" s="313" t="s">
        <v>247</v>
      </c>
      <c r="AI36" s="95"/>
      <c r="AJ36" s="306"/>
      <c r="AK36" s="306"/>
      <c r="AL36" s="306"/>
      <c r="AM36" s="306"/>
      <c r="AN36" s="132"/>
      <c r="AO36" s="104" t="s">
        <v>17526</v>
      </c>
      <c r="AP36" s="132" t="s">
        <v>265</v>
      </c>
      <c r="AQ36" s="112" t="s">
        <v>17981</v>
      </c>
      <c r="AR36" s="1428" t="s">
        <v>17951</v>
      </c>
      <c r="AS36" s="132"/>
      <c r="AT36" s="104"/>
      <c r="AU36" s="104"/>
      <c r="AV36" s="115"/>
      <c r="AW36" s="115"/>
    </row>
    <row r="37" spans="1:50" s="457" customFormat="1" ht="15">
      <c r="A37" s="95">
        <v>36</v>
      </c>
      <c r="B37" s="96" t="s">
        <v>59</v>
      </c>
      <c r="C37" s="97" t="s">
        <v>91</v>
      </c>
      <c r="D37" s="97">
        <v>4</v>
      </c>
      <c r="E37" s="97" t="s">
        <v>753</v>
      </c>
      <c r="F37" s="1166">
        <v>89.98</v>
      </c>
      <c r="G37" s="1167">
        <v>13.8</v>
      </c>
      <c r="H37" s="1167"/>
      <c r="I37" s="1167"/>
      <c r="J37" s="121">
        <f t="shared" si="4"/>
        <v>94.12</v>
      </c>
      <c r="K37" s="371">
        <v>1</v>
      </c>
      <c r="L37" s="126">
        <v>-1</v>
      </c>
      <c r="M37" s="95" t="s">
        <v>17329</v>
      </c>
      <c r="N37" s="105">
        <v>1</v>
      </c>
      <c r="O37" s="105" t="s">
        <v>17491</v>
      </c>
      <c r="P37" s="95" t="s">
        <v>258</v>
      </c>
      <c r="Q37" s="100">
        <v>397440</v>
      </c>
      <c r="R37" s="100"/>
      <c r="S37" s="115">
        <f t="shared" si="5"/>
        <v>413760</v>
      </c>
      <c r="T37" s="100">
        <v>431000</v>
      </c>
      <c r="U37" s="101">
        <f>(Q37/T37)-1</f>
        <v>-7.7865429234338701E-2</v>
      </c>
      <c r="V37" s="102">
        <f t="shared" si="1"/>
        <v>4222.694432639184</v>
      </c>
      <c r="W37" s="102">
        <f t="shared" si="2"/>
        <v>4396.0900977475558</v>
      </c>
      <c r="X37" s="102">
        <f t="shared" si="3"/>
        <v>4579.2605184870372</v>
      </c>
      <c r="Y37" s="102"/>
      <c r="Z37" s="554">
        <v>45520</v>
      </c>
      <c r="AA37" s="103">
        <v>45533</v>
      </c>
      <c r="AB37" s="313">
        <v>79488</v>
      </c>
      <c r="AC37" s="313"/>
      <c r="AD37" s="103"/>
      <c r="AE37" s="313"/>
      <c r="AF37" s="103"/>
      <c r="AG37" s="313">
        <v>317952</v>
      </c>
      <c r="AH37" s="95" t="s">
        <v>247</v>
      </c>
      <c r="AI37" s="95"/>
      <c r="AJ37" s="306"/>
      <c r="AK37" s="306"/>
      <c r="AL37" s="306"/>
      <c r="AM37" s="306"/>
      <c r="AN37" s="95"/>
      <c r="AO37" s="104" t="s">
        <v>17587</v>
      </c>
      <c r="AP37" s="104" t="s">
        <v>265</v>
      </c>
      <c r="AQ37" s="112" t="s">
        <v>17981</v>
      </c>
      <c r="AR37" s="1612" t="s">
        <v>17952</v>
      </c>
      <c r="AS37" s="104"/>
      <c r="AT37" s="104"/>
      <c r="AU37" s="104"/>
      <c r="AV37" s="115"/>
      <c r="AW37" s="115"/>
    </row>
    <row r="38" spans="1:50" s="457" customFormat="1" ht="15">
      <c r="A38" s="95">
        <v>37</v>
      </c>
      <c r="B38" s="96" t="s">
        <v>60</v>
      </c>
      <c r="C38" s="97" t="s">
        <v>90</v>
      </c>
      <c r="D38" s="97">
        <v>4</v>
      </c>
      <c r="E38" s="97" t="s">
        <v>42</v>
      </c>
      <c r="F38" s="1166">
        <v>55.87</v>
      </c>
      <c r="G38" s="1167">
        <v>7.83</v>
      </c>
      <c r="H38" s="1167"/>
      <c r="I38" s="1167"/>
      <c r="J38" s="121">
        <f t="shared" si="4"/>
        <v>58.218999999999994</v>
      </c>
      <c r="K38" s="371">
        <v>1</v>
      </c>
      <c r="L38" s="95">
        <v>-1</v>
      </c>
      <c r="M38" s="95" t="s">
        <v>17329</v>
      </c>
      <c r="N38" s="99">
        <v>1</v>
      </c>
      <c r="O38" s="99">
        <f>4%*Q38/2</f>
        <v>5472</v>
      </c>
      <c r="P38" s="115" t="s">
        <v>258</v>
      </c>
      <c r="Q38" s="100">
        <v>273600</v>
      </c>
      <c r="R38" s="100"/>
      <c r="S38" s="115">
        <f t="shared" si="5"/>
        <v>273600</v>
      </c>
      <c r="T38" s="100">
        <v>285000</v>
      </c>
      <c r="U38" s="101">
        <f t="shared" si="0"/>
        <v>-4.0000000000000036E-2</v>
      </c>
      <c r="V38" s="102">
        <f t="shared" si="1"/>
        <v>4699.4967278723443</v>
      </c>
      <c r="W38" s="102">
        <f t="shared" si="2"/>
        <v>4699.4967278723443</v>
      </c>
      <c r="X38" s="102">
        <f t="shared" si="3"/>
        <v>4895.3090915336925</v>
      </c>
      <c r="Y38" s="102" t="s">
        <v>215</v>
      </c>
      <c r="Z38" s="554"/>
      <c r="AA38" s="103">
        <v>45513</v>
      </c>
      <c r="AB38" s="313">
        <v>27360</v>
      </c>
      <c r="AC38" s="313"/>
      <c r="AD38" s="103"/>
      <c r="AE38" s="313"/>
      <c r="AF38" s="103"/>
      <c r="AG38" s="313">
        <v>246240</v>
      </c>
      <c r="AH38" s="95" t="s">
        <v>222</v>
      </c>
      <c r="AI38" s="95"/>
      <c r="AJ38" s="306"/>
      <c r="AK38" s="306"/>
      <c r="AL38" s="306"/>
      <c r="AM38" s="306"/>
      <c r="AN38" s="95"/>
      <c r="AO38" s="104" t="s">
        <v>17496</v>
      </c>
      <c r="AP38" s="132" t="s">
        <v>265</v>
      </c>
      <c r="AQ38" s="112" t="s">
        <v>17981</v>
      </c>
      <c r="AR38" s="1428" t="s">
        <v>17953</v>
      </c>
      <c r="AS38" s="132"/>
      <c r="AT38" s="132"/>
      <c r="AU38" s="132"/>
      <c r="AV38" s="115"/>
      <c r="AW38" s="115"/>
    </row>
    <row r="39" spans="1:50" s="457" customFormat="1" ht="15">
      <c r="A39" s="95">
        <v>38</v>
      </c>
      <c r="B39" s="96" t="s">
        <v>61</v>
      </c>
      <c r="C39" s="97" t="s">
        <v>90</v>
      </c>
      <c r="D39" s="97">
        <v>4</v>
      </c>
      <c r="E39" s="97" t="s">
        <v>42</v>
      </c>
      <c r="F39" s="1166">
        <v>56.71</v>
      </c>
      <c r="G39" s="1167">
        <v>10.36</v>
      </c>
      <c r="H39" s="1167"/>
      <c r="I39" s="1167"/>
      <c r="J39" s="121">
        <f t="shared" si="4"/>
        <v>59.817999999999998</v>
      </c>
      <c r="K39" s="371">
        <v>1</v>
      </c>
      <c r="L39" s="95">
        <v>-1</v>
      </c>
      <c r="M39" s="95" t="s">
        <v>17329</v>
      </c>
      <c r="N39" s="105">
        <v>1</v>
      </c>
      <c r="O39" s="105"/>
      <c r="P39" s="95" t="s">
        <v>258</v>
      </c>
      <c r="Q39" s="100">
        <v>273600</v>
      </c>
      <c r="R39" s="100"/>
      <c r="S39" s="115">
        <f t="shared" si="5"/>
        <v>273600</v>
      </c>
      <c r="T39" s="100">
        <v>285000</v>
      </c>
      <c r="U39" s="101">
        <f t="shared" si="0"/>
        <v>-4.0000000000000036E-2</v>
      </c>
      <c r="V39" s="102">
        <f t="shared" si="1"/>
        <v>4573.8740847236622</v>
      </c>
      <c r="W39" s="102">
        <f t="shared" si="2"/>
        <v>4573.8740847236622</v>
      </c>
      <c r="X39" s="102">
        <f t="shared" si="3"/>
        <v>4764.4521715871479</v>
      </c>
      <c r="Y39" s="102" t="s">
        <v>215</v>
      </c>
      <c r="Z39" s="554"/>
      <c r="AA39" s="103">
        <v>45491</v>
      </c>
      <c r="AB39" s="313">
        <v>54720</v>
      </c>
      <c r="AC39" s="313"/>
      <c r="AD39" s="103"/>
      <c r="AE39" s="313"/>
      <c r="AF39" s="103"/>
      <c r="AG39" s="313">
        <f>80%*Q39</f>
        <v>218880</v>
      </c>
      <c r="AH39" s="95" t="s">
        <v>247</v>
      </c>
      <c r="AI39" s="95"/>
      <c r="AJ39" s="306"/>
      <c r="AK39" s="306"/>
      <c r="AL39" s="306"/>
      <c r="AM39" s="306"/>
      <c r="AN39" s="95"/>
      <c r="AO39" s="104" t="s">
        <v>17490</v>
      </c>
      <c r="AP39" s="104" t="s">
        <v>565</v>
      </c>
      <c r="AQ39" s="112" t="s">
        <v>17981</v>
      </c>
      <c r="AR39" s="1612" t="s">
        <v>17954</v>
      </c>
      <c r="AS39" s="104"/>
      <c r="AT39" s="1175"/>
      <c r="AU39" s="104"/>
      <c r="AV39" s="115"/>
      <c r="AW39" s="115"/>
    </row>
    <row r="40" spans="1:50" s="457" customFormat="1" ht="15">
      <c r="A40" s="95">
        <v>39</v>
      </c>
      <c r="B40" s="96" t="s">
        <v>62</v>
      </c>
      <c r="C40" s="97" t="s">
        <v>91</v>
      </c>
      <c r="D40" s="97">
        <v>4</v>
      </c>
      <c r="E40" s="97" t="s">
        <v>42</v>
      </c>
      <c r="F40" s="1166">
        <v>93.85</v>
      </c>
      <c r="G40" s="1167">
        <v>10.36</v>
      </c>
      <c r="H40" s="1167"/>
      <c r="I40" s="1167"/>
      <c r="J40" s="121">
        <f t="shared" si="4"/>
        <v>96.957999999999998</v>
      </c>
      <c r="K40" s="371">
        <v>1</v>
      </c>
      <c r="L40" s="95">
        <v>-1</v>
      </c>
      <c r="M40" s="95" t="s">
        <v>17329</v>
      </c>
      <c r="N40" s="99">
        <v>1</v>
      </c>
      <c r="O40" s="99" t="s">
        <v>17491</v>
      </c>
      <c r="P40" s="95" t="s">
        <v>258</v>
      </c>
      <c r="Q40" s="100">
        <v>422400</v>
      </c>
      <c r="R40" s="100">
        <v>410000</v>
      </c>
      <c r="S40" s="115">
        <f t="shared" si="5"/>
        <v>422400</v>
      </c>
      <c r="T40" s="100">
        <v>440000</v>
      </c>
      <c r="U40" s="101">
        <f t="shared" si="0"/>
        <v>-4.0000000000000036E-2</v>
      </c>
      <c r="V40" s="102">
        <f t="shared" si="1"/>
        <v>4356.525505889148</v>
      </c>
      <c r="W40" s="102">
        <f>R40/J40</f>
        <v>4228.6350791064169</v>
      </c>
      <c r="X40" s="102">
        <f t="shared" si="3"/>
        <v>4538.0474019678622</v>
      </c>
      <c r="Y40" s="102"/>
      <c r="Z40" s="554">
        <v>45795</v>
      </c>
      <c r="AA40" s="305">
        <v>45828</v>
      </c>
      <c r="AB40" s="327">
        <f>5000+79480</f>
        <v>84480</v>
      </c>
      <c r="AC40" s="327"/>
      <c r="AD40" s="1401"/>
      <c r="AE40" s="327"/>
      <c r="AF40" s="1401"/>
      <c r="AG40" s="327">
        <v>337920</v>
      </c>
      <c r="AH40" s="95" t="s">
        <v>247</v>
      </c>
      <c r="AI40" s="95"/>
      <c r="AJ40" s="306"/>
      <c r="AK40" s="306"/>
      <c r="AL40" s="306"/>
      <c r="AM40" s="306"/>
      <c r="AN40" s="95"/>
      <c r="AO40" s="330" t="s">
        <v>18017</v>
      </c>
      <c r="AP40" s="330" t="s">
        <v>265</v>
      </c>
      <c r="AQ40" s="330" t="s">
        <v>17981</v>
      </c>
      <c r="AR40" s="330"/>
      <c r="AS40" s="330"/>
      <c r="AT40" s="134"/>
      <c r="AU40" s="134"/>
      <c r="AV40" s="115"/>
      <c r="AW40" s="115"/>
    </row>
    <row r="41" spans="1:50" s="457" customFormat="1" ht="15">
      <c r="A41" s="95">
        <v>40</v>
      </c>
      <c r="B41" s="96" t="s">
        <v>63</v>
      </c>
      <c r="C41" s="97" t="s">
        <v>91</v>
      </c>
      <c r="D41" s="97">
        <v>4</v>
      </c>
      <c r="E41" s="97" t="s">
        <v>42</v>
      </c>
      <c r="F41" s="1166">
        <v>80.87</v>
      </c>
      <c r="G41" s="1167">
        <v>10.6</v>
      </c>
      <c r="H41" s="1167"/>
      <c r="I41" s="1167"/>
      <c r="J41" s="121">
        <f t="shared" si="4"/>
        <v>84.050000000000011</v>
      </c>
      <c r="K41" s="371">
        <v>1</v>
      </c>
      <c r="L41" s="95">
        <v>-1</v>
      </c>
      <c r="M41" s="95" t="s">
        <v>17329</v>
      </c>
      <c r="N41" s="105">
        <v>1</v>
      </c>
      <c r="O41" s="105" t="s">
        <v>17491</v>
      </c>
      <c r="P41" s="115" t="s">
        <v>258</v>
      </c>
      <c r="Q41" s="100">
        <v>396000</v>
      </c>
      <c r="R41" s="100"/>
      <c r="S41" s="115">
        <f t="shared" si="5"/>
        <v>395520</v>
      </c>
      <c r="T41" s="100">
        <v>412000</v>
      </c>
      <c r="U41" s="101">
        <f t="shared" si="0"/>
        <v>-4.0000000000000036E-2</v>
      </c>
      <c r="V41" s="102">
        <f t="shared" si="1"/>
        <v>4711.4812611540747</v>
      </c>
      <c r="W41" s="102">
        <f t="shared" si="2"/>
        <v>4705.7703747769183</v>
      </c>
      <c r="X41" s="102">
        <f t="shared" si="3"/>
        <v>4901.8441403926226</v>
      </c>
      <c r="Y41" s="102" t="s">
        <v>215</v>
      </c>
      <c r="Z41" s="554"/>
      <c r="AA41" s="103">
        <v>45527</v>
      </c>
      <c r="AB41" s="313">
        <v>79200</v>
      </c>
      <c r="AC41" s="313"/>
      <c r="AD41" s="103"/>
      <c r="AE41" s="313"/>
      <c r="AF41" s="103"/>
      <c r="AG41" s="313">
        <v>316800</v>
      </c>
      <c r="AH41" s="95" t="s">
        <v>247</v>
      </c>
      <c r="AI41" s="95"/>
      <c r="AJ41" s="306"/>
      <c r="AK41" s="306"/>
      <c r="AL41" s="306"/>
      <c r="AM41" s="306"/>
      <c r="AN41" s="306"/>
      <c r="AO41" s="104" t="s">
        <v>17593</v>
      </c>
      <c r="AP41" s="132" t="s">
        <v>265</v>
      </c>
      <c r="AQ41" s="112" t="s">
        <v>17981</v>
      </c>
      <c r="AR41" s="1428" t="s">
        <v>17955</v>
      </c>
      <c r="AS41" s="132"/>
      <c r="AT41" s="132"/>
      <c r="AU41" s="132"/>
      <c r="AV41" s="115"/>
      <c r="AW41" s="115"/>
    </row>
    <row r="42" spans="1:50" s="457" customFormat="1" ht="15">
      <c r="A42" s="95">
        <v>41</v>
      </c>
      <c r="B42" s="96" t="s">
        <v>64</v>
      </c>
      <c r="C42" s="97" t="s">
        <v>89</v>
      </c>
      <c r="D42" s="97">
        <v>4</v>
      </c>
      <c r="E42" s="97" t="s">
        <v>17263</v>
      </c>
      <c r="F42" s="1166">
        <v>128.51</v>
      </c>
      <c r="G42" s="1167">
        <v>19.309999999999999</v>
      </c>
      <c r="H42" s="1167"/>
      <c r="I42" s="1167"/>
      <c r="J42" s="121">
        <f t="shared" si="4"/>
        <v>134.303</v>
      </c>
      <c r="K42" s="371">
        <v>2</v>
      </c>
      <c r="L42" s="95">
        <v>-2</v>
      </c>
      <c r="M42" s="95" t="s">
        <v>17321</v>
      </c>
      <c r="N42" s="99"/>
      <c r="O42" s="99"/>
      <c r="P42" s="95" t="s">
        <v>258</v>
      </c>
      <c r="Q42" s="100">
        <v>660300</v>
      </c>
      <c r="R42" s="100"/>
      <c r="S42" s="115">
        <f>0.93*T42</f>
        <v>660300</v>
      </c>
      <c r="T42" s="100">
        <v>710000</v>
      </c>
      <c r="U42" s="101">
        <f t="shared" si="0"/>
        <v>-6.9999999999999951E-2</v>
      </c>
      <c r="V42" s="102">
        <f t="shared" si="1"/>
        <v>4916.4947916278861</v>
      </c>
      <c r="W42" s="102">
        <f t="shared" si="2"/>
        <v>4916.4947916278861</v>
      </c>
      <c r="X42" s="102">
        <f t="shared" si="3"/>
        <v>5286.553539384824</v>
      </c>
      <c r="Y42" s="102" t="s">
        <v>215</v>
      </c>
      <c r="Z42" s="554"/>
      <c r="AA42" s="103">
        <v>45488</v>
      </c>
      <c r="AB42" s="313">
        <v>66030</v>
      </c>
      <c r="AC42" s="313"/>
      <c r="AD42" s="103"/>
      <c r="AE42" s="313"/>
      <c r="AF42" s="103"/>
      <c r="AG42" s="313">
        <v>594270</v>
      </c>
      <c r="AH42" s="95" t="s">
        <v>247</v>
      </c>
      <c r="AI42" s="95"/>
      <c r="AJ42" s="306"/>
      <c r="AK42" s="306"/>
      <c r="AL42" s="306"/>
      <c r="AM42" s="306"/>
      <c r="AN42" s="95"/>
      <c r="AO42" s="104" t="s">
        <v>17492</v>
      </c>
      <c r="AP42" s="104" t="s">
        <v>265</v>
      </c>
      <c r="AQ42" s="112" t="s">
        <v>17981</v>
      </c>
      <c r="AR42" s="1612" t="s">
        <v>17956</v>
      </c>
      <c r="AS42" s="104"/>
      <c r="AT42" s="1175"/>
      <c r="AU42" s="104"/>
      <c r="AV42" s="115"/>
      <c r="AW42" s="115"/>
    </row>
    <row r="43" spans="1:50" s="106" customFormat="1" ht="15">
      <c r="A43" s="31">
        <v>42</v>
      </c>
      <c r="B43" s="87" t="s">
        <v>65</v>
      </c>
      <c r="C43" s="88" t="s">
        <v>213</v>
      </c>
      <c r="D43" s="88">
        <v>5</v>
      </c>
      <c r="E43" s="88" t="s">
        <v>17264</v>
      </c>
      <c r="F43" s="90">
        <v>240.09</v>
      </c>
      <c r="G43" s="24">
        <v>38.15</v>
      </c>
      <c r="H43" s="24">
        <v>56.34</v>
      </c>
      <c r="I43" s="24"/>
      <c r="J43" s="224">
        <f t="shared" si="4"/>
        <v>262.803</v>
      </c>
      <c r="K43" s="375">
        <v>3</v>
      </c>
      <c r="L43" s="31">
        <v>-1</v>
      </c>
      <c r="M43" s="31" t="s">
        <v>17328</v>
      </c>
      <c r="N43" s="92"/>
      <c r="O43" s="92"/>
      <c r="P43" s="31"/>
      <c r="Q43" s="39"/>
      <c r="R43" s="39">
        <v>1800000</v>
      </c>
      <c r="S43" s="39">
        <f t="shared" si="5"/>
        <v>2016000</v>
      </c>
      <c r="T43" s="89">
        <v>2100000</v>
      </c>
      <c r="U43" s="37">
        <f t="shared" si="0"/>
        <v>-4.0000000000000036E-2</v>
      </c>
      <c r="V43" s="32">
        <f t="shared" si="1"/>
        <v>0</v>
      </c>
      <c r="W43" s="32">
        <f>S43/J43</f>
        <v>7671.1453065604273</v>
      </c>
      <c r="X43" s="32">
        <f t="shared" si="3"/>
        <v>7990.7763610004449</v>
      </c>
      <c r="Y43" s="32"/>
      <c r="Z43" s="278"/>
      <c r="AA43" s="33"/>
      <c r="AB43" s="311"/>
      <c r="AC43" s="311"/>
      <c r="AD43" s="33"/>
      <c r="AE43" s="311"/>
      <c r="AF43" s="33"/>
      <c r="AG43" s="311"/>
      <c r="AH43" s="311"/>
      <c r="AI43" s="31"/>
      <c r="AJ43" s="307"/>
      <c r="AK43" s="307"/>
      <c r="AL43" s="307"/>
      <c r="AM43" s="307"/>
      <c r="AN43" s="31"/>
      <c r="AO43" s="34"/>
      <c r="AP43" s="34"/>
      <c r="AQ43" s="34"/>
      <c r="AR43" s="34"/>
      <c r="AS43" s="34"/>
      <c r="AT43" s="34"/>
      <c r="AU43" s="34"/>
      <c r="AV43" s="39"/>
      <c r="AW43" s="39"/>
    </row>
    <row r="44" spans="1:50" s="457" customFormat="1" ht="15">
      <c r="A44" s="95">
        <v>43</v>
      </c>
      <c r="B44" s="96" t="s">
        <v>66</v>
      </c>
      <c r="C44" s="97" t="s">
        <v>91</v>
      </c>
      <c r="D44" s="97">
        <v>5</v>
      </c>
      <c r="E44" s="97" t="s">
        <v>42</v>
      </c>
      <c r="F44" s="1166">
        <v>119.45</v>
      </c>
      <c r="G44" s="1167">
        <v>9.4499999999999993</v>
      </c>
      <c r="H44" s="1167"/>
      <c r="I44" s="1167"/>
      <c r="J44" s="121">
        <f t="shared" si="4"/>
        <v>122.285</v>
      </c>
      <c r="K44" s="371">
        <v>2</v>
      </c>
      <c r="L44" s="95">
        <v>-1</v>
      </c>
      <c r="M44" s="95" t="s">
        <v>17322</v>
      </c>
      <c r="N44" s="99"/>
      <c r="O44" s="99" t="s">
        <v>17491</v>
      </c>
      <c r="P44" s="95" t="s">
        <v>258</v>
      </c>
      <c r="Q44" s="100">
        <v>535680</v>
      </c>
      <c r="R44" s="100"/>
      <c r="S44" s="115">
        <f t="shared" si="5"/>
        <v>535680</v>
      </c>
      <c r="T44" s="100">
        <v>558000</v>
      </c>
      <c r="U44" s="101">
        <f t="shared" si="0"/>
        <v>-4.0000000000000036E-2</v>
      </c>
      <c r="V44" s="102">
        <f t="shared" si="1"/>
        <v>4380.5863352005563</v>
      </c>
      <c r="W44" s="102">
        <f t="shared" si="2"/>
        <v>4380.5863352005563</v>
      </c>
      <c r="X44" s="102">
        <f t="shared" si="3"/>
        <v>4563.1107658339124</v>
      </c>
      <c r="Y44" s="102" t="s">
        <v>215</v>
      </c>
      <c r="Z44" s="554"/>
      <c r="AA44" s="103">
        <v>45488</v>
      </c>
      <c r="AB44" s="313">
        <v>53568</v>
      </c>
      <c r="AC44" s="313"/>
      <c r="AD44" s="103"/>
      <c r="AE44" s="313"/>
      <c r="AF44" s="103"/>
      <c r="AG44" s="313">
        <v>482112</v>
      </c>
      <c r="AH44" s="95" t="s">
        <v>247</v>
      </c>
      <c r="AI44" s="95"/>
      <c r="AJ44" s="306"/>
      <c r="AK44" s="306"/>
      <c r="AL44" s="306"/>
      <c r="AM44" s="306"/>
      <c r="AN44" s="95"/>
      <c r="AO44" s="104" t="s">
        <v>17492</v>
      </c>
      <c r="AP44" s="104" t="s">
        <v>265</v>
      </c>
      <c r="AQ44" s="112" t="s">
        <v>17981</v>
      </c>
      <c r="AR44" s="1612" t="s">
        <v>17956</v>
      </c>
      <c r="AS44" s="104"/>
      <c r="AT44" s="1175"/>
      <c r="AU44" s="104"/>
      <c r="AV44" s="115"/>
      <c r="AW44" s="115"/>
    </row>
    <row r="45" spans="1:50" s="457" customFormat="1" ht="15">
      <c r="A45" s="95">
        <v>44</v>
      </c>
      <c r="B45" s="96" t="s">
        <v>67</v>
      </c>
      <c r="C45" s="97" t="s">
        <v>89</v>
      </c>
      <c r="D45" s="97">
        <v>5</v>
      </c>
      <c r="E45" s="97" t="s">
        <v>17262</v>
      </c>
      <c r="F45" s="1166">
        <v>150.99</v>
      </c>
      <c r="G45" s="1167">
        <v>9.23</v>
      </c>
      <c r="H45" s="1167">
        <v>79.430000000000007</v>
      </c>
      <c r="I45" s="1167"/>
      <c r="J45" s="121">
        <f t="shared" si="4"/>
        <v>169.64500000000001</v>
      </c>
      <c r="K45" s="371">
        <v>3</v>
      </c>
      <c r="L45" s="95">
        <v>-1</v>
      </c>
      <c r="M45" s="95" t="s">
        <v>17327</v>
      </c>
      <c r="N45" s="105"/>
      <c r="O45" s="105" t="s">
        <v>17491</v>
      </c>
      <c r="P45" s="95" t="s">
        <v>258</v>
      </c>
      <c r="Q45" s="100">
        <v>885000</v>
      </c>
      <c r="R45" s="100"/>
      <c r="S45" s="115">
        <f t="shared" si="5"/>
        <v>849600</v>
      </c>
      <c r="T45" s="100">
        <v>885000</v>
      </c>
      <c r="U45" s="101">
        <f t="shared" si="0"/>
        <v>-4.0000000000000036E-2</v>
      </c>
      <c r="V45" s="102">
        <f t="shared" si="1"/>
        <v>5216.7762091426212</v>
      </c>
      <c r="W45" s="102">
        <f t="shared" si="2"/>
        <v>5008.1051607769159</v>
      </c>
      <c r="X45" s="102">
        <f t="shared" si="3"/>
        <v>5216.7762091426212</v>
      </c>
      <c r="Y45" s="102"/>
      <c r="Z45" s="554"/>
      <c r="AA45" s="103">
        <v>45532</v>
      </c>
      <c r="AB45" s="313">
        <v>88500</v>
      </c>
      <c r="AC45" s="313"/>
      <c r="AD45" s="103"/>
      <c r="AE45" s="313"/>
      <c r="AF45" s="103"/>
      <c r="AG45" s="313">
        <v>796500</v>
      </c>
      <c r="AH45" s="95" t="s">
        <v>247</v>
      </c>
      <c r="AI45" s="95" t="s">
        <v>17551</v>
      </c>
      <c r="AJ45" s="306"/>
      <c r="AK45" s="306"/>
      <c r="AL45" s="306"/>
      <c r="AM45" s="306"/>
      <c r="AN45" s="95"/>
      <c r="AO45" s="104" t="s">
        <v>17550</v>
      </c>
      <c r="AP45" s="104" t="s">
        <v>265</v>
      </c>
      <c r="AQ45" s="112" t="s">
        <v>17981</v>
      </c>
      <c r="AR45" s="1612" t="s">
        <v>17957</v>
      </c>
      <c r="AS45" s="104"/>
      <c r="AT45" s="104"/>
      <c r="AU45" s="104"/>
      <c r="AV45" s="115"/>
      <c r="AW45" s="115"/>
    </row>
    <row r="46" spans="1:50" s="106" customFormat="1" ht="15">
      <c r="A46" s="31">
        <v>45</v>
      </c>
      <c r="B46" s="87" t="s">
        <v>68</v>
      </c>
      <c r="C46" s="88" t="s">
        <v>89</v>
      </c>
      <c r="D46" s="88">
        <v>5</v>
      </c>
      <c r="E46" s="88" t="s">
        <v>17262</v>
      </c>
      <c r="F46" s="90">
        <v>139.43</v>
      </c>
      <c r="G46" s="24">
        <v>9.23</v>
      </c>
      <c r="H46" s="24">
        <v>44.12</v>
      </c>
      <c r="I46" s="24"/>
      <c r="J46" s="224">
        <f>F46+0.5*G46+0.5*H46+0.5*I46</f>
        <v>166.10500000000002</v>
      </c>
      <c r="K46" s="375">
        <v>2</v>
      </c>
      <c r="L46" s="31">
        <v>-1</v>
      </c>
      <c r="M46" s="31" t="s">
        <v>17335</v>
      </c>
      <c r="N46" s="94"/>
      <c r="O46" s="94" t="s">
        <v>17491</v>
      </c>
      <c r="P46" s="31"/>
      <c r="Q46" s="89"/>
      <c r="R46" s="89">
        <v>700000</v>
      </c>
      <c r="S46" s="39">
        <f t="shared" si="5"/>
        <v>828480</v>
      </c>
      <c r="T46" s="89">
        <v>863000</v>
      </c>
      <c r="U46" s="37">
        <f t="shared" si="0"/>
        <v>-4.0000000000000036E-2</v>
      </c>
      <c r="V46" s="32">
        <f t="shared" si="1"/>
        <v>0</v>
      </c>
      <c r="W46" s="32">
        <f t="shared" si="2"/>
        <v>4987.6885102796423</v>
      </c>
      <c r="X46" s="32">
        <f t="shared" si="3"/>
        <v>5195.5088648746269</v>
      </c>
      <c r="Y46" s="32"/>
      <c r="Z46" s="278"/>
      <c r="AA46" s="1773"/>
      <c r="AB46" s="1774"/>
      <c r="AC46" s="1774"/>
      <c r="AD46" s="1773"/>
      <c r="AE46" s="1774"/>
      <c r="AF46" s="1773"/>
      <c r="AG46" s="1774"/>
      <c r="AH46" s="31"/>
      <c r="AI46" s="31"/>
      <c r="AJ46" s="307"/>
      <c r="AK46" s="307"/>
      <c r="AL46" s="307"/>
      <c r="AM46" s="307"/>
      <c r="AN46" s="307"/>
      <c r="AO46" s="34"/>
      <c r="AP46" s="36"/>
      <c r="AQ46" s="36"/>
      <c r="AR46" s="36"/>
      <c r="AS46" s="36"/>
      <c r="AT46" s="36"/>
      <c r="AU46" s="36"/>
      <c r="AV46" s="39"/>
      <c r="AW46" s="39"/>
    </row>
    <row r="47" spans="1:50" s="457" customFormat="1" ht="15.75" thickBot="1">
      <c r="A47" s="95">
        <v>46</v>
      </c>
      <c r="B47" s="96" t="s">
        <v>69</v>
      </c>
      <c r="C47" s="97" t="s">
        <v>89</v>
      </c>
      <c r="D47" s="97">
        <v>5</v>
      </c>
      <c r="E47" s="97" t="s">
        <v>17265</v>
      </c>
      <c r="F47" s="1166">
        <v>131.22</v>
      </c>
      <c r="G47" s="1167">
        <v>52.51</v>
      </c>
      <c r="H47" s="1167">
        <v>107.24</v>
      </c>
      <c r="I47" s="1167"/>
      <c r="J47" s="121">
        <f t="shared" si="4"/>
        <v>168.42099999999999</v>
      </c>
      <c r="K47" s="371">
        <v>3</v>
      </c>
      <c r="L47" s="95">
        <v>-1</v>
      </c>
      <c r="M47" s="95" t="s">
        <v>17327</v>
      </c>
      <c r="N47" s="105"/>
      <c r="O47" s="105" t="s">
        <v>17491</v>
      </c>
      <c r="P47" s="95" t="s">
        <v>258</v>
      </c>
      <c r="Q47" s="100">
        <v>864000</v>
      </c>
      <c r="R47" s="100">
        <v>750000</v>
      </c>
      <c r="S47" s="115">
        <f>0.96*T47</f>
        <v>864000</v>
      </c>
      <c r="T47" s="100">
        <v>900000</v>
      </c>
      <c r="U47" s="101">
        <f t="shared" si="0"/>
        <v>-4.0000000000000036E-2</v>
      </c>
      <c r="V47" s="102">
        <f t="shared" si="1"/>
        <v>5130.0016031255009</v>
      </c>
      <c r="W47" s="102">
        <f t="shared" si="2"/>
        <v>5130.0016031255009</v>
      </c>
      <c r="X47" s="102">
        <f t="shared" si="3"/>
        <v>5343.751669922397</v>
      </c>
      <c r="Y47" s="102"/>
      <c r="Z47" s="554">
        <v>45914</v>
      </c>
      <c r="AA47" s="103">
        <v>45973</v>
      </c>
      <c r="AB47" s="313">
        <f>5000+167800</f>
        <v>172800</v>
      </c>
      <c r="AC47" s="313"/>
      <c r="AD47" s="103"/>
      <c r="AE47" s="313"/>
      <c r="AF47" s="103"/>
      <c r="AG47" s="313">
        <f>691200</f>
        <v>691200</v>
      </c>
      <c r="AH47" s="95" t="s">
        <v>247</v>
      </c>
      <c r="AI47" s="95"/>
      <c r="AJ47" s="306"/>
      <c r="AK47" s="306"/>
      <c r="AL47" s="306"/>
      <c r="AM47" s="306"/>
      <c r="AN47" s="95"/>
      <c r="AO47" s="104" t="s">
        <v>18357</v>
      </c>
      <c r="AP47" s="104" t="s">
        <v>265</v>
      </c>
      <c r="AQ47" s="104"/>
      <c r="AR47" s="104"/>
      <c r="AS47" s="104"/>
      <c r="AT47" s="104"/>
      <c r="AU47" s="104"/>
      <c r="AV47" s="115"/>
      <c r="AW47" s="115"/>
    </row>
    <row r="48" spans="1:50" ht="13.5" thickBot="1">
      <c r="A48" s="2019" t="s">
        <v>298</v>
      </c>
      <c r="B48" s="2020"/>
      <c r="C48" s="2020"/>
      <c r="D48" s="2020"/>
      <c r="E48" s="2020"/>
      <c r="F48" s="235">
        <f>SUM(F2:F47)</f>
        <v>4643.7299999999987</v>
      </c>
      <c r="G48" s="235">
        <v>89</v>
      </c>
      <c r="H48" s="235">
        <f>SUM(H2:H47)</f>
        <v>831.73000000000013</v>
      </c>
      <c r="I48" s="235">
        <f>SUM(I2:I47)</f>
        <v>45</v>
      </c>
      <c r="J48" s="235">
        <f>SUM(J2:J47)</f>
        <v>5041.9320000000025</v>
      </c>
      <c r="K48" s="40">
        <f>SUM(K2:K47)</f>
        <v>67</v>
      </c>
      <c r="L48" s="40"/>
      <c r="M48" s="40"/>
      <c r="N48" s="40"/>
      <c r="O48" s="40"/>
      <c r="P48" s="40"/>
      <c r="Q48" s="41"/>
      <c r="R48" s="41"/>
      <c r="S48" s="40"/>
      <c r="T48" s="42"/>
      <c r="U48" s="40"/>
      <c r="V48" s="43"/>
      <c r="W48" s="43"/>
      <c r="X48" s="43"/>
      <c r="Y48" s="43"/>
      <c r="Z48" s="320"/>
      <c r="AA48" s="44"/>
      <c r="AB48" s="317"/>
      <c r="AC48" s="317"/>
      <c r="AD48" s="44"/>
      <c r="AE48" s="317"/>
      <c r="AF48" s="44"/>
      <c r="AG48" s="317"/>
      <c r="AH48" s="40"/>
      <c r="AI48" s="40"/>
      <c r="AJ48" s="40"/>
      <c r="AK48" s="40"/>
      <c r="AL48" s="40"/>
      <c r="AM48" s="40"/>
      <c r="AN48" s="40"/>
      <c r="AO48" s="45"/>
      <c r="AP48" s="45"/>
      <c r="AQ48" s="45"/>
      <c r="AR48" s="45"/>
      <c r="AS48" s="45"/>
      <c r="AT48" s="45"/>
      <c r="AU48" s="45"/>
      <c r="AV48" s="41"/>
      <c r="AW48" s="41"/>
    </row>
    <row r="49" spans="1:49" ht="13.5" thickBot="1">
      <c r="A49" s="40"/>
      <c r="B49" s="40"/>
      <c r="C49" s="40"/>
      <c r="D49" s="40"/>
      <c r="E49" s="40"/>
      <c r="F49" s="40"/>
      <c r="G49" s="40"/>
      <c r="H49" s="40"/>
      <c r="I49" s="40"/>
      <c r="J49" s="122"/>
      <c r="K49" s="40"/>
      <c r="L49" s="40"/>
      <c r="M49" s="40"/>
      <c r="N49" s="40"/>
      <c r="O49" s="40"/>
      <c r="P49" s="40"/>
      <c r="Q49" s="41"/>
      <c r="R49" s="41"/>
      <c r="S49" s="40"/>
      <c r="T49" s="41"/>
      <c r="U49" s="40"/>
      <c r="V49" s="40"/>
      <c r="W49" s="40"/>
      <c r="X49" s="40"/>
      <c r="Y49" s="40"/>
      <c r="Z49" s="320"/>
      <c r="AA49" s="320"/>
      <c r="AB49" s="43"/>
      <c r="AC49" s="43"/>
      <c r="AD49" s="40"/>
      <c r="AE49" s="43"/>
      <c r="AF49" s="40"/>
      <c r="AG49" s="43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1"/>
      <c r="AW49" s="41"/>
    </row>
    <row r="50" spans="1:49">
      <c r="A50" s="46"/>
      <c r="B50" s="47"/>
      <c r="C50" s="48" t="s">
        <v>139</v>
      </c>
      <c r="D50" s="48" t="s">
        <v>140</v>
      </c>
      <c r="E50" s="49" t="s">
        <v>17</v>
      </c>
      <c r="F50" s="107"/>
      <c r="G50" s="1915" t="s">
        <v>289</v>
      </c>
      <c r="H50" s="1916"/>
      <c r="I50" s="107"/>
      <c r="J50" s="1923" t="s">
        <v>17315</v>
      </c>
      <c r="K50" s="1924"/>
      <c r="L50" s="1924"/>
      <c r="M50" s="1924"/>
      <c r="N50" s="1924"/>
      <c r="O50" s="1924"/>
      <c r="P50" s="1924"/>
      <c r="Q50" s="1924"/>
      <c r="R50" s="1924"/>
      <c r="S50" s="1924"/>
      <c r="T50" s="1924"/>
      <c r="U50" s="1924"/>
      <c r="V50" s="1925"/>
      <c r="W50" s="40"/>
      <c r="X50" s="40"/>
      <c r="Y50" s="320"/>
      <c r="Z50" s="320"/>
      <c r="AA50" s="43"/>
      <c r="AB50" s="43"/>
      <c r="AC50" s="40"/>
      <c r="AD50" s="43"/>
      <c r="AE50" s="40"/>
      <c r="AF50" s="43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1"/>
      <c r="AV50" s="41"/>
      <c r="AW50" s="1"/>
    </row>
    <row r="51" spans="1:49">
      <c r="A51" s="1903" t="s">
        <v>258</v>
      </c>
      <c r="B51" s="1904"/>
      <c r="C51" s="50">
        <f>COUNTIF(P2:P47,A51)</f>
        <v>38</v>
      </c>
      <c r="D51" s="51">
        <f>SUMIF(P2:P47,A51,Q2:Q47)</f>
        <v>17073910</v>
      </c>
      <c r="E51" s="52">
        <f>AVERAGEIF(P2:P47,A51,V2:V47)</f>
        <v>4414.9337567226667</v>
      </c>
      <c r="F51" s="107"/>
      <c r="G51" s="225">
        <v>2024</v>
      </c>
      <c r="H51" s="227">
        <f>COUNTIFS(AA2:AA47,"&gt;="&amp;DATE(2024,1,1),AA2:AA47,"&lt;="&amp;DATE(2024,12,31))</f>
        <v>29</v>
      </c>
      <c r="I51" s="107"/>
      <c r="J51" s="691" t="s">
        <v>17303</v>
      </c>
      <c r="K51" s="691" t="s">
        <v>17304</v>
      </c>
      <c r="L51" s="692" t="s">
        <v>17305</v>
      </c>
      <c r="M51" s="693" t="s">
        <v>17306</v>
      </c>
      <c r="N51" s="693" t="s">
        <v>17307</v>
      </c>
      <c r="O51" s="693" t="s">
        <v>17308</v>
      </c>
      <c r="P51" s="694" t="s">
        <v>17309</v>
      </c>
      <c r="Q51" s="694" t="s">
        <v>17310</v>
      </c>
      <c r="R51" s="694"/>
      <c r="S51" s="694" t="s">
        <v>17311</v>
      </c>
      <c r="T51" s="694" t="s">
        <v>17312</v>
      </c>
      <c r="U51" s="694" t="s">
        <v>17313</v>
      </c>
      <c r="V51" s="694" t="s">
        <v>17314</v>
      </c>
      <c r="W51" s="40"/>
      <c r="X51" s="40"/>
      <c r="Y51" s="320"/>
      <c r="Z51" s="320"/>
      <c r="AA51" s="43"/>
      <c r="AB51" s="43"/>
      <c r="AC51" s="40"/>
      <c r="AD51" s="43"/>
      <c r="AE51" s="40"/>
      <c r="AF51" s="43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1"/>
      <c r="AV51" s="41"/>
      <c r="AW51" s="1"/>
    </row>
    <row r="52" spans="1:49">
      <c r="A52" s="1905" t="s">
        <v>102</v>
      </c>
      <c r="B52" s="1906"/>
      <c r="C52" s="53">
        <f>COUNTIF(P2:P47,A52)</f>
        <v>0</v>
      </c>
      <c r="D52" s="54">
        <f>SUMIF(P2:P47,A52,S2:S47)</f>
        <v>0</v>
      </c>
      <c r="E52" s="55" t="e">
        <f>AVERAGEIF(P2:P47,A52,W2:W47)</f>
        <v>#DIV/0!</v>
      </c>
      <c r="F52" s="107"/>
      <c r="G52" s="225">
        <v>2025</v>
      </c>
      <c r="H52" s="227">
        <f>COUNTIFS(AA2:AA47,"&gt;="&amp;DATE(2025,1,1),AA2:AA47,"&lt;="&amp;DATE(2025,12,31))</f>
        <v>9</v>
      </c>
      <c r="I52" s="107"/>
      <c r="J52" s="695">
        <f>COUNTIFS(AA2:AA47,"&gt;="&amp;DATE(2024,1,1),AA2:AA47,"&lt;="&amp;DATE(2024,1,31))</f>
        <v>0</v>
      </c>
      <c r="K52" s="695">
        <f>COUNTIFS(AA2:AA47,"&gt;="&amp;DATE(2024,2,1),AA2:AA47,"&lt;="&amp;DATE(2024,2,31))</f>
        <v>0</v>
      </c>
      <c r="L52" s="695">
        <f>COUNTIFS(AA2:AA47,"&gt;="&amp;DATE(2024,3,1),AA2:AA47,"&lt;="&amp;DATE(2024,3,31))</f>
        <v>0</v>
      </c>
      <c r="M52" s="695">
        <f>COUNTIFS(AA2:AA47,"&gt;="&amp;DATE(2024,4,1),AA2:AA47,"&lt;="&amp;DATE(2024,4,31))</f>
        <v>0</v>
      </c>
      <c r="N52" s="695">
        <f>COUNTIFS(AA2:AA47,"&gt;="&amp;DATE(2024,5,1),AA2:AA47,"&lt;="&amp;DATE(2024,5,31))</f>
        <v>0</v>
      </c>
      <c r="O52" s="695">
        <f>COUNTIFS(AA2:AA47,"&gt;="&amp;DATE(2024,6,1),AA2:AA47,"&lt;="&amp;DATE(2024,6,31))</f>
        <v>0</v>
      </c>
      <c r="P52" s="695">
        <f>COUNTIFS(AA2:AA47,"&gt;="&amp;DATE(2024,7,1),AA2:AA47,"&lt;="&amp;DATE(2024,7,31))</f>
        <v>14</v>
      </c>
      <c r="Q52" s="695">
        <f>COUNTIFS(AA2:AA47,"&gt;="&amp;DATE(2024,8,1),AA2:AA47,"&lt;="&amp;DATE(2024,8,31))</f>
        <v>8</v>
      </c>
      <c r="R52" s="695"/>
      <c r="S52" s="695">
        <f>COUNTIFS(AA2:AA47,"&gt;="&amp;DATE(2024,9,1),AA2:AA47,"&lt;="&amp;DATE(2024,9,31))</f>
        <v>3</v>
      </c>
      <c r="T52" s="695">
        <f>COUNTIFS(AA2:AA47,"&gt;="&amp;DATE(2024,10,1),AA2:AA47,"&lt;="&amp;DATE(2024,10,31))</f>
        <v>1</v>
      </c>
      <c r="U52" s="695">
        <f>COUNTIFS(AA2:AA47,"&gt;="&amp;DATE(2024,11,1),AA2:AA47,"&lt;="&amp;DATE(2024,11,31))</f>
        <v>0</v>
      </c>
      <c r="V52" s="695">
        <f>COUNTIFS(AA2:AA47,"&gt;="&amp;DATE(2024,12,1),AA2:AA47,"&lt;="&amp;DATE(2024,12,31))</f>
        <v>3</v>
      </c>
      <c r="W52" s="40"/>
      <c r="X52" s="40"/>
      <c r="Y52" s="320"/>
      <c r="Z52" s="320"/>
      <c r="AA52" s="43"/>
      <c r="AB52" s="43"/>
      <c r="AC52" s="40"/>
      <c r="AD52" s="43"/>
      <c r="AE52" s="40"/>
      <c r="AF52" s="43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1"/>
      <c r="AV52" s="41"/>
      <c r="AW52" s="1"/>
    </row>
    <row r="53" spans="1:49" ht="13.5" thickBot="1">
      <c r="A53" s="1907" t="s">
        <v>138</v>
      </c>
      <c r="B53" s="1908"/>
      <c r="C53" s="56">
        <f>COUNTIF(P2:P47,"")</f>
        <v>7</v>
      </c>
      <c r="D53" s="57">
        <f>SUMIF(P2:P47,"",S2:S47)</f>
        <v>5873820</v>
      </c>
      <c r="E53" s="58">
        <f>AVERAGEIF(P2:P47,"",W2:W47)</f>
        <v>4979.742140511692</v>
      </c>
      <c r="F53" s="107"/>
      <c r="G53" s="226">
        <v>2026</v>
      </c>
      <c r="H53" s="216">
        <f>COUNTIFS(AA2:AA47,"&gt;="&amp;DATE(2026,1,1),AA2:AA47,"&lt;="&amp;DATE(2026,12,31))</f>
        <v>0</v>
      </c>
      <c r="I53" s="107"/>
      <c r="J53" s="1923" t="s">
        <v>17817</v>
      </c>
      <c r="K53" s="1924"/>
      <c r="L53" s="1924"/>
      <c r="M53" s="1924"/>
      <c r="N53" s="1924"/>
      <c r="O53" s="1924"/>
      <c r="P53" s="1924"/>
      <c r="Q53" s="1924"/>
      <c r="R53" s="1924"/>
      <c r="S53" s="1924"/>
      <c r="T53" s="1924"/>
      <c r="U53" s="1924"/>
      <c r="V53" s="1925"/>
      <c r="W53" s="40"/>
      <c r="X53" s="40"/>
      <c r="Y53" s="320"/>
      <c r="Z53" s="320"/>
      <c r="AA53" s="43"/>
      <c r="AB53" s="43"/>
      <c r="AC53" s="40"/>
      <c r="AD53" s="43"/>
      <c r="AE53" s="40"/>
      <c r="AF53" s="43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1"/>
      <c r="AV53" s="41"/>
      <c r="AW53" s="1"/>
    </row>
    <row r="54" spans="1:49" ht="13.5" thickBot="1">
      <c r="A54" s="1897" t="s">
        <v>210</v>
      </c>
      <c r="B54" s="1898"/>
      <c r="C54" s="59">
        <f>COUNTIF(P2:P47,A54)</f>
        <v>1</v>
      </c>
      <c r="D54" s="60">
        <f>SUMIF(P2:P47,A54,Q2:Q47)</f>
        <v>427200</v>
      </c>
      <c r="E54" s="61">
        <f>AVERAGEIF(P2:P47,A54,V2:V47)</f>
        <v>3867.9535700704419</v>
      </c>
      <c r="F54" s="107"/>
      <c r="G54" s="107"/>
      <c r="H54" s="107"/>
      <c r="I54" s="107"/>
      <c r="J54" s="691" t="s">
        <v>17303</v>
      </c>
      <c r="K54" s="691" t="s">
        <v>17304</v>
      </c>
      <c r="L54" s="692" t="s">
        <v>17305</v>
      </c>
      <c r="M54" s="693" t="s">
        <v>17306</v>
      </c>
      <c r="N54" s="693" t="s">
        <v>17307</v>
      </c>
      <c r="O54" s="693" t="s">
        <v>17308</v>
      </c>
      <c r="P54" s="694" t="s">
        <v>17309</v>
      </c>
      <c r="Q54" s="694" t="s">
        <v>17310</v>
      </c>
      <c r="R54" s="694"/>
      <c r="S54" s="694" t="s">
        <v>17311</v>
      </c>
      <c r="T54" s="694" t="s">
        <v>17312</v>
      </c>
      <c r="U54" s="694" t="s">
        <v>17313</v>
      </c>
      <c r="V54" s="694" t="s">
        <v>17314</v>
      </c>
      <c r="W54" s="40"/>
      <c r="X54" s="40"/>
      <c r="Y54" s="320"/>
      <c r="Z54" s="320"/>
      <c r="AA54" s="43"/>
      <c r="AB54" s="43"/>
      <c r="AC54" s="40"/>
      <c r="AD54" s="43"/>
      <c r="AE54" s="40"/>
      <c r="AF54" s="43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1"/>
      <c r="AV54" s="41"/>
      <c r="AW54" s="1"/>
    </row>
    <row r="55" spans="1:49" ht="26.25" thickBot="1">
      <c r="A55" s="1895" t="s">
        <v>269</v>
      </c>
      <c r="B55" s="1896"/>
      <c r="C55" s="205">
        <f>SUBTOTAL(9,C51:C54)</f>
        <v>46</v>
      </c>
      <c r="D55" s="206">
        <f>SUM(D51:D54)</f>
        <v>23374930</v>
      </c>
      <c r="E55" s="207">
        <f>D55/J48</f>
        <v>4636.1057626322581</v>
      </c>
      <c r="F55" s="323"/>
      <c r="G55" s="308" t="s">
        <v>544</v>
      </c>
      <c r="H55" s="309">
        <f>C51/C55</f>
        <v>0.82608695652173914</v>
      </c>
      <c r="I55" s="107"/>
      <c r="J55" s="695">
        <f>COUNTIFS(AA2:AA47,"&gt;="&amp;DATE(2025,1,1),AA2:AA47,"&lt;="&amp;DATE(2025,1,31))</f>
        <v>1</v>
      </c>
      <c r="K55" s="695">
        <f>COUNTIFS(AA2:AA47,"&gt;="&amp;DATE(2025,2,1),AA2:AA47,"&lt;="&amp;DATE(2025,2,28))</f>
        <v>0</v>
      </c>
      <c r="L55" s="695">
        <f>COUNTIFS(AA2:AA47,"&gt;="&amp;DATE(2025,3,1),AA2:AA47,"&lt;="&amp;DATE(2025,3,31))</f>
        <v>1</v>
      </c>
      <c r="M55" s="695">
        <f>COUNTIFS(AA2:AA47,"&gt;="&amp;DATE(2025,4,1),AA2:AA47,"&lt;="&amp;DATE(2025,4,30))</f>
        <v>0</v>
      </c>
      <c r="N55" s="695">
        <f>COUNTIFS(AA2:AA47,"&gt;="&amp;DATE(2025,5,1),AA2:AA47,"&lt;="&amp;DATE(2025,5,31))</f>
        <v>0</v>
      </c>
      <c r="O55" s="695">
        <f>COUNTIFS(AA2:AA47,"&gt;="&amp;DATE(2025,6,1),AA2:AA47,"&lt;="&amp;DATE(2025,6,30))</f>
        <v>2</v>
      </c>
      <c r="P55" s="695">
        <f>COUNTIFS(AA2:AA47,"&gt;="&amp;DATE(2025,7,1),AA2:AA47,"&lt;="&amp;DATE(2025,7,31))</f>
        <v>1</v>
      </c>
      <c r="Q55" s="695">
        <f>COUNTIFS(AA2:AA47,"&gt;="&amp;DATE(2025,8,1),AA2:AA47,"&lt;="&amp;DATE(2025,8,31))</f>
        <v>0</v>
      </c>
      <c r="R55" s="695"/>
      <c r="S55" s="695">
        <f>COUNTIFS(AA2:AA47,"&gt;="&amp;DATE(2025,9,1),AA2:AA47,"&lt;="&amp;DATE(2025,9,30))</f>
        <v>1</v>
      </c>
      <c r="T55" s="695">
        <f>COUNTIFS(AA2:AA47,"&gt;="&amp;DATE(2025,10,1),AA2:AA47,"&lt;="&amp;DATE(2025,10,31))</f>
        <v>0</v>
      </c>
      <c r="U55" s="695">
        <f>COUNTIFS(AA2:AA47,"&gt;="&amp;DATE(2025,11,1),AA2:AA47,"&lt;="&amp;DATE(2025,11,30))</f>
        <v>2</v>
      </c>
      <c r="V55" s="695">
        <f>COUNTIFS(AA2:AA47,"&gt;="&amp;DATE(2025,12,1),AA2:AA47,"&lt;="&amp;DATE(2025,12,31))</f>
        <v>1</v>
      </c>
      <c r="W55" s="40"/>
      <c r="X55" s="40"/>
      <c r="Y55" s="320"/>
      <c r="Z55" s="320"/>
      <c r="AA55" s="43"/>
      <c r="AB55" s="43"/>
      <c r="AC55" s="40"/>
      <c r="AD55" s="43"/>
      <c r="AE55" s="40"/>
      <c r="AF55" s="43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1"/>
      <c r="AV55" s="41"/>
      <c r="AW55" s="1"/>
    </row>
    <row r="56" spans="1:49" ht="13.5" thickBot="1">
      <c r="A56" s="3"/>
      <c r="B56" s="3"/>
      <c r="C56" s="3"/>
      <c r="D56" s="3"/>
      <c r="E56" s="3"/>
      <c r="F56" s="107"/>
      <c r="G56" s="107"/>
      <c r="H56" s="107"/>
      <c r="I56" s="107"/>
      <c r="J56" s="1465"/>
      <c r="K56" s="1465"/>
      <c r="L56" s="1465"/>
      <c r="M56" s="1465"/>
      <c r="N56" s="1465"/>
      <c r="O56" s="1465"/>
      <c r="P56" s="1465"/>
      <c r="Q56" s="1465"/>
      <c r="R56" s="1465"/>
      <c r="S56" s="1465"/>
      <c r="T56" s="1465"/>
      <c r="U56" s="1465"/>
      <c r="V56" s="1465"/>
      <c r="W56" s="1465"/>
      <c r="X56" s="40"/>
      <c r="Y56" s="40"/>
      <c r="Z56" s="320"/>
      <c r="AA56" s="320"/>
      <c r="AB56" s="43"/>
      <c r="AC56" s="43"/>
      <c r="AD56" s="40"/>
      <c r="AE56" s="43"/>
      <c r="AF56" s="40"/>
      <c r="AG56" s="43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1"/>
      <c r="AW56" s="41"/>
    </row>
    <row r="57" spans="1:49" ht="13.5" thickBot="1">
      <c r="A57" s="1893" t="s">
        <v>139</v>
      </c>
      <c r="B57" s="1894"/>
      <c r="C57" s="62" t="s">
        <v>90</v>
      </c>
      <c r="D57" s="62" t="s">
        <v>91</v>
      </c>
      <c r="E57" s="62" t="s">
        <v>89</v>
      </c>
      <c r="F57" s="172" t="s">
        <v>213</v>
      </c>
      <c r="G57" s="49" t="s">
        <v>141</v>
      </c>
      <c r="H57" s="40"/>
      <c r="I57" s="508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320"/>
      <c r="AA57" s="320"/>
      <c r="AB57" s="43"/>
      <c r="AC57" s="43"/>
      <c r="AD57" s="40"/>
      <c r="AE57" s="43"/>
      <c r="AF57" s="40"/>
      <c r="AG57" s="43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1"/>
      <c r="AW57" s="41"/>
    </row>
    <row r="58" spans="1:49" ht="13.5" thickBot="1">
      <c r="A58" s="1903" t="s">
        <v>258</v>
      </c>
      <c r="B58" s="1904"/>
      <c r="C58" s="63">
        <f>COUNTIFS(P2:P47,A58,C2:C47,C57)</f>
        <v>11</v>
      </c>
      <c r="D58" s="63">
        <f>COUNTIFS(P2:P47,A58,C2:C47,D57)</f>
        <v>21</v>
      </c>
      <c r="E58" s="63">
        <f>COUNTIFS(P2:P47,A58,C2:C47,E57)</f>
        <v>6</v>
      </c>
      <c r="F58" s="176">
        <f>COUNTIFS(P2:P47,A58,C2:C47,F57)</f>
        <v>0</v>
      </c>
      <c r="G58" s="64">
        <f>SUM(C58:F58)</f>
        <v>38</v>
      </c>
      <c r="H58" s="40"/>
      <c r="I58" s="536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320"/>
      <c r="AA58" s="320"/>
      <c r="AB58" s="43"/>
      <c r="AC58" s="43"/>
      <c r="AD58" s="40"/>
      <c r="AE58" s="43"/>
      <c r="AF58" s="40"/>
      <c r="AG58" s="43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1"/>
      <c r="AW58" s="41"/>
    </row>
    <row r="59" spans="1:49" ht="13.5" thickBot="1">
      <c r="A59" s="1905" t="s">
        <v>102</v>
      </c>
      <c r="B59" s="1911"/>
      <c r="C59" s="65">
        <f>COUNTIFS(P2:P47,A59,C2:C47,C57)</f>
        <v>0</v>
      </c>
      <c r="D59" s="65">
        <f>COUNTIFS(P2:P47,A59,C2:C47,D57)</f>
        <v>0</v>
      </c>
      <c r="E59" s="65">
        <f>COUNTIFS(P2:P47,A59,C2:C47,E57)</f>
        <v>0</v>
      </c>
      <c r="F59" s="173">
        <f>COUNTIFS(P2:P47,A59,C2:C47,F57)</f>
        <v>0</v>
      </c>
      <c r="G59" s="66">
        <f>SUM(C59:F59)</f>
        <v>0</v>
      </c>
      <c r="H59" s="40"/>
      <c r="I59" s="40"/>
      <c r="J59" s="1890" t="s">
        <v>17437</v>
      </c>
      <c r="K59" s="1891"/>
      <c r="L59" s="1891"/>
      <c r="M59" s="1892"/>
      <c r="N59" s="40"/>
      <c r="O59" s="40"/>
      <c r="P59" s="1890" t="s">
        <v>17441</v>
      </c>
      <c r="Q59" s="1891"/>
      <c r="R59" s="1891"/>
      <c r="S59" s="1891"/>
      <c r="T59" s="1892"/>
      <c r="U59" s="40"/>
      <c r="V59" s="40"/>
      <c r="W59" s="40"/>
      <c r="X59" s="40"/>
      <c r="Y59" s="40"/>
      <c r="Z59" s="320"/>
      <c r="AA59" s="320"/>
      <c r="AB59" s="43"/>
      <c r="AC59" s="43"/>
      <c r="AD59" s="40"/>
      <c r="AE59" s="43"/>
      <c r="AF59" s="40"/>
      <c r="AG59" s="43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1"/>
      <c r="AW59" s="41"/>
    </row>
    <row r="60" spans="1:49" ht="13.5" thickBot="1">
      <c r="A60" s="1907" t="s">
        <v>138</v>
      </c>
      <c r="B60" s="1912"/>
      <c r="C60" s="67">
        <f>COUNTIFS(P2:P47,"",C2:C47,C57)</f>
        <v>0</v>
      </c>
      <c r="D60" s="67">
        <f>COUNTIFS(P2:P47,"",C2:C47,D57)</f>
        <v>3</v>
      </c>
      <c r="E60" s="67">
        <f>COUNTIFS(P2:P47,"",C2:C47,E57)</f>
        <v>3</v>
      </c>
      <c r="F60" s="174">
        <f>COUNTIFS(P2:P47,"",C2:C47,F57)</f>
        <v>1</v>
      </c>
      <c r="G60" s="68">
        <f>SUM(C60:F60)</f>
        <v>7</v>
      </c>
      <c r="H60" s="40"/>
      <c r="I60" s="40"/>
      <c r="J60" s="1010"/>
      <c r="K60" s="1011" t="s">
        <v>17438</v>
      </c>
      <c r="L60" s="1011">
        <v>2024</v>
      </c>
      <c r="M60" s="1011" t="s">
        <v>17444</v>
      </c>
      <c r="N60" s="40"/>
      <c r="O60" s="40"/>
      <c r="P60" s="1010"/>
      <c r="Q60" s="1011" t="s">
        <v>17438</v>
      </c>
      <c r="R60" s="1011"/>
      <c r="S60" s="1011">
        <v>2024</v>
      </c>
      <c r="T60" s="1013" t="s">
        <v>17444</v>
      </c>
      <c r="U60" s="40"/>
      <c r="V60" s="40"/>
      <c r="W60" s="40"/>
      <c r="X60" s="40"/>
      <c r="Y60" s="40"/>
      <c r="Z60" s="320"/>
      <c r="AA60" s="320"/>
      <c r="AB60" s="43"/>
      <c r="AC60" s="43"/>
      <c r="AD60" s="40"/>
      <c r="AE60" s="43"/>
      <c r="AF60" s="40"/>
      <c r="AG60" s="43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1"/>
      <c r="AW60" s="41"/>
    </row>
    <row r="61" spans="1:49" ht="13.5" thickBot="1">
      <c r="A61" s="1913" t="s">
        <v>210</v>
      </c>
      <c r="B61" s="1914"/>
      <c r="C61" s="69">
        <f>COUNTIFS(P2:P47,A61,C2:C47,C57)</f>
        <v>0</v>
      </c>
      <c r="D61" s="69">
        <f>COUNTIFS(P2:P47,A61,C2:C47,D57)</f>
        <v>1</v>
      </c>
      <c r="E61" s="69">
        <f>COUNTIFS(P2:P47,A61,C2:C47,E57)</f>
        <v>0</v>
      </c>
      <c r="F61" s="175">
        <f>COUNTIFS(P2:P47,A61,C2:C47,F57)</f>
        <v>0</v>
      </c>
      <c r="G61" s="605">
        <f>SUM(C61:F61)</f>
        <v>1</v>
      </c>
      <c r="H61" s="40"/>
      <c r="I61" s="40"/>
      <c r="J61" s="31" t="s">
        <v>17439</v>
      </c>
      <c r="K61" s="129" cm="1">
        <f t="array" ref="K61">COUNTIFS(P2:P47,CPCV,AH2:AH47,J61)</f>
        <v>0</v>
      </c>
      <c r="L61" s="129">
        <f>COUNTIFS(AA2:AA47,"&gt;="&amp;DATE(2024,1,1),AA2:AA47,"&lt;="&amp;DATE(2024,12,31),AH2:AH47,J61)</f>
        <v>25</v>
      </c>
      <c r="M61" s="343" t="e">
        <f>K61/K61+K62+K63</f>
        <v>#DIV/0!</v>
      </c>
      <c r="N61" s="40"/>
      <c r="O61" s="40"/>
      <c r="P61" s="34" t="s">
        <v>265</v>
      </c>
      <c r="Q61" s="719">
        <f>COUNTIFS($P$2:$P$47,P2,$AP$2:$AP$47,P61)</f>
        <v>23</v>
      </c>
      <c r="R61" s="719"/>
      <c r="S61" s="129">
        <f>COUNTIFS(AA2:AA47,"&gt;="&amp;DATE(2024,1,1),AA2:AA47,"&lt;="&amp;DATE(2024,12,31),AP2:AP47,P61)</f>
        <v>19</v>
      </c>
      <c r="T61" s="1014">
        <f>Q61/($Q$61+$Q$62+$Q$63+$Q$64+$Q$65+$Q$66+$Q$67)</f>
        <v>0.6216216216216216</v>
      </c>
      <c r="U61" s="40"/>
      <c r="V61" s="40"/>
      <c r="W61" s="40"/>
      <c r="X61" s="40"/>
      <c r="Y61" s="40"/>
      <c r="Z61" s="320"/>
      <c r="AA61" s="320"/>
      <c r="AB61" s="43"/>
      <c r="AC61" s="43"/>
      <c r="AD61" s="40"/>
      <c r="AE61" s="43"/>
      <c r="AF61" s="40"/>
      <c r="AG61" s="43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1"/>
      <c r="AW61" s="41"/>
    </row>
    <row r="62" spans="1:49" ht="13.5" customHeight="1" thickBot="1">
      <c r="A62" s="1899" t="s">
        <v>141</v>
      </c>
      <c r="B62" s="1900"/>
      <c r="C62" s="72">
        <f>SUM(C58:C61)</f>
        <v>11</v>
      </c>
      <c r="D62" s="72">
        <f>SUM(D58:D61)</f>
        <v>25</v>
      </c>
      <c r="E62" s="72">
        <f>SUM(E58:E61)</f>
        <v>9</v>
      </c>
      <c r="F62" s="72">
        <f>SUM(F58:F61)</f>
        <v>1</v>
      </c>
      <c r="G62" s="73">
        <f>SUM(G58:G61)</f>
        <v>46</v>
      </c>
      <c r="H62" s="40"/>
      <c r="I62" s="607"/>
      <c r="J62" s="665" t="s">
        <v>17440</v>
      </c>
      <c r="K62" s="129" cm="1">
        <f t="array" ref="K62">COUNTIFS(P2:P47,CPCV,AH2:AH47,J62)</f>
        <v>0</v>
      </c>
      <c r="L62" s="129">
        <f>COUNTIFS(AA2:AA47,"&gt;="&amp;DATE(2024,1,1),AA2:AA47,"&lt;="&amp;DATE(2024,12,31),AH2:AH47,J62)</f>
        <v>1</v>
      </c>
      <c r="M62" s="343" t="e">
        <f>K62/K61+K62+K63</f>
        <v>#DIV/0!</v>
      </c>
      <c r="N62" s="40"/>
      <c r="O62" s="40"/>
      <c r="P62" s="34" t="s">
        <v>517</v>
      </c>
      <c r="Q62" s="719">
        <f>COUNTIFS($P$2:$P$47,P45,$AP$2:$AP$47,P62)</f>
        <v>3</v>
      </c>
      <c r="R62" s="719"/>
      <c r="S62" s="129">
        <f>COUNTIFS(AA2:AA47,"&gt;="&amp;DATE(2024,1,1),AA2:AA47,"&lt;="&amp;DATE(2024,12,31),AP2:AP47,P62)</f>
        <v>2</v>
      </c>
      <c r="T62" s="1014">
        <f t="shared" ref="T62:T67" si="6">Q62/($Q$61+$Q$62+$Q$63+$Q$64+$Q$65+$Q$66+$Q$67)</f>
        <v>8.1081081081081086E-2</v>
      </c>
      <c r="U62" s="40"/>
      <c r="V62" s="40"/>
      <c r="W62" s="40"/>
      <c r="X62" s="40"/>
      <c r="Y62" s="40"/>
      <c r="Z62" s="320"/>
      <c r="AA62" s="320"/>
      <c r="AB62" s="43"/>
      <c r="AC62" s="43"/>
      <c r="AD62" s="40"/>
      <c r="AE62" s="43"/>
      <c r="AF62" s="40"/>
      <c r="AG62" s="43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1"/>
      <c r="AW62" s="41"/>
    </row>
    <row r="63" spans="1:49">
      <c r="A63" s="107"/>
      <c r="B63" s="107"/>
      <c r="C63" s="74"/>
      <c r="D63" s="74"/>
      <c r="E63" s="74"/>
      <c r="F63" s="74"/>
      <c r="G63" s="40"/>
      <c r="H63" s="601"/>
      <c r="I63" s="601"/>
      <c r="J63" s="665" t="s">
        <v>222</v>
      </c>
      <c r="K63" s="129" cm="1">
        <f t="array" ref="K63">COUNTIFS(P2:P47,CPCV,AH2:AH47,J63)</f>
        <v>0</v>
      </c>
      <c r="L63" s="129">
        <f>COUNTIFS(AA2:AA47,"&gt;="&amp;DATE(2024,1,1),AA2:AA47,"&lt;="&amp;DATE(2024,12,31),AH2:AH47,J63)</f>
        <v>3</v>
      </c>
      <c r="M63" s="343" t="e">
        <f>K63/K61+K62+K63</f>
        <v>#DIV/0!</v>
      </c>
      <c r="N63" s="40"/>
      <c r="O63" s="40"/>
      <c r="P63" s="34" t="s">
        <v>565</v>
      </c>
      <c r="Q63" s="719">
        <f>COUNTIFS($P$2:$P$48,P45,$AP$2:$AP$48,P63)</f>
        <v>8</v>
      </c>
      <c r="R63" s="719"/>
      <c r="S63" s="129">
        <f>COUNTIFS(AA2:AA47,"&gt;="&amp;DATE(2024,1,1),AA2:AA47,"&lt;="&amp;DATE(2024,12,31),AP2:AP47,P63)</f>
        <v>5</v>
      </c>
      <c r="T63" s="1014">
        <f t="shared" si="6"/>
        <v>0.21621621621621623</v>
      </c>
      <c r="U63" s="40"/>
      <c r="V63" s="40"/>
      <c r="W63" s="40"/>
      <c r="X63" s="40"/>
      <c r="Y63" s="320"/>
      <c r="Z63" s="320"/>
      <c r="AA63" s="320"/>
      <c r="AB63" s="43"/>
      <c r="AC63" s="40"/>
      <c r="AD63" s="43"/>
      <c r="AE63" s="40"/>
      <c r="AF63" s="43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1"/>
      <c r="AV63" s="41"/>
      <c r="AW63" s="1"/>
    </row>
    <row r="64" spans="1:49" ht="13.5" thickBot="1">
      <c r="A64" s="107"/>
      <c r="B64" s="107"/>
      <c r="C64" s="107"/>
      <c r="D64" s="107"/>
      <c r="E64" s="107"/>
      <c r="F64" s="40"/>
      <c r="G64" s="40"/>
      <c r="H64" s="40"/>
      <c r="I64" s="606"/>
      <c r="J64" s="40"/>
      <c r="K64" s="40"/>
      <c r="L64" s="40"/>
      <c r="M64" s="40"/>
      <c r="N64" s="40"/>
      <c r="O64" s="40"/>
      <c r="P64" s="22" t="s">
        <v>563</v>
      </c>
      <c r="Q64" s="364">
        <f>COUNTIFS($P$2:$P$48,P45,$AP$2:$AP$48,P64)</f>
        <v>1</v>
      </c>
      <c r="R64" s="364"/>
      <c r="S64" s="5">
        <f>COUNTIFS(AA2:AA47,"&gt;="&amp;DATE(2024,1,1),AA2:AA47,"&lt;="&amp;DATE(2024,12,31),AP2:AP47,P64)</f>
        <v>1</v>
      </c>
      <c r="T64" s="1014">
        <f t="shared" si="6"/>
        <v>2.7027027027027029E-2</v>
      </c>
      <c r="U64" s="40"/>
      <c r="V64" s="40"/>
      <c r="W64" s="40"/>
      <c r="X64" s="40"/>
      <c r="Y64" s="320"/>
      <c r="Z64" s="320"/>
      <c r="AA64" s="320"/>
      <c r="AB64" s="43"/>
      <c r="AC64" s="40"/>
      <c r="AD64" s="43"/>
      <c r="AE64" s="40"/>
      <c r="AF64" s="43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1"/>
      <c r="AV64" s="41"/>
      <c r="AW64" s="1"/>
    </row>
    <row r="65" spans="1:49">
      <c r="A65" s="1901" t="s">
        <v>142</v>
      </c>
      <c r="B65" s="1902"/>
      <c r="C65" s="62" t="s">
        <v>90</v>
      </c>
      <c r="D65" s="62" t="s">
        <v>91</v>
      </c>
      <c r="E65" s="62" t="s">
        <v>89</v>
      </c>
      <c r="F65" s="172" t="s">
        <v>213</v>
      </c>
      <c r="G65" s="49" t="s">
        <v>141</v>
      </c>
      <c r="H65" s="40"/>
      <c r="I65" s="40"/>
      <c r="J65" s="40"/>
      <c r="K65" s="40"/>
      <c r="L65" s="40"/>
      <c r="M65" s="40"/>
      <c r="N65" s="40"/>
      <c r="O65" s="40"/>
      <c r="P65" s="130" t="s">
        <v>17721</v>
      </c>
      <c r="Q65" s="364">
        <f>COUNTIFS($P$2:$P$48,P45,$AP$2:$AP$48,P65)</f>
        <v>1</v>
      </c>
      <c r="R65" s="364"/>
      <c r="S65" s="5">
        <f>COUNTIFS(AA2:AA47,"&gt;="&amp;DATE(2024,1,1),AA2:AA47,"&lt;="&amp;DATE(2024,12,31),AP2:AP47,P65)</f>
        <v>1</v>
      </c>
      <c r="T65" s="1014">
        <f t="shared" si="6"/>
        <v>2.7027027027027029E-2</v>
      </c>
      <c r="U65" s="40"/>
      <c r="V65" s="40"/>
      <c r="W65" s="40"/>
      <c r="X65" s="40"/>
      <c r="Y65" s="40"/>
      <c r="Z65" s="320"/>
      <c r="AA65" s="320"/>
      <c r="AB65" s="43"/>
      <c r="AC65" s="43"/>
      <c r="AD65" s="40"/>
      <c r="AE65" s="43"/>
      <c r="AF65" s="40"/>
      <c r="AG65" s="43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1"/>
      <c r="AW65" s="41"/>
    </row>
    <row r="66" spans="1:49">
      <c r="A66" s="1903" t="s">
        <v>258</v>
      </c>
      <c r="B66" s="1904"/>
      <c r="C66" s="51">
        <f>AVERAGEIFS(V2:V47,P2:P47,A66,C2:C47,C65)</f>
        <v>4365.2793284197824</v>
      </c>
      <c r="D66" s="51">
        <f>AVERAGEIFS(V2:V47,P2:P47,A66,C2:C47,D65)</f>
        <v>4220.2611498946117</v>
      </c>
      <c r="E66" s="51">
        <f>AVERAGEIFS(V2:V47,P2:P47,A66,C2:C47,E65)</f>
        <v>5187.3209991761387</v>
      </c>
      <c r="F66" s="477" t="e">
        <f>AVERAGEIFS(V2:V47,P2:P47,A66,C2:C47,F65)</f>
        <v>#DIV/0!</v>
      </c>
      <c r="G66" s="76">
        <f>AVERAGEIF(P2:P47,A66,V2:V47)</f>
        <v>4414.9337567226667</v>
      </c>
      <c r="H66" s="40"/>
      <c r="I66" s="40"/>
      <c r="J66" s="40"/>
      <c r="K66" s="40"/>
      <c r="L66" s="40"/>
      <c r="M66" s="40"/>
      <c r="N66" s="40"/>
      <c r="O66" s="40"/>
      <c r="P66" s="5" t="s">
        <v>734</v>
      </c>
      <c r="Q66" s="364">
        <f>COUNTIFS($P$2:$P$48,P45,$AP$2:$AP$48,P66)</f>
        <v>1</v>
      </c>
      <c r="R66" s="364"/>
      <c r="S66" s="5">
        <f>COUNTIFS(AA2:AA47,"&gt;="&amp;DATE(2024,1,1),AA2:AA47,"&lt;="&amp;DATE(2024,12,31),AP2:AP47,P66)</f>
        <v>1</v>
      </c>
      <c r="T66" s="1014">
        <f t="shared" si="6"/>
        <v>2.7027027027027029E-2</v>
      </c>
      <c r="U66" s="40"/>
      <c r="V66" s="40"/>
      <c r="W66" s="40"/>
      <c r="X66" s="40"/>
      <c r="Y66" s="40"/>
      <c r="Z66" s="320"/>
      <c r="AA66" s="320"/>
      <c r="AB66" s="43"/>
      <c r="AC66" s="43"/>
      <c r="AD66" s="40"/>
      <c r="AE66" s="43"/>
      <c r="AF66" s="40"/>
      <c r="AG66" s="43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1"/>
      <c r="AW66" s="41"/>
    </row>
    <row r="67" spans="1:49">
      <c r="A67" s="1905" t="s">
        <v>102</v>
      </c>
      <c r="B67" s="1906"/>
      <c r="C67" s="54" t="e">
        <f>AVERAGEIFS(W2:W47,P2:P47,A67,C2:C47,C65)</f>
        <v>#DIV/0!</v>
      </c>
      <c r="D67" s="54" t="e">
        <f>AVERAGEIFS(W2:W47,P2:P47,A67,C2:C47,D65)</f>
        <v>#DIV/0!</v>
      </c>
      <c r="E67" s="54" t="e">
        <f>AVERAGEIFS(W2:W47,P2:P47,A67,C2:C47,E65)</f>
        <v>#DIV/0!</v>
      </c>
      <c r="F67" s="608" t="e">
        <f>AVERAGEIFS(W2:W47,P2:P47,A67,C2:C47,F65)</f>
        <v>#DIV/0!</v>
      </c>
      <c r="G67" s="78" t="e">
        <f>AVERAGEIF(P2:P47,A67,W2:W47)</f>
        <v>#DIV/0!</v>
      </c>
      <c r="H67" s="40"/>
      <c r="I67" s="40"/>
      <c r="J67" s="40"/>
      <c r="K67" s="40"/>
      <c r="L67" s="40"/>
      <c r="M67" s="40"/>
      <c r="N67" s="40"/>
      <c r="O67" s="40"/>
      <c r="P67" s="5" t="s">
        <v>17421</v>
      </c>
      <c r="Q67" s="364" cm="1">
        <f t="array" ref="Q67">COUNTIFS($P$2:$P$48,CPCV,$AP$2:$AP$48,P67)</f>
        <v>0</v>
      </c>
      <c r="R67" s="364"/>
      <c r="S67" s="5">
        <f>COUNTIFS(AA2:AA47,"&gt;="&amp;DATE(2024,1,1),AA2:AA47,"&lt;="&amp;DATE(2024,12,31),AP2:AP47,P67)</f>
        <v>0</v>
      </c>
      <c r="T67" s="1014">
        <f t="shared" si="6"/>
        <v>0</v>
      </c>
      <c r="U67" s="40"/>
      <c r="V67" s="40"/>
      <c r="W67" s="40"/>
      <c r="X67" s="40"/>
      <c r="Y67" s="40"/>
      <c r="Z67" s="320"/>
      <c r="AA67" s="320"/>
      <c r="AB67" s="43"/>
      <c r="AC67" s="43"/>
      <c r="AD67" s="40"/>
      <c r="AE67" s="43"/>
      <c r="AF67" s="40"/>
      <c r="AG67" s="43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1"/>
      <c r="AW67" s="41"/>
    </row>
    <row r="68" spans="1:49">
      <c r="A68" s="1909" t="s">
        <v>138</v>
      </c>
      <c r="B68" s="1910"/>
      <c r="C68" s="80" t="e">
        <f>AVERAGEIFS(W2:W47,P2:P47,"",C2:C47,C65)</f>
        <v>#DIV/0!</v>
      </c>
      <c r="D68" s="80">
        <f>AVERAGEIFS(W2:W47,P2:P47,"",C2:C47,D65)</f>
        <v>4009.7595171762428</v>
      </c>
      <c r="E68" s="80">
        <f>AVERAGEIFS(W2:W47,P2:P47,"",C2:C47,E65)</f>
        <v>5052.5903751642281</v>
      </c>
      <c r="F68" s="218">
        <f>AVERAGEIFS(W2:W47,P2:P47,"",C2:C47,F65)</f>
        <v>7671.1453065604273</v>
      </c>
      <c r="G68" s="81">
        <f>AVERAGEIF(P2:P47,"",W2:W47)</f>
        <v>4979.742140511692</v>
      </c>
      <c r="H68" s="40"/>
      <c r="I68" s="40"/>
      <c r="J68" s="40"/>
      <c r="K68" s="40"/>
      <c r="L68" s="40"/>
      <c r="M68" s="40"/>
      <c r="N68" s="40"/>
      <c r="O68" s="40"/>
      <c r="P68" s="41"/>
      <c r="Q68" s="40"/>
      <c r="R68" s="40"/>
      <c r="S68" s="41"/>
      <c r="T68" s="40"/>
      <c r="U68" s="40"/>
      <c r="V68" s="40"/>
      <c r="W68" s="40"/>
      <c r="X68" s="40"/>
      <c r="Y68" s="40"/>
      <c r="Z68" s="320"/>
      <c r="AA68" s="320"/>
      <c r="AB68" s="43"/>
      <c r="AC68" s="43"/>
      <c r="AD68" s="40"/>
      <c r="AE68" s="43"/>
      <c r="AF68" s="40"/>
      <c r="AG68" s="43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1"/>
      <c r="AW68" s="41"/>
    </row>
    <row r="69" spans="1:49" ht="13.5" thickBot="1">
      <c r="A69" s="1897" t="s">
        <v>210</v>
      </c>
      <c r="B69" s="1898"/>
      <c r="C69" s="60" t="e">
        <f>AVERAGEIFS(V2:V47,P2:P47,A69,C2:C47,C65)</f>
        <v>#DIV/0!</v>
      </c>
      <c r="D69" s="60">
        <f>AVERAGEIFS(V2:V47,P2:P47,A69,C2:C47,D65)</f>
        <v>3867.9535700704419</v>
      </c>
      <c r="E69" s="60" t="e">
        <f>AVERAGEIFS(V2:V47,P2:P47,A69,C2:C47,E65)</f>
        <v>#DIV/0!</v>
      </c>
      <c r="F69" s="219" t="e">
        <f>AVERAGEIFS(V2:V47,P2:P47,A69,C2:C47,F65)</f>
        <v>#DIV/0!</v>
      </c>
      <c r="G69" s="83">
        <f>AVERAGEIF(P2:P47,A69,V2:V47)</f>
        <v>3867.9535700704419</v>
      </c>
      <c r="H69" s="40"/>
      <c r="I69" s="40"/>
      <c r="J69" s="122"/>
      <c r="K69" s="40"/>
      <c r="L69" s="40"/>
      <c r="M69" s="40"/>
      <c r="N69" s="40"/>
      <c r="O69" s="40"/>
      <c r="P69" s="40"/>
      <c r="Q69" s="41"/>
      <c r="R69" s="41"/>
      <c r="S69" s="40"/>
      <c r="T69" s="41"/>
      <c r="U69" s="40"/>
      <c r="V69" s="40"/>
      <c r="W69" s="40"/>
      <c r="X69" s="40"/>
      <c r="Y69" s="40"/>
      <c r="Z69" s="320"/>
      <c r="AA69" s="320"/>
      <c r="AB69" s="43"/>
      <c r="AC69" s="43"/>
      <c r="AD69" s="40"/>
      <c r="AE69" s="43"/>
      <c r="AF69" s="40"/>
      <c r="AG69" s="43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1"/>
      <c r="AW69" s="41"/>
    </row>
    <row r="70" spans="1:49" ht="13.5" thickBot="1">
      <c r="A70" s="40"/>
      <c r="B70" s="40"/>
      <c r="C70" s="40"/>
      <c r="D70" s="40"/>
      <c r="E70" s="40"/>
      <c r="F70" s="40"/>
      <c r="G70" s="40"/>
      <c r="H70" s="40"/>
      <c r="I70" s="122"/>
      <c r="J70" s="2027" t="s">
        <v>17559</v>
      </c>
      <c r="K70" s="2028"/>
      <c r="L70" s="2028"/>
      <c r="M70" s="2028"/>
      <c r="N70" s="2029"/>
      <c r="O70" s="40"/>
      <c r="P70" s="40"/>
      <c r="Q70" s="41"/>
      <c r="R70" s="41"/>
      <c r="S70" s="40"/>
      <c r="T70" s="41"/>
      <c r="U70" s="40"/>
      <c r="V70" s="40"/>
      <c r="W70" s="40"/>
      <c r="X70" s="40"/>
      <c r="Y70" s="320"/>
      <c r="Z70" s="320"/>
      <c r="AA70" s="320"/>
      <c r="AB70" s="43"/>
      <c r="AC70" s="40"/>
      <c r="AD70" s="43"/>
      <c r="AE70" s="40"/>
      <c r="AF70" s="43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1"/>
      <c r="AV70" s="41"/>
      <c r="AW70" s="1"/>
    </row>
    <row r="71" spans="1:49">
      <c r="A71" s="1901" t="s">
        <v>192</v>
      </c>
      <c r="B71" s="1902"/>
      <c r="C71" s="62" t="s">
        <v>90</v>
      </c>
      <c r="D71" s="62" t="s">
        <v>91</v>
      </c>
      <c r="E71" s="62" t="s">
        <v>89</v>
      </c>
      <c r="F71" s="62" t="s">
        <v>213</v>
      </c>
      <c r="G71" s="49" t="s">
        <v>141</v>
      </c>
      <c r="H71" s="40"/>
      <c r="I71" s="40"/>
      <c r="J71" s="1210">
        <v>45505</v>
      </c>
      <c r="K71" s="1211" t="s">
        <v>17560</v>
      </c>
      <c r="L71" s="1211"/>
      <c r="M71" s="1211"/>
      <c r="N71" s="1211"/>
      <c r="O71" s="40"/>
      <c r="P71" s="40"/>
      <c r="Q71" s="41"/>
      <c r="R71" s="41"/>
      <c r="S71" s="40"/>
      <c r="T71" s="41"/>
      <c r="U71" s="40"/>
      <c r="V71" s="40"/>
      <c r="W71" s="40"/>
      <c r="X71" s="40"/>
      <c r="Y71" s="40"/>
      <c r="Z71" s="320"/>
      <c r="AA71" s="320"/>
      <c r="AB71" s="43"/>
      <c r="AC71" s="43"/>
      <c r="AD71" s="40"/>
      <c r="AE71" s="43"/>
      <c r="AF71" s="40"/>
      <c r="AG71" s="43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1"/>
      <c r="AW71" s="41"/>
    </row>
    <row r="72" spans="1:49">
      <c r="A72" s="1903" t="s">
        <v>258</v>
      </c>
      <c r="B72" s="1904"/>
      <c r="C72" s="51">
        <f>AVERAGEIFS(Q2:Q47,P2:P47,A72,C2:C47,C71)</f>
        <v>282731.81818181818</v>
      </c>
      <c r="D72" s="51">
        <f>AVERAGEIFS(Q2:Q47,P2:P47,A72,C2:C47,D71)</f>
        <v>435057.14285714284</v>
      </c>
      <c r="E72" s="51">
        <f>AVERAGEIFS(Q2:Q47,P2:P47,A72,C2:C47,E71)</f>
        <v>804610</v>
      </c>
      <c r="F72" s="51" t="e">
        <f>AVERAGEIFS(Q2:Q47,P2:P47,B72,D2:D47,F71)</f>
        <v>#DIV/0!</v>
      </c>
      <c r="G72" s="76">
        <f>AVERAGEIF(P2:P47,A72,Q2:Q47)</f>
        <v>449313.42105263157</v>
      </c>
      <c r="H72" s="40"/>
      <c r="I72" s="40"/>
      <c r="J72" s="224"/>
      <c r="K72" s="2030"/>
      <c r="L72" s="2031"/>
      <c r="M72" s="2031"/>
      <c r="N72" s="2032"/>
      <c r="O72" s="508"/>
      <c r="P72" s="106"/>
      <c r="Q72" s="292"/>
      <c r="R72" s="292"/>
      <c r="S72" s="106"/>
      <c r="T72" s="41"/>
      <c r="U72" s="40"/>
      <c r="V72" s="40"/>
      <c r="W72" s="40"/>
      <c r="X72" s="40"/>
      <c r="Y72" s="40"/>
      <c r="Z72" s="320"/>
      <c r="AA72" s="320"/>
      <c r="AB72" s="43"/>
      <c r="AC72" s="43"/>
      <c r="AD72" s="40"/>
      <c r="AE72" s="43"/>
      <c r="AF72" s="40"/>
      <c r="AG72" s="43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1"/>
      <c r="AW72" s="41"/>
    </row>
    <row r="73" spans="1:49">
      <c r="A73" s="1905" t="s">
        <v>102</v>
      </c>
      <c r="B73" s="1906"/>
      <c r="C73" s="54" t="e">
        <f>AVERAGEIFS(S2:S47,P2:P47,A73,C2:C47,C71)</f>
        <v>#DIV/0!</v>
      </c>
      <c r="D73" s="54" t="e">
        <f>AVERAGEIFS(S2:S47,P2:P47,A73,C2:C47,D71)</f>
        <v>#DIV/0!</v>
      </c>
      <c r="E73" s="54" t="e">
        <f>AVERAGEIFS(S2:S47,P2:P47,A73,C2:C47,E71)</f>
        <v>#DIV/0!</v>
      </c>
      <c r="F73" s="54" t="e">
        <f>AVERAGEIFS(S2:S47,P2:P47,A73,C2:C47,F71)</f>
        <v>#DIV/0!</v>
      </c>
      <c r="G73" s="78" t="e">
        <f>AVERAGEIF(P2:P47,A73,#REF!)</f>
        <v>#REF!</v>
      </c>
      <c r="H73" s="40"/>
      <c r="I73" s="40"/>
      <c r="J73" s="1209"/>
      <c r="K73" s="2030"/>
      <c r="L73" s="2031"/>
      <c r="M73" s="2031"/>
      <c r="N73" s="2032"/>
      <c r="O73" s="508"/>
      <c r="P73" s="106"/>
      <c r="Q73" s="292"/>
      <c r="R73" s="292"/>
      <c r="S73" s="106"/>
      <c r="T73" s="106"/>
      <c r="U73" s="106"/>
      <c r="V73" s="106"/>
      <c r="W73" s="106"/>
      <c r="X73" s="40"/>
      <c r="Y73" s="40"/>
      <c r="Z73" s="320"/>
      <c r="AA73" s="320"/>
      <c r="AB73" s="43"/>
      <c r="AC73" s="43"/>
      <c r="AD73" s="40"/>
      <c r="AE73" s="43"/>
      <c r="AF73" s="40"/>
      <c r="AG73" s="43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1"/>
      <c r="AW73" s="41"/>
    </row>
    <row r="74" spans="1:49" ht="13.5" thickBot="1">
      <c r="A74" s="2021" t="s">
        <v>138</v>
      </c>
      <c r="B74" s="2022"/>
      <c r="C74" s="85" t="e">
        <f>AVERAGEIFS(S2:S47,P2:P47,"",C2:C47,C71)</f>
        <v>#DIV/0!</v>
      </c>
      <c r="D74" s="85">
        <f>AVERAGEIFS(S2:S47,P2:P47,"",C2:C47,D71)</f>
        <v>507520</v>
      </c>
      <c r="E74" s="85">
        <f>AVERAGEIFS(S2:S47,P2:P47,"",C2:C47,E71)</f>
        <v>778420</v>
      </c>
      <c r="F74" s="85">
        <f>AVERAGEIFS(S2:S47,P2:P47,"",C2:C47,F71)</f>
        <v>2016000</v>
      </c>
      <c r="G74" s="86">
        <f>AVERAGEIF(P2:P47,"",S2:S47)</f>
        <v>839117.14285714284</v>
      </c>
      <c r="H74" s="40"/>
      <c r="I74" s="40"/>
      <c r="J74" s="1209"/>
      <c r="K74" s="2030"/>
      <c r="L74" s="2031"/>
      <c r="M74" s="2031"/>
      <c r="N74" s="2032"/>
      <c r="O74" s="508"/>
      <c r="P74" s="106"/>
      <c r="Q74" s="292"/>
      <c r="R74" s="292"/>
      <c r="S74" s="106"/>
      <c r="T74" s="106"/>
      <c r="U74" s="106"/>
      <c r="V74" s="106"/>
      <c r="W74" s="106"/>
      <c r="X74" s="40"/>
      <c r="Y74" s="40"/>
      <c r="Z74" s="320"/>
      <c r="AA74" s="320"/>
      <c r="AB74" s="43"/>
      <c r="AC74" s="43"/>
      <c r="AD74" s="40"/>
      <c r="AE74" s="43"/>
      <c r="AF74" s="40"/>
      <c r="AG74" s="43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1"/>
      <c r="AW74" s="41"/>
    </row>
    <row r="75" spans="1:49" ht="13.5" thickBot="1">
      <c r="A75" s="1913" t="s">
        <v>210</v>
      </c>
      <c r="B75" s="1914"/>
      <c r="C75" s="60" t="e">
        <f>AVERAGEIFS(Q2:Q47,P2:P47,A75,C2:C47,C71)</f>
        <v>#DIV/0!</v>
      </c>
      <c r="D75" s="60">
        <f>AVERAGEIFS(Q2:Q47,P2:P47,A75,C2:C47,D71)</f>
        <v>427200</v>
      </c>
      <c r="E75" s="60" t="e">
        <f>AVERAGEIFS(Q2:Q47,P2:P47,A75,C2:C47,E71)</f>
        <v>#DIV/0!</v>
      </c>
      <c r="F75" s="60" t="e">
        <f>AVERAGEIFS(S2:S47,Q2:Q47,B75,D2:D47,F71)</f>
        <v>#DIV/0!</v>
      </c>
      <c r="G75" s="83" t="e">
        <f>AVERAGEIF(P2:P47,"",Q2:Q47)</f>
        <v>#DIV/0!</v>
      </c>
      <c r="H75" s="106"/>
      <c r="I75" s="106"/>
      <c r="J75" s="1208"/>
      <c r="K75" s="508"/>
      <c r="L75" s="508"/>
      <c r="M75" s="508"/>
      <c r="N75" s="508"/>
      <c r="O75" s="508"/>
      <c r="P75" s="106"/>
      <c r="Q75" s="292"/>
      <c r="R75" s="292"/>
      <c r="S75" s="106"/>
      <c r="T75" s="106"/>
      <c r="U75" s="106"/>
      <c r="V75" s="106"/>
      <c r="W75" s="106"/>
      <c r="X75" s="106"/>
      <c r="Y75" s="106"/>
      <c r="Z75" s="552"/>
      <c r="AA75" s="552"/>
      <c r="AB75" s="328"/>
      <c r="AC75" s="328"/>
      <c r="AD75" s="106"/>
      <c r="AE75" s="328"/>
      <c r="AF75" s="106"/>
      <c r="AG75" s="328"/>
      <c r="AH75" s="106"/>
      <c r="AI75" s="106"/>
      <c r="AJ75" s="106"/>
      <c r="AK75" s="106"/>
      <c r="AL75" s="106"/>
      <c r="AM75" s="106"/>
      <c r="AN75" s="106"/>
      <c r="AO75" s="40"/>
      <c r="AP75" s="40"/>
      <c r="AQ75" s="40"/>
      <c r="AR75" s="40"/>
      <c r="AS75" s="40"/>
      <c r="AT75" s="106"/>
      <c r="AU75" s="106"/>
      <c r="AV75" s="292"/>
      <c r="AW75" s="292"/>
    </row>
    <row r="76" spans="1:49" ht="13.5" thickBot="1">
      <c r="A76" s="106"/>
      <c r="B76" s="106"/>
      <c r="C76" s="106"/>
      <c r="D76" s="106"/>
      <c r="E76" s="106"/>
      <c r="F76" s="106"/>
      <c r="G76" s="106"/>
      <c r="H76" s="106"/>
      <c r="I76" s="106"/>
      <c r="J76" s="123"/>
      <c r="K76" s="106"/>
      <c r="L76" s="106"/>
      <c r="M76" s="106"/>
      <c r="N76" s="106"/>
      <c r="O76" s="106"/>
      <c r="P76" s="106"/>
      <c r="Q76" s="292"/>
      <c r="R76" s="292"/>
      <c r="S76" s="106"/>
      <c r="T76" s="106"/>
      <c r="U76" s="106"/>
      <c r="V76" s="106"/>
      <c r="W76" s="106"/>
      <c r="X76" s="106"/>
      <c r="Y76" s="106"/>
      <c r="Z76" s="552"/>
      <c r="AA76" s="552"/>
      <c r="AB76" s="328"/>
      <c r="AC76" s="328"/>
      <c r="AD76" s="106"/>
      <c r="AE76" s="328"/>
      <c r="AF76" s="106"/>
      <c r="AG76" s="328"/>
      <c r="AH76" s="106"/>
      <c r="AI76" s="106"/>
      <c r="AJ76" s="106"/>
      <c r="AK76" s="106"/>
      <c r="AL76" s="106"/>
      <c r="AM76" s="106"/>
      <c r="AN76" s="106"/>
      <c r="AO76" s="40"/>
      <c r="AP76" s="40"/>
      <c r="AQ76" s="40"/>
      <c r="AR76" s="40"/>
      <c r="AS76" s="40"/>
      <c r="AT76" s="106"/>
      <c r="AU76" s="106"/>
      <c r="AV76" s="292"/>
      <c r="AW76" s="292"/>
    </row>
    <row r="77" spans="1:49" ht="13.5" thickBot="1">
      <c r="A77" s="1893" t="s">
        <v>299</v>
      </c>
      <c r="B77" s="2023"/>
      <c r="C77" s="62" t="s">
        <v>90</v>
      </c>
      <c r="D77" s="62" t="s">
        <v>91</v>
      </c>
      <c r="E77" s="49" t="s">
        <v>89</v>
      </c>
      <c r="F77" s="49" t="s">
        <v>213</v>
      </c>
      <c r="G77" s="49" t="s">
        <v>141</v>
      </c>
      <c r="H77" s="106"/>
      <c r="I77" s="106"/>
      <c r="J77" s="123"/>
      <c r="K77" s="106"/>
      <c r="L77" s="106"/>
      <c r="M77" s="106"/>
      <c r="N77" s="106"/>
      <c r="O77" s="106"/>
      <c r="P77" s="106"/>
      <c r="Q77" s="292"/>
      <c r="R77" s="292"/>
      <c r="S77" s="106"/>
      <c r="T77" s="106"/>
      <c r="U77" s="106"/>
      <c r="V77" s="106"/>
      <c r="W77" s="106"/>
      <c r="X77" s="106"/>
      <c r="Y77" s="106"/>
      <c r="Z77" s="552"/>
      <c r="AA77" s="552"/>
      <c r="AB77" s="328"/>
      <c r="AC77" s="328"/>
      <c r="AD77" s="106"/>
      <c r="AE77" s="328"/>
      <c r="AF77" s="106"/>
      <c r="AG77" s="328"/>
      <c r="AH77" s="106"/>
      <c r="AI77" s="106"/>
      <c r="AJ77" s="106"/>
      <c r="AK77" s="106"/>
      <c r="AL77" s="106"/>
      <c r="AM77" s="106"/>
      <c r="AN77" s="106"/>
      <c r="AO77" s="40"/>
      <c r="AP77" s="40"/>
      <c r="AQ77" s="40"/>
      <c r="AR77" s="40"/>
      <c r="AS77" s="40"/>
      <c r="AT77" s="106"/>
      <c r="AU77" s="106"/>
      <c r="AV77" s="292"/>
      <c r="AW77" s="292"/>
    </row>
    <row r="78" spans="1:49">
      <c r="A78" s="2024" t="s">
        <v>258</v>
      </c>
      <c r="B78" s="2025"/>
      <c r="C78" s="236">
        <f>AVERAGEIFS(J2:J47,C2:C47,C77,P2:P47,A78)</f>
        <v>65.520545454545442</v>
      </c>
      <c r="D78" s="236">
        <f>AVERAGEIFS(J2:J47,C2:C47,D77,P2:P47,A78)</f>
        <v>103.7522857142857</v>
      </c>
      <c r="E78" s="242">
        <f>AVERAGEIFS(J2:J47,C2:C47,E77,P2:P47,A78)</f>
        <v>154.59816666666666</v>
      </c>
      <c r="F78" s="242" t="e">
        <f>AVERAGEIFS(K2:K47,C2:C47,F77,Q2:Q47,A78)</f>
        <v>#DIV/0!</v>
      </c>
      <c r="G78" s="76">
        <f>AVERAGEIF(P2:P47,A78,J2:J47)</f>
        <v>100.7135</v>
      </c>
      <c r="H78" s="106"/>
      <c r="I78" s="106"/>
      <c r="J78" s="2026"/>
      <c r="K78" s="2026"/>
      <c r="L78" s="2026"/>
      <c r="M78" s="2026"/>
      <c r="N78" s="2026"/>
      <c r="O78" s="106"/>
      <c r="P78" s="106"/>
      <c r="Q78" s="292"/>
      <c r="R78" s="292"/>
      <c r="S78" s="106"/>
      <c r="T78" s="106"/>
      <c r="U78" s="106"/>
      <c r="V78" s="106"/>
      <c r="W78" s="106"/>
      <c r="X78" s="106"/>
      <c r="Y78" s="106"/>
      <c r="Z78" s="552"/>
      <c r="AA78" s="552"/>
      <c r="AB78" s="328"/>
      <c r="AC78" s="328"/>
      <c r="AD78" s="106"/>
      <c r="AE78" s="328"/>
      <c r="AF78" s="106"/>
      <c r="AG78" s="328"/>
      <c r="AH78" s="106"/>
      <c r="AI78" s="106"/>
      <c r="AJ78" s="106"/>
      <c r="AK78" s="106"/>
      <c r="AL78" s="106"/>
      <c r="AM78" s="106"/>
      <c r="AN78" s="106"/>
      <c r="AO78" s="40"/>
      <c r="AP78" s="40"/>
      <c r="AQ78" s="40"/>
      <c r="AR78" s="40"/>
      <c r="AS78" s="40"/>
      <c r="AT78" s="106"/>
      <c r="AU78" s="106"/>
      <c r="AV78" s="292"/>
      <c r="AW78" s="292"/>
    </row>
    <row r="79" spans="1:49">
      <c r="A79" s="1905" t="s">
        <v>102</v>
      </c>
      <c r="B79" s="1911"/>
      <c r="C79" s="237" t="e">
        <f>AVERAGEIFS(J2:J47,C2:C47,C77,P2:P47,A79)</f>
        <v>#DIV/0!</v>
      </c>
      <c r="D79" s="237" t="e">
        <f>AVERAGEIFS(J2:J47,C2:C47,D77,P2:P47,A79)</f>
        <v>#DIV/0!</v>
      </c>
      <c r="E79" s="243" t="e">
        <f>AVERAGEIFS(J2:J47,C2:C47,E77,P2:P47,A79)</f>
        <v>#DIV/0!</v>
      </c>
      <c r="F79" s="243" t="e">
        <f>AVERAGEIFS(J2:J47,C2:C47,F77,P2:P47,A79)</f>
        <v>#DIV/0!</v>
      </c>
      <c r="G79" s="78" t="e">
        <f>AVERAGEIF(P2:P47,A79,J2:J47)</f>
        <v>#DIV/0!</v>
      </c>
      <c r="H79" s="106"/>
      <c r="I79" s="106"/>
      <c r="J79" s="1207"/>
      <c r="K79" s="106"/>
      <c r="L79" s="106"/>
      <c r="M79" s="106"/>
      <c r="N79" s="106"/>
      <c r="O79" s="106"/>
      <c r="P79" s="106"/>
      <c r="Q79" s="292"/>
      <c r="R79" s="292"/>
      <c r="S79" s="106"/>
      <c r="T79" s="106"/>
      <c r="U79" s="106"/>
      <c r="V79" s="106"/>
      <c r="W79" s="106"/>
      <c r="X79" s="106"/>
      <c r="Y79" s="106"/>
      <c r="Z79" s="552"/>
      <c r="AA79" s="552"/>
      <c r="AB79" s="328"/>
      <c r="AC79" s="328"/>
      <c r="AD79" s="106"/>
      <c r="AE79" s="328"/>
      <c r="AF79" s="106"/>
      <c r="AG79" s="328"/>
      <c r="AH79" s="106"/>
      <c r="AI79" s="106"/>
      <c r="AJ79" s="106"/>
      <c r="AK79" s="106"/>
      <c r="AL79" s="106"/>
      <c r="AM79" s="106"/>
      <c r="AN79" s="106"/>
      <c r="AO79" s="40"/>
      <c r="AP79" s="40"/>
      <c r="AQ79" s="40"/>
      <c r="AR79" s="40"/>
      <c r="AS79" s="40"/>
      <c r="AT79" s="106"/>
      <c r="AU79" s="106"/>
      <c r="AV79" s="292"/>
      <c r="AW79" s="292"/>
    </row>
    <row r="80" spans="1:49" ht="13.5" thickBot="1">
      <c r="A80" s="1907" t="s">
        <v>138</v>
      </c>
      <c r="B80" s="1912"/>
      <c r="C80" s="238" t="e">
        <f>AVERAGEIFS(J2:J47,C2:C47,C77,P2:P47,"")</f>
        <v>#DIV/0!</v>
      </c>
      <c r="D80" s="238">
        <f>AVERAGEIFS(J2:J47,C2:C47,D77,P2:P47,"")</f>
        <v>126.64066666666668</v>
      </c>
      <c r="E80" s="244">
        <f>AVERAGEIFS(J2:J47,C2:C47,E77,P2:P47,"")</f>
        <v>153.88266666666667</v>
      </c>
      <c r="F80" s="244">
        <f>AVERAGEIFS(J2:J47,C2:C47,F77,P2:P47,"")</f>
        <v>262.803</v>
      </c>
      <c r="G80" s="264">
        <f>AVERAGEIF(P2:P47,"",J2:J47)</f>
        <v>157.76757142857144</v>
      </c>
      <c r="H80" s="106"/>
      <c r="I80" s="106"/>
      <c r="J80" s="123"/>
      <c r="K80" s="106"/>
      <c r="L80" s="106"/>
      <c r="M80" s="106"/>
      <c r="N80" s="106"/>
      <c r="O80" s="106"/>
      <c r="P80" s="106"/>
      <c r="Q80" s="292"/>
      <c r="R80" s="292"/>
      <c r="S80" s="106"/>
      <c r="T80" s="106"/>
      <c r="U80" s="106"/>
      <c r="V80" s="106"/>
      <c r="W80" s="106"/>
      <c r="X80" s="106"/>
      <c r="Y80" s="106"/>
      <c r="Z80" s="552"/>
      <c r="AA80" s="552"/>
      <c r="AB80" s="328"/>
      <c r="AC80" s="328"/>
      <c r="AD80" s="106"/>
      <c r="AE80" s="328"/>
      <c r="AF80" s="106"/>
      <c r="AG80" s="328"/>
      <c r="AH80" s="106"/>
      <c r="AI80" s="106"/>
      <c r="AJ80" s="106"/>
      <c r="AK80" s="106"/>
      <c r="AL80" s="106"/>
      <c r="AM80" s="106"/>
      <c r="AN80" s="106"/>
      <c r="AO80" s="40"/>
      <c r="AP80" s="40"/>
      <c r="AQ80" s="40"/>
      <c r="AR80" s="40"/>
      <c r="AS80" s="40"/>
      <c r="AT80" s="106"/>
      <c r="AU80" s="106"/>
      <c r="AV80" s="292"/>
      <c r="AW80" s="292"/>
    </row>
    <row r="81" spans="1:49" ht="13.5" thickBot="1">
      <c r="A81" s="1913" t="s">
        <v>210</v>
      </c>
      <c r="B81" s="1914"/>
      <c r="C81" s="239" t="e">
        <f>AVERAGEIFS(J2:J47,C2:C47,C77,P2:P47,A81)</f>
        <v>#DIV/0!</v>
      </c>
      <c r="D81" s="239">
        <f>AVERAGEIFS(J2:J47,C2:C47,D77,P2:P47,A81)</f>
        <v>110.446</v>
      </c>
      <c r="E81" s="245" t="e">
        <f>AVERAGEIFS(J2:J47,C2:C47,E77,P2:P47,A81)</f>
        <v>#DIV/0!</v>
      </c>
      <c r="F81" s="245" t="e">
        <f>AVERAGEIFS(J2:J47,C2:C47,F77,P2:P47,A81)</f>
        <v>#DIV/0!</v>
      </c>
      <c r="G81" s="83" t="e">
        <f>AVERAGEIF(P8:P49,"",Q8:Q49)</f>
        <v>#DIV/0!</v>
      </c>
      <c r="H81" s="106"/>
      <c r="I81" s="106"/>
      <c r="X81" s="106"/>
      <c r="Y81" s="106"/>
      <c r="Z81" s="552"/>
      <c r="AA81" s="552"/>
      <c r="AB81" s="328"/>
      <c r="AC81" s="328"/>
      <c r="AD81" s="106"/>
      <c r="AE81" s="328"/>
      <c r="AF81" s="106"/>
      <c r="AG81" s="328"/>
      <c r="AH81" s="106"/>
      <c r="AI81" s="106"/>
      <c r="AJ81" s="106"/>
      <c r="AK81" s="106"/>
      <c r="AL81" s="106"/>
      <c r="AM81" s="106"/>
      <c r="AN81" s="106"/>
      <c r="AO81" s="40"/>
      <c r="AP81" s="40"/>
      <c r="AQ81" s="40"/>
      <c r="AR81" s="40"/>
      <c r="AS81" s="40"/>
      <c r="AT81" s="106"/>
      <c r="AU81" s="106"/>
      <c r="AV81" s="292"/>
      <c r="AW81" s="292"/>
    </row>
    <row r="82" spans="1:49" ht="13.5" thickBot="1">
      <c r="A82" s="1899" t="s">
        <v>141</v>
      </c>
      <c r="B82" s="1900"/>
      <c r="C82" s="185">
        <f>AVERAGEIFS(J2:J47,C2:C47,C77)</f>
        <v>65.520545454545442</v>
      </c>
      <c r="D82" s="185">
        <f>AVERAGEIFS(J2:J47,C2:C47,D77)</f>
        <v>106.76664000000001</v>
      </c>
      <c r="E82" s="246">
        <f>AVERAGEIFS(J2:J47,C2:C47,E77)</f>
        <v>154.35966666666667</v>
      </c>
      <c r="F82" s="246">
        <f>AVERAGEIFS(J2:J47,C2:C47,F77)</f>
        <v>262.803</v>
      </c>
      <c r="G82" s="106"/>
      <c r="H82" s="106"/>
      <c r="I82" s="106"/>
      <c r="X82" s="106"/>
      <c r="Y82" s="106"/>
      <c r="Z82" s="552"/>
      <c r="AA82" s="552"/>
      <c r="AB82" s="328"/>
      <c r="AC82" s="328"/>
      <c r="AD82" s="106"/>
      <c r="AE82" s="328"/>
      <c r="AF82" s="106"/>
      <c r="AG82" s="328"/>
      <c r="AH82" s="106"/>
      <c r="AI82" s="106"/>
      <c r="AJ82" s="106"/>
      <c r="AK82" s="106"/>
      <c r="AL82" s="106"/>
      <c r="AM82" s="106"/>
      <c r="AN82" s="106"/>
      <c r="AO82" s="40"/>
      <c r="AP82" s="40"/>
      <c r="AQ82" s="40"/>
      <c r="AR82" s="40"/>
      <c r="AS82" s="40"/>
      <c r="AT82" s="106"/>
      <c r="AU82" s="106"/>
      <c r="AV82" s="292"/>
      <c r="AW82" s="292"/>
    </row>
    <row r="83" spans="1:49">
      <c r="A83" s="106"/>
      <c r="B83" s="106"/>
      <c r="C83" s="106"/>
      <c r="D83" s="106"/>
      <c r="E83" s="106"/>
      <c r="F83" s="106"/>
      <c r="G83" s="106"/>
    </row>
  </sheetData>
  <sheetProtection selectLockedCells="1" selectUnlockedCells="1"/>
  <autoFilter ref="A1:BV48" xr:uid="{E81846BE-50A3-4D60-BE73-9D0A3DB5E038}"/>
  <mergeCells count="38">
    <mergeCell ref="J78:N78"/>
    <mergeCell ref="J70:N70"/>
    <mergeCell ref="K72:N72"/>
    <mergeCell ref="K73:N73"/>
    <mergeCell ref="K74:N74"/>
    <mergeCell ref="A71:B71"/>
    <mergeCell ref="A67:B67"/>
    <mergeCell ref="A68:B68"/>
    <mergeCell ref="A69:B69"/>
    <mergeCell ref="J59:M59"/>
    <mergeCell ref="A60:B60"/>
    <mergeCell ref="A61:B61"/>
    <mergeCell ref="A62:B62"/>
    <mergeCell ref="A65:B65"/>
    <mergeCell ref="A66:B66"/>
    <mergeCell ref="A79:B79"/>
    <mergeCell ref="A80:B80"/>
    <mergeCell ref="A81:B81"/>
    <mergeCell ref="A82:B82"/>
    <mergeCell ref="A72:B72"/>
    <mergeCell ref="A73:B73"/>
    <mergeCell ref="A74:B74"/>
    <mergeCell ref="A75:B75"/>
    <mergeCell ref="A77:B77"/>
    <mergeCell ref="A78:B78"/>
    <mergeCell ref="J50:V50"/>
    <mergeCell ref="J53:V53"/>
    <mergeCell ref="A59:B59"/>
    <mergeCell ref="A48:E48"/>
    <mergeCell ref="G50:H50"/>
    <mergeCell ref="A51:B51"/>
    <mergeCell ref="A52:B52"/>
    <mergeCell ref="A53:B53"/>
    <mergeCell ref="A54:B54"/>
    <mergeCell ref="A55:B55"/>
    <mergeCell ref="A57:B57"/>
    <mergeCell ref="A58:B58"/>
    <mergeCell ref="P59:T59"/>
  </mergeCells>
  <phoneticPr fontId="11" type="noConversion"/>
  <conditionalFormatting sqref="Z1:Z49 Y50:Y55 Z56:Z62 Y63:Y64 Z65:Z69 Y70 Z71:Z1048576">
    <cfRule type="cellIs" dxfId="11" priority="1" operator="lessThan">
      <formula>TODAY()-15</formula>
    </cfRule>
  </conditionalFormatting>
  <hyperlinks>
    <hyperlink ref="AR3" r:id="rId1" xr:uid="{A3FD6821-F925-4BA4-BE98-ACC88874B427}"/>
    <hyperlink ref="AR9" r:id="rId2" xr:uid="{B769C6E0-43BB-4870-886F-4951F83489E2}"/>
    <hyperlink ref="AR10" r:id="rId3" xr:uid="{82155CE8-9DF8-4663-9266-349CCDF2D8DF}"/>
    <hyperlink ref="AR12" r:id="rId4" xr:uid="{A212A0E1-81B5-40B6-83D2-CFC303775E5C}"/>
    <hyperlink ref="AR13" r:id="rId5" display="jmiguellobo@gmail.com" xr:uid="{41EF35C2-A56C-4A81-A6E8-E6EC2F14E3A2}"/>
    <hyperlink ref="AR15" r:id="rId6" xr:uid="{12141FA0-1C39-42EF-86D6-B81564ADAF01}"/>
    <hyperlink ref="AR17" r:id="rId7" xr:uid="{438C3E9A-0725-44CF-A565-A31F5041D9CF}"/>
    <hyperlink ref="AR24" r:id="rId8" xr:uid="{9DAF2EBC-A11A-4644-84FF-2FB58D82011C}"/>
    <hyperlink ref="AR22" r:id="rId9" xr:uid="{4AA6FFB6-42CD-4463-B141-3914798BB6FE}"/>
    <hyperlink ref="AR19" r:id="rId10" xr:uid="{ED408327-0A98-48D6-B15E-6700F0E641D7}"/>
    <hyperlink ref="AR16" r:id="rId11" xr:uid="{E347FEC2-669C-4E61-A401-00D3112063FD}"/>
    <hyperlink ref="AR2" r:id="rId12" xr:uid="{A7FFBBF2-6E2E-4664-9794-3E476AF37009}"/>
    <hyperlink ref="AR25" r:id="rId13" xr:uid="{B3C40517-B7F4-4917-AB88-B14567C91581}"/>
    <hyperlink ref="AR26" r:id="rId14" xr:uid="{EA40EABA-04F3-4662-937D-83F7C00547D2}"/>
    <hyperlink ref="AR28" r:id="rId15" xr:uid="{FF43B064-3C49-4F6F-95D3-74ABD5E90752}"/>
    <hyperlink ref="AR29" r:id="rId16" xr:uid="{34AB739F-D37E-49D9-B9DA-FCA1D05B990E}"/>
    <hyperlink ref="AR30" r:id="rId17" xr:uid="{E948DE26-C5E9-4CF9-82BF-A4A104DA920F}"/>
    <hyperlink ref="AR31" r:id="rId18" xr:uid="{3F684E3E-B9FA-4FC6-BBD1-DD797E7B5DFC}"/>
    <hyperlink ref="AR33" r:id="rId19" xr:uid="{79550A58-2A55-416A-953E-D525F3202AF3}"/>
    <hyperlink ref="AR34" r:id="rId20" xr:uid="{B04B1277-770E-4F18-A8FF-A092B31F1897}"/>
    <hyperlink ref="AR35" r:id="rId21" xr:uid="{BA2E03C6-B4AB-46EF-9764-24EF3FF37DD6}"/>
    <hyperlink ref="AR36" r:id="rId22" xr:uid="{10B2DCFC-D0C2-4E3E-BBBE-31839C7AE535}"/>
    <hyperlink ref="AR37" r:id="rId23" xr:uid="{02C15664-AE9E-4EFA-84F3-8CDADCF0A325}"/>
    <hyperlink ref="AR38" r:id="rId24" xr:uid="{DA2B6CC4-FBAF-4480-954A-90755EA2CCDC}"/>
    <hyperlink ref="AR39" r:id="rId25" xr:uid="{C195A824-90BE-4E1A-9036-980CC9AF87E9}"/>
    <hyperlink ref="AR41" r:id="rId26" xr:uid="{0FD0F8FF-5640-4A25-9043-E34CC8A1C988}"/>
    <hyperlink ref="AR42" r:id="rId27" xr:uid="{E59C3299-AAF6-4150-8FA4-BB5EB0E3F753}"/>
    <hyperlink ref="AR44" r:id="rId28" xr:uid="{0F7CD5E0-A5F1-46FA-BD1D-369C9E83ACFB}"/>
    <hyperlink ref="AR45" r:id="rId29" xr:uid="{CD185809-65B9-404F-9777-AA90B32AED62}"/>
    <hyperlink ref="AR23" r:id="rId30" xr:uid="{4657D624-750E-4DB8-8884-743290F1B164}"/>
    <hyperlink ref="AR4" r:id="rId31" xr:uid="{35126D35-FF36-4C1A-8E02-AC8BF908DA9E}"/>
    <hyperlink ref="AR21" r:id="rId32" xr:uid="{259D3DAC-8407-4ABB-A2A4-4B23757340E6}"/>
  </hyperlinks>
  <pageMargins left="0.7" right="0.7" top="0.75" bottom="0.75" header="0.3" footer="0.3"/>
  <pageSetup paperSize="9" orientation="portrait" r:id="rId33"/>
  <legacyDrawing r:id="rId3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3613-ED4E-4262-9D4D-2ABD3811B5A5}">
  <sheetPr filterMode="1">
    <tabColor rgb="FF0070C0"/>
  </sheetPr>
  <dimension ref="A1:BT99"/>
  <sheetViews>
    <sheetView zoomScaleNormal="100" workbookViewId="0">
      <pane xSplit="2" topLeftCell="N1" activePane="topRight" state="frozen"/>
      <selection activeCell="A23" sqref="A23"/>
      <selection pane="topRight" activeCell="Z16" sqref="Z16"/>
    </sheetView>
  </sheetViews>
  <sheetFormatPr defaultColWidth="9.140625" defaultRowHeight="12.75"/>
  <cols>
    <col min="1" max="2" width="9.140625" style="1"/>
    <col min="3" max="3" width="11.7109375" style="1" customWidth="1"/>
    <col min="4" max="4" width="12.42578125" style="1" customWidth="1"/>
    <col min="5" max="6" width="11.7109375" style="1" customWidth="1"/>
    <col min="7" max="7" width="12.5703125" style="1" customWidth="1"/>
    <col min="8" max="8" width="9.140625" style="1" customWidth="1"/>
    <col min="9" max="9" width="19.140625" style="1" customWidth="1"/>
    <col min="10" max="10" width="15.7109375" style="124" customWidth="1"/>
    <col min="11" max="11" width="12.7109375" style="1" customWidth="1"/>
    <col min="12" max="12" width="11.7109375" style="1" customWidth="1"/>
    <col min="13" max="13" width="11.85546875" style="1" customWidth="1"/>
    <col min="14" max="14" width="9" style="1" customWidth="1"/>
    <col min="15" max="15" width="9.85546875" style="1" customWidth="1"/>
    <col min="16" max="16" width="12.7109375" style="304" customWidth="1"/>
    <col min="17" max="17" width="11.42578125" style="1" customWidth="1"/>
    <col min="18" max="18" width="14.28515625" style="1" customWidth="1"/>
    <col min="19" max="19" width="9.140625" style="1" customWidth="1"/>
    <col min="20" max="20" width="9.42578125" style="1" customWidth="1"/>
    <col min="21" max="23" width="10.5703125" style="1" customWidth="1"/>
    <col min="24" max="24" width="10.5703125" style="553" customWidth="1"/>
    <col min="25" max="25" width="11.140625" style="553" customWidth="1"/>
    <col min="26" max="26" width="14.5703125" style="329" bestFit="1" customWidth="1"/>
    <col min="27" max="27" width="11.140625" style="329" customWidth="1"/>
    <col min="28" max="28" width="14.140625" style="1" hidden="1" customWidth="1"/>
    <col min="29" max="29" width="11.140625" style="329" hidden="1" customWidth="1"/>
    <col min="30" max="30" width="11.140625" style="1" hidden="1" customWidth="1"/>
    <col min="31" max="31" width="12.7109375" style="329" customWidth="1"/>
    <col min="32" max="32" width="12.42578125" style="1" customWidth="1"/>
    <col min="33" max="33" width="12.42578125" style="1" hidden="1" customWidth="1"/>
    <col min="34" max="38" width="15.5703125" style="1" hidden="1" customWidth="1"/>
    <col min="39" max="39" width="52.7109375" style="1" bestFit="1" customWidth="1"/>
    <col min="40" max="41" width="11.7109375" style="125" customWidth="1"/>
    <col min="42" max="42" width="44.28515625" style="125" customWidth="1"/>
    <col min="43" max="43" width="11.7109375" style="125" customWidth="1"/>
    <col min="44" max="45" width="11.7109375" style="1" customWidth="1"/>
    <col min="46" max="46" width="17.7109375" style="304" customWidth="1"/>
    <col min="47" max="47" width="18" style="304" customWidth="1"/>
    <col min="48" max="48" width="12.42578125" style="1850" bestFit="1" customWidth="1"/>
    <col min="49" max="16384" width="9.140625" style="1"/>
  </cols>
  <sheetData>
    <row r="1" spans="1:72" ht="25.5">
      <c r="A1" s="6" t="s">
        <v>23</v>
      </c>
      <c r="B1" s="6" t="s">
        <v>5</v>
      </c>
      <c r="C1" s="6" t="s">
        <v>17673</v>
      </c>
      <c r="D1" s="20" t="s">
        <v>0</v>
      </c>
      <c r="E1" s="20" t="s">
        <v>3</v>
      </c>
      <c r="F1" s="6" t="s">
        <v>6</v>
      </c>
      <c r="G1" s="6" t="s">
        <v>2</v>
      </c>
      <c r="H1" s="6" t="s">
        <v>212</v>
      </c>
      <c r="I1" s="6" t="s">
        <v>7</v>
      </c>
      <c r="J1" s="120" t="s">
        <v>11</v>
      </c>
      <c r="K1" s="6" t="s">
        <v>17330</v>
      </c>
      <c r="L1" s="6" t="s">
        <v>17323</v>
      </c>
      <c r="M1" s="6" t="s">
        <v>17324</v>
      </c>
      <c r="N1" s="6" t="s">
        <v>22</v>
      </c>
      <c r="O1" s="6" t="s">
        <v>12</v>
      </c>
      <c r="P1" s="21" t="s">
        <v>221</v>
      </c>
      <c r="Q1" s="6" t="s">
        <v>14</v>
      </c>
      <c r="R1" s="21" t="s">
        <v>17266</v>
      </c>
      <c r="S1" s="6" t="s">
        <v>16</v>
      </c>
      <c r="T1" s="6" t="s">
        <v>227</v>
      </c>
      <c r="U1" s="6" t="s">
        <v>550</v>
      </c>
      <c r="V1" s="6" t="s">
        <v>228</v>
      </c>
      <c r="W1" s="6" t="s">
        <v>214</v>
      </c>
      <c r="X1" s="281" t="s">
        <v>300</v>
      </c>
      <c r="Y1" s="281" t="s">
        <v>4</v>
      </c>
      <c r="Z1" s="310" t="s">
        <v>545</v>
      </c>
      <c r="AA1" s="310" t="s">
        <v>546</v>
      </c>
      <c r="AB1" s="281" t="s">
        <v>553</v>
      </c>
      <c r="AC1" s="310" t="s">
        <v>547</v>
      </c>
      <c r="AD1" s="281" t="s">
        <v>554</v>
      </c>
      <c r="AE1" s="310" t="s">
        <v>548</v>
      </c>
      <c r="AF1" s="6" t="s">
        <v>8</v>
      </c>
      <c r="AG1" s="6" t="s">
        <v>718</v>
      </c>
      <c r="AH1" s="6" t="s">
        <v>18</v>
      </c>
      <c r="AI1" s="6" t="s">
        <v>542</v>
      </c>
      <c r="AJ1" s="6" t="s">
        <v>543</v>
      </c>
      <c r="AK1" s="6" t="s">
        <v>542</v>
      </c>
      <c r="AL1" s="6" t="s">
        <v>543</v>
      </c>
      <c r="AM1" s="6" t="s">
        <v>19</v>
      </c>
      <c r="AN1" s="6" t="s">
        <v>261</v>
      </c>
      <c r="AO1" s="6" t="s">
        <v>17980</v>
      </c>
      <c r="AP1" s="6" t="s">
        <v>17599</v>
      </c>
      <c r="AQ1" s="6" t="s">
        <v>17601</v>
      </c>
      <c r="AR1" s="6" t="s">
        <v>262</v>
      </c>
      <c r="AS1" s="6" t="s">
        <v>263</v>
      </c>
      <c r="AT1" s="21" t="s">
        <v>20</v>
      </c>
      <c r="AU1" s="21" t="s">
        <v>21</v>
      </c>
      <c r="AV1" s="21" t="s">
        <v>18351</v>
      </c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</row>
    <row r="2" spans="1:72" s="457" customFormat="1" ht="15" hidden="1">
      <c r="A2" s="95">
        <v>1</v>
      </c>
      <c r="B2" s="50" t="s">
        <v>24</v>
      </c>
      <c r="C2" s="97" t="s">
        <v>91</v>
      </c>
      <c r="D2" s="97">
        <v>1</v>
      </c>
      <c r="E2" s="97" t="s">
        <v>37</v>
      </c>
      <c r="F2" s="1173">
        <v>99.2</v>
      </c>
      <c r="G2" s="1174"/>
      <c r="H2" s="1174">
        <v>27.02</v>
      </c>
      <c r="I2" s="1174"/>
      <c r="J2" s="121">
        <f>F2+0.3*G2+0.2*H2+0.2*I2</f>
        <v>104.604</v>
      </c>
      <c r="K2" s="370">
        <v>1</v>
      </c>
      <c r="L2" s="95">
        <v>-3</v>
      </c>
      <c r="M2" s="95" t="s">
        <v>17329</v>
      </c>
      <c r="N2" s="95">
        <v>-3</v>
      </c>
      <c r="O2" s="95" t="s">
        <v>258</v>
      </c>
      <c r="P2" s="100">
        <v>368280</v>
      </c>
      <c r="Q2" s="115">
        <f>0.93*R2</f>
        <v>368280</v>
      </c>
      <c r="R2" s="100">
        <v>396000</v>
      </c>
      <c r="S2" s="101">
        <f t="shared" ref="S2:S63" si="0">(Q2/R2)-1</f>
        <v>-6.9999999999999951E-2</v>
      </c>
      <c r="T2" s="102">
        <f t="shared" ref="T2:T33" si="1">P2/J2</f>
        <v>3520.7066651370883</v>
      </c>
      <c r="U2" s="102">
        <f t="shared" ref="U2:U33" si="2">Q2/J2</f>
        <v>3520.7066651370883</v>
      </c>
      <c r="V2" s="102">
        <f t="shared" ref="V2:V33" si="3">R2/J2</f>
        <v>3785.7060915452566</v>
      </c>
      <c r="W2" s="102"/>
      <c r="X2" s="554"/>
      <c r="Y2" s="103">
        <v>45582</v>
      </c>
      <c r="Z2" s="313">
        <f>20%*P2</f>
        <v>73656</v>
      </c>
      <c r="AA2" s="313"/>
      <c r="AB2" s="103"/>
      <c r="AC2" s="313"/>
      <c r="AD2" s="103"/>
      <c r="AE2" s="313">
        <f>P2-Z2</f>
        <v>294624</v>
      </c>
      <c r="AF2" s="95" t="s">
        <v>222</v>
      </c>
      <c r="AG2" s="95"/>
      <c r="AH2" s="306"/>
      <c r="AI2" s="306"/>
      <c r="AJ2" s="306"/>
      <c r="AK2" s="306"/>
      <c r="AL2" s="95"/>
      <c r="AM2" s="104" t="s">
        <v>17675</v>
      </c>
      <c r="AN2" s="104" t="s">
        <v>565</v>
      </c>
      <c r="AO2" s="104" t="s">
        <v>17981</v>
      </c>
      <c r="AP2" s="1612" t="s">
        <v>17958</v>
      </c>
      <c r="AQ2" s="104"/>
      <c r="AR2" s="104"/>
      <c r="AS2" s="104"/>
      <c r="AT2" s="115"/>
      <c r="AU2" s="115"/>
      <c r="AV2" s="1868"/>
    </row>
    <row r="3" spans="1:72" s="457" customFormat="1" ht="15" hidden="1">
      <c r="A3" s="95">
        <v>2</v>
      </c>
      <c r="B3" s="50" t="s">
        <v>25</v>
      </c>
      <c r="C3" s="97" t="s">
        <v>90</v>
      </c>
      <c r="D3" s="97">
        <v>1</v>
      </c>
      <c r="E3" s="97" t="s">
        <v>37</v>
      </c>
      <c r="F3" s="1166">
        <v>64.5</v>
      </c>
      <c r="G3" s="1167"/>
      <c r="H3" s="1167">
        <v>77.52</v>
      </c>
      <c r="I3" s="1167"/>
      <c r="J3" s="121">
        <f>F3+0.3*G3+0.2*H3+0.2*I3</f>
        <v>80.004000000000005</v>
      </c>
      <c r="K3" s="371">
        <v>1</v>
      </c>
      <c r="L3" s="95">
        <v>-3</v>
      </c>
      <c r="M3" s="95" t="s">
        <v>17329</v>
      </c>
      <c r="N3" s="95"/>
      <c r="O3" s="95" t="s">
        <v>258</v>
      </c>
      <c r="P3" s="100">
        <v>350400</v>
      </c>
      <c r="Q3" s="115">
        <f>0.96*R3</f>
        <v>350400</v>
      </c>
      <c r="R3" s="100">
        <v>365000</v>
      </c>
      <c r="S3" s="101">
        <f t="shared" si="0"/>
        <v>-4.0000000000000036E-2</v>
      </c>
      <c r="T3" s="102">
        <f t="shared" si="1"/>
        <v>4379.7810109494521</v>
      </c>
      <c r="U3" s="102">
        <f t="shared" si="2"/>
        <v>4379.7810109494521</v>
      </c>
      <c r="V3" s="102">
        <f t="shared" si="3"/>
        <v>4562.2718864056797</v>
      </c>
      <c r="W3" s="102"/>
      <c r="X3" s="554">
        <v>45550</v>
      </c>
      <c r="Y3" s="103">
        <v>45638</v>
      </c>
      <c r="Z3" s="313">
        <f>5000+65080</f>
        <v>70080</v>
      </c>
      <c r="AA3" s="313"/>
      <c r="AB3" s="103"/>
      <c r="AC3" s="313"/>
      <c r="AD3" s="103"/>
      <c r="AE3" s="313">
        <v>280320</v>
      </c>
      <c r="AF3" s="95" t="s">
        <v>17189</v>
      </c>
      <c r="AG3" s="95" t="s">
        <v>762</v>
      </c>
      <c r="AH3" s="306"/>
      <c r="AI3" s="306"/>
      <c r="AJ3" s="306"/>
      <c r="AK3" s="306"/>
      <c r="AL3" s="95"/>
      <c r="AM3" s="104" t="s">
        <v>17775</v>
      </c>
      <c r="AN3" s="104" t="s">
        <v>265</v>
      </c>
      <c r="AO3" s="104" t="s">
        <v>17981</v>
      </c>
      <c r="AP3" s="1612" t="s">
        <v>17959</v>
      </c>
      <c r="AQ3" s="104"/>
      <c r="AR3" s="127"/>
      <c r="AS3" s="127"/>
      <c r="AT3" s="115"/>
      <c r="AU3" s="115"/>
      <c r="AV3" s="1868"/>
    </row>
    <row r="4" spans="1:72" s="457" customFormat="1" ht="15" hidden="1">
      <c r="A4" s="95">
        <v>3</v>
      </c>
      <c r="B4" s="96" t="s">
        <v>26</v>
      </c>
      <c r="C4" s="97" t="s">
        <v>91</v>
      </c>
      <c r="D4" s="97">
        <v>1</v>
      </c>
      <c r="E4" s="97" t="s">
        <v>37</v>
      </c>
      <c r="F4" s="1166">
        <v>101.98</v>
      </c>
      <c r="G4" s="1167"/>
      <c r="H4" s="1167">
        <v>136.4</v>
      </c>
      <c r="I4" s="1167"/>
      <c r="J4" s="121">
        <f t="shared" ref="J4:J63" si="4">F4+0.3*G4+0.2*H4+0.2*I4</f>
        <v>129.26</v>
      </c>
      <c r="K4" s="371">
        <v>2</v>
      </c>
      <c r="L4" s="95">
        <v>-3</v>
      </c>
      <c r="M4" s="95" t="s">
        <v>17335</v>
      </c>
      <c r="N4" s="95"/>
      <c r="O4" s="95" t="s">
        <v>258</v>
      </c>
      <c r="P4" s="100">
        <v>600000</v>
      </c>
      <c r="Q4" s="115">
        <f>0.96*R4</f>
        <v>576000</v>
      </c>
      <c r="R4" s="100">
        <v>600000</v>
      </c>
      <c r="S4" s="101">
        <f t="shared" si="0"/>
        <v>-4.0000000000000036E-2</v>
      </c>
      <c r="T4" s="102">
        <f t="shared" si="1"/>
        <v>4641.807210273867</v>
      </c>
      <c r="U4" s="102">
        <f t="shared" si="2"/>
        <v>4456.1349218629121</v>
      </c>
      <c r="V4" s="102">
        <f t="shared" si="3"/>
        <v>4641.807210273867</v>
      </c>
      <c r="W4" s="102"/>
      <c r="X4" s="554">
        <v>45822</v>
      </c>
      <c r="Y4" s="103">
        <v>45845</v>
      </c>
      <c r="Z4" s="313">
        <v>60000</v>
      </c>
      <c r="AA4" s="313"/>
      <c r="AB4" s="103"/>
      <c r="AC4" s="313"/>
      <c r="AD4" s="103"/>
      <c r="AE4" s="313">
        <v>540000</v>
      </c>
      <c r="AF4" s="95" t="s">
        <v>17189</v>
      </c>
      <c r="AG4" s="95"/>
      <c r="AH4" s="306"/>
      <c r="AI4" s="306"/>
      <c r="AJ4" s="306"/>
      <c r="AK4" s="306"/>
      <c r="AL4" s="95"/>
      <c r="AM4" s="104" t="s">
        <v>18030</v>
      </c>
      <c r="AN4" s="104" t="s">
        <v>565</v>
      </c>
      <c r="AO4" s="104" t="s">
        <v>17981</v>
      </c>
      <c r="AP4" s="104" t="s">
        <v>17833</v>
      </c>
      <c r="AQ4" s="104"/>
      <c r="AR4" s="104"/>
      <c r="AS4" s="104"/>
      <c r="AT4" s="115"/>
      <c r="AU4" s="115"/>
      <c r="AV4" s="1868"/>
    </row>
    <row r="5" spans="1:72" s="457" customFormat="1" ht="15" hidden="1">
      <c r="A5" s="95">
        <v>4</v>
      </c>
      <c r="B5" s="96" t="s">
        <v>27</v>
      </c>
      <c r="C5" s="97" t="s">
        <v>91</v>
      </c>
      <c r="D5" s="97">
        <v>1</v>
      </c>
      <c r="E5" s="97" t="s">
        <v>17606</v>
      </c>
      <c r="F5" s="1166">
        <v>107.35</v>
      </c>
      <c r="G5" s="1167"/>
      <c r="H5" s="1167">
        <v>202.84</v>
      </c>
      <c r="I5" s="1167"/>
      <c r="J5" s="121">
        <f>F5+0.3*G5+0.2*H5+0.2*I5</f>
        <v>147.91800000000001</v>
      </c>
      <c r="K5" s="371">
        <v>2</v>
      </c>
      <c r="L5" s="95">
        <v>-3</v>
      </c>
      <c r="M5" s="95" t="s">
        <v>17335</v>
      </c>
      <c r="N5" s="95"/>
      <c r="O5" s="95" t="s">
        <v>258</v>
      </c>
      <c r="P5" s="100">
        <v>624000</v>
      </c>
      <c r="Q5" s="115">
        <f>0.96*R5</f>
        <v>624000</v>
      </c>
      <c r="R5" s="100">
        <v>650000</v>
      </c>
      <c r="S5" s="101">
        <f t="shared" si="0"/>
        <v>-4.0000000000000036E-2</v>
      </c>
      <c r="T5" s="102">
        <f t="shared" si="1"/>
        <v>4218.5535228978215</v>
      </c>
      <c r="U5" s="102">
        <f t="shared" si="2"/>
        <v>4218.5535228978215</v>
      </c>
      <c r="V5" s="102">
        <f t="shared" si="3"/>
        <v>4394.3265863518973</v>
      </c>
      <c r="W5" s="102"/>
      <c r="X5" s="554">
        <v>45757</v>
      </c>
      <c r="Y5" s="103">
        <v>45793</v>
      </c>
      <c r="Z5" s="313">
        <f>5000+119800</f>
        <v>124800</v>
      </c>
      <c r="AA5" s="313"/>
      <c r="AB5" s="103"/>
      <c r="AC5" s="313"/>
      <c r="AD5" s="103"/>
      <c r="AE5" s="313">
        <v>499200</v>
      </c>
      <c r="AF5" s="95" t="s">
        <v>17189</v>
      </c>
      <c r="AG5" s="95"/>
      <c r="AH5" s="306"/>
      <c r="AI5" s="306"/>
      <c r="AJ5" s="306"/>
      <c r="AK5" s="306"/>
      <c r="AL5" s="306"/>
      <c r="AM5" s="104" t="s">
        <v>17922</v>
      </c>
      <c r="AN5" s="104" t="s">
        <v>565</v>
      </c>
      <c r="AO5" s="104" t="s">
        <v>17981</v>
      </c>
      <c r="AP5" s="104" t="s">
        <v>17833</v>
      </c>
      <c r="AQ5" s="104"/>
      <c r="AR5" s="104"/>
      <c r="AS5" s="104"/>
      <c r="AT5" s="115"/>
      <c r="AU5" s="115"/>
      <c r="AV5" s="1868"/>
    </row>
    <row r="6" spans="1:72" s="627" customFormat="1" ht="15" hidden="1">
      <c r="A6" s="610">
        <v>5</v>
      </c>
      <c r="B6" s="633" t="s">
        <v>28</v>
      </c>
      <c r="C6" s="612" t="s">
        <v>89</v>
      </c>
      <c r="D6" s="612">
        <v>1</v>
      </c>
      <c r="E6" s="612" t="s">
        <v>17607</v>
      </c>
      <c r="F6" s="628">
        <v>134.82</v>
      </c>
      <c r="G6" s="629">
        <v>141.79</v>
      </c>
      <c r="H6" s="629">
        <v>60.77</v>
      </c>
      <c r="I6" s="629"/>
      <c r="J6" s="615">
        <f t="shared" si="4"/>
        <v>189.511</v>
      </c>
      <c r="K6" s="630">
        <v>2</v>
      </c>
      <c r="L6" s="630">
        <v>-2</v>
      </c>
      <c r="M6" s="610" t="s">
        <v>17335</v>
      </c>
      <c r="N6" s="610"/>
      <c r="O6" s="610"/>
      <c r="P6" s="618"/>
      <c r="Q6" s="626">
        <f>0.96*R6</f>
        <v>782400</v>
      </c>
      <c r="R6" s="618">
        <v>815000</v>
      </c>
      <c r="S6" s="619">
        <f>(Q6/R6)-1</f>
        <v>-4.0000000000000036E-2</v>
      </c>
      <c r="T6" s="620">
        <f t="shared" si="1"/>
        <v>0</v>
      </c>
      <c r="U6" s="620">
        <f t="shared" si="2"/>
        <v>4128.5202442074606</v>
      </c>
      <c r="V6" s="620">
        <f t="shared" si="3"/>
        <v>4300.5419210494383</v>
      </c>
      <c r="W6" s="620"/>
      <c r="X6" s="621"/>
      <c r="Y6" s="622"/>
      <c r="Z6" s="623"/>
      <c r="AA6" s="623"/>
      <c r="AB6" s="622"/>
      <c r="AC6" s="623"/>
      <c r="AD6" s="622"/>
      <c r="AE6" s="623"/>
      <c r="AF6" s="610"/>
      <c r="AG6" s="610"/>
      <c r="AH6" s="624"/>
      <c r="AI6" s="624"/>
      <c r="AJ6" s="624"/>
      <c r="AK6" s="624"/>
      <c r="AL6" s="610"/>
      <c r="AM6" s="625"/>
      <c r="AN6" s="625"/>
      <c r="AO6" s="625"/>
      <c r="AP6" s="625"/>
      <c r="AQ6" s="625"/>
      <c r="AR6" s="625"/>
      <c r="AS6" s="625"/>
      <c r="AT6" s="626"/>
      <c r="AU6" s="626"/>
      <c r="AV6" s="1869"/>
    </row>
    <row r="7" spans="1:72" s="627" customFormat="1" ht="15" hidden="1">
      <c r="A7" s="610">
        <v>6</v>
      </c>
      <c r="B7" s="633" t="s">
        <v>29</v>
      </c>
      <c r="C7" s="612" t="s">
        <v>89</v>
      </c>
      <c r="D7" s="612">
        <v>1</v>
      </c>
      <c r="E7" s="612" t="s">
        <v>42</v>
      </c>
      <c r="F7" s="628">
        <v>126.4</v>
      </c>
      <c r="G7" s="629">
        <v>62.54</v>
      </c>
      <c r="H7" s="629">
        <v>62.54</v>
      </c>
      <c r="I7" s="629"/>
      <c r="J7" s="615">
        <f t="shared" si="4"/>
        <v>157.67000000000002</v>
      </c>
      <c r="K7" s="630">
        <v>2</v>
      </c>
      <c r="L7" s="610">
        <v>-3</v>
      </c>
      <c r="M7" s="610" t="s">
        <v>17335</v>
      </c>
      <c r="N7" s="610"/>
      <c r="O7" s="610"/>
      <c r="P7" s="618"/>
      <c r="Q7" s="626">
        <f>0.96*R7</f>
        <v>710400</v>
      </c>
      <c r="R7" s="618">
        <v>740000</v>
      </c>
      <c r="S7" s="619">
        <f t="shared" si="0"/>
        <v>-4.0000000000000036E-2</v>
      </c>
      <c r="T7" s="620">
        <f t="shared" si="1"/>
        <v>0</v>
      </c>
      <c r="U7" s="620">
        <f t="shared" si="2"/>
        <v>4505.6129891545625</v>
      </c>
      <c r="V7" s="620">
        <f t="shared" si="3"/>
        <v>4693.3468637026699</v>
      </c>
      <c r="W7" s="620"/>
      <c r="X7" s="621"/>
      <c r="Y7" s="634"/>
      <c r="Z7" s="635"/>
      <c r="AA7" s="635"/>
      <c r="AB7" s="634"/>
      <c r="AC7" s="635"/>
      <c r="AD7" s="634"/>
      <c r="AE7" s="635"/>
      <c r="AF7" s="610"/>
      <c r="AG7" s="610"/>
      <c r="AH7" s="624"/>
      <c r="AI7" s="624"/>
      <c r="AJ7" s="624"/>
      <c r="AK7" s="624"/>
      <c r="AL7" s="624"/>
      <c r="AM7" s="610"/>
      <c r="AN7" s="610"/>
      <c r="AO7" s="610"/>
      <c r="AP7" s="610"/>
      <c r="AQ7" s="610"/>
      <c r="AR7" s="610"/>
      <c r="AS7" s="610"/>
      <c r="AT7" s="626"/>
      <c r="AU7" s="626"/>
      <c r="AV7" s="1869"/>
    </row>
    <row r="8" spans="1:72" s="457" customFormat="1" ht="15" hidden="1">
      <c r="A8" s="95">
        <v>7</v>
      </c>
      <c r="B8" s="96" t="s">
        <v>30</v>
      </c>
      <c r="C8" s="97" t="s">
        <v>89</v>
      </c>
      <c r="D8" s="97">
        <v>1</v>
      </c>
      <c r="E8" s="97" t="s">
        <v>42</v>
      </c>
      <c r="F8" s="1166">
        <v>113.7</v>
      </c>
      <c r="G8" s="1167">
        <v>58.37</v>
      </c>
      <c r="H8" s="1167">
        <v>58.37</v>
      </c>
      <c r="I8" s="1167"/>
      <c r="J8" s="121">
        <f t="shared" si="4"/>
        <v>142.88500000000002</v>
      </c>
      <c r="K8" s="371">
        <v>2</v>
      </c>
      <c r="L8" s="95">
        <v>-3</v>
      </c>
      <c r="M8" s="95" t="s">
        <v>17335</v>
      </c>
      <c r="N8" s="95"/>
      <c r="O8" s="95" t="s">
        <v>258</v>
      </c>
      <c r="P8" s="100">
        <v>632400</v>
      </c>
      <c r="Q8" s="115">
        <f>0.93*R8</f>
        <v>632400</v>
      </c>
      <c r="R8" s="100">
        <v>680000</v>
      </c>
      <c r="S8" s="101">
        <f t="shared" si="0"/>
        <v>-6.9999999999999951E-2</v>
      </c>
      <c r="T8" s="102">
        <f t="shared" si="1"/>
        <v>4425.9369422962518</v>
      </c>
      <c r="U8" s="102">
        <f t="shared" si="2"/>
        <v>4425.9369422962518</v>
      </c>
      <c r="V8" s="102">
        <f t="shared" si="3"/>
        <v>4759.0719809637112</v>
      </c>
      <c r="W8" s="102"/>
      <c r="X8" s="554">
        <v>45550</v>
      </c>
      <c r="Y8" s="128">
        <v>45555</v>
      </c>
      <c r="Z8" s="275">
        <f>5000+58240</f>
        <v>63240</v>
      </c>
      <c r="AA8" s="275"/>
      <c r="AB8" s="128"/>
      <c r="AC8" s="275"/>
      <c r="AD8" s="128"/>
      <c r="AE8" s="275">
        <v>569160</v>
      </c>
      <c r="AF8" s="95" t="s">
        <v>17189</v>
      </c>
      <c r="AG8" s="95" t="s">
        <v>762</v>
      </c>
      <c r="AH8" s="306"/>
      <c r="AI8" s="306"/>
      <c r="AJ8" s="306"/>
      <c r="AK8" s="306"/>
      <c r="AL8" s="95"/>
      <c r="AM8" s="95" t="s">
        <v>17627</v>
      </c>
      <c r="AN8" s="95" t="s">
        <v>265</v>
      </c>
      <c r="AO8" s="104" t="s">
        <v>17981</v>
      </c>
      <c r="AP8" s="1617" t="s">
        <v>17960</v>
      </c>
      <c r="AQ8" s="95"/>
      <c r="AR8" s="95"/>
      <c r="AS8" s="95"/>
      <c r="AT8" s="115"/>
      <c r="AU8" s="115"/>
      <c r="AV8" s="1868"/>
    </row>
    <row r="9" spans="1:72" s="457" customFormat="1" ht="15" hidden="1">
      <c r="A9" s="95">
        <v>8</v>
      </c>
      <c r="B9" s="96" t="s">
        <v>31</v>
      </c>
      <c r="C9" s="97" t="s">
        <v>91</v>
      </c>
      <c r="D9" s="97">
        <v>1</v>
      </c>
      <c r="E9" s="97" t="s">
        <v>42</v>
      </c>
      <c r="F9" s="1166">
        <v>79.17</v>
      </c>
      <c r="G9" s="1167">
        <v>41.68</v>
      </c>
      <c r="H9" s="1167">
        <v>41.68</v>
      </c>
      <c r="I9" s="1167"/>
      <c r="J9" s="121">
        <f>F9+0.3*G9+0.2*H9+0.2*I9</f>
        <v>100.01</v>
      </c>
      <c r="K9" s="371">
        <v>1</v>
      </c>
      <c r="L9" s="95">
        <v>-3</v>
      </c>
      <c r="M9" s="95" t="s">
        <v>17329</v>
      </c>
      <c r="N9" s="95">
        <v>-3</v>
      </c>
      <c r="O9" s="95" t="s">
        <v>258</v>
      </c>
      <c r="P9" s="100">
        <v>480000</v>
      </c>
      <c r="Q9" s="115">
        <f t="shared" ref="Q9:Q14" si="5">0.96*R9</f>
        <v>480000</v>
      </c>
      <c r="R9" s="100">
        <v>500000</v>
      </c>
      <c r="S9" s="101">
        <f t="shared" si="0"/>
        <v>-4.0000000000000036E-2</v>
      </c>
      <c r="T9" s="102">
        <f t="shared" si="1"/>
        <v>4799.5200479952</v>
      </c>
      <c r="U9" s="102">
        <f t="shared" si="2"/>
        <v>4799.5200479952</v>
      </c>
      <c r="V9" s="102">
        <f t="shared" si="3"/>
        <v>4999.5000499950002</v>
      </c>
      <c r="W9" s="102"/>
      <c r="X9" s="554">
        <v>45723</v>
      </c>
      <c r="Y9" s="113">
        <v>45782</v>
      </c>
      <c r="Z9" s="325">
        <v>96000</v>
      </c>
      <c r="AA9" s="325"/>
      <c r="AB9" s="113"/>
      <c r="AC9" s="325"/>
      <c r="AD9" s="113"/>
      <c r="AE9" s="325">
        <f>0.8*P9</f>
        <v>384000</v>
      </c>
      <c r="AF9" s="95" t="s">
        <v>17189</v>
      </c>
      <c r="AG9" s="95"/>
      <c r="AH9" s="306"/>
      <c r="AI9" s="306"/>
      <c r="AJ9" s="306"/>
      <c r="AK9" s="306"/>
      <c r="AL9" s="95"/>
      <c r="AM9" s="112" t="s">
        <v>17909</v>
      </c>
      <c r="AN9" s="112" t="s">
        <v>265</v>
      </c>
      <c r="AO9" s="104" t="s">
        <v>17981</v>
      </c>
      <c r="AP9" s="1618" t="s">
        <v>17961</v>
      </c>
      <c r="AQ9" s="112"/>
      <c r="AR9" s="112"/>
      <c r="AS9" s="112"/>
      <c r="AT9" s="115"/>
      <c r="AU9" s="115"/>
      <c r="AV9" s="1868"/>
    </row>
    <row r="10" spans="1:72" s="457" customFormat="1" ht="15" hidden="1">
      <c r="A10" s="95">
        <v>9</v>
      </c>
      <c r="B10" s="96" t="s">
        <v>32</v>
      </c>
      <c r="C10" s="97" t="s">
        <v>91</v>
      </c>
      <c r="D10" s="97">
        <v>1</v>
      </c>
      <c r="E10" s="97" t="s">
        <v>17608</v>
      </c>
      <c r="F10" s="1166">
        <v>95.4</v>
      </c>
      <c r="G10" s="1167">
        <v>42.07</v>
      </c>
      <c r="H10" s="1167">
        <v>42.07</v>
      </c>
      <c r="I10" s="1167"/>
      <c r="J10" s="121">
        <f t="shared" si="4"/>
        <v>116.435</v>
      </c>
      <c r="K10" s="371">
        <v>2</v>
      </c>
      <c r="L10" s="95">
        <v>-3</v>
      </c>
      <c r="M10" s="95" t="s">
        <v>17335</v>
      </c>
      <c r="N10" s="95"/>
      <c r="O10" s="95" t="s">
        <v>258</v>
      </c>
      <c r="P10" s="100">
        <v>528000</v>
      </c>
      <c r="Q10" s="115">
        <f t="shared" si="5"/>
        <v>528000</v>
      </c>
      <c r="R10" s="100">
        <v>550000</v>
      </c>
      <c r="S10" s="101">
        <f t="shared" si="0"/>
        <v>-4.0000000000000036E-2</v>
      </c>
      <c r="T10" s="102">
        <f t="shared" si="1"/>
        <v>4534.7189418989137</v>
      </c>
      <c r="U10" s="102">
        <f t="shared" si="2"/>
        <v>4534.7189418989137</v>
      </c>
      <c r="V10" s="102">
        <f t="shared" si="3"/>
        <v>4723.6655644780349</v>
      </c>
      <c r="W10" s="102"/>
      <c r="X10" s="554">
        <v>45742</v>
      </c>
      <c r="Y10" s="103">
        <v>45845</v>
      </c>
      <c r="Z10" s="313">
        <f>20%*P10</f>
        <v>105600</v>
      </c>
      <c r="AA10" s="313"/>
      <c r="AB10" s="103"/>
      <c r="AC10" s="313"/>
      <c r="AD10" s="103"/>
      <c r="AE10" s="313"/>
      <c r="AF10" s="95" t="s">
        <v>17189</v>
      </c>
      <c r="AG10" s="95"/>
      <c r="AH10" s="306"/>
      <c r="AI10" s="306"/>
      <c r="AJ10" s="306"/>
      <c r="AK10" s="306"/>
      <c r="AL10" s="95"/>
      <c r="AM10" s="104" t="s">
        <v>17910</v>
      </c>
      <c r="AN10" s="112" t="s">
        <v>265</v>
      </c>
      <c r="AO10" s="104" t="s">
        <v>17981</v>
      </c>
      <c r="AP10" s="1428" t="s">
        <v>17999</v>
      </c>
      <c r="AQ10" s="112"/>
      <c r="AR10" s="104"/>
      <c r="AS10" s="104"/>
      <c r="AT10" s="115"/>
      <c r="AU10" s="115"/>
      <c r="AV10" s="1868"/>
    </row>
    <row r="11" spans="1:72" s="106" customFormat="1" ht="15" hidden="1">
      <c r="A11" s="31">
        <v>10</v>
      </c>
      <c r="B11" s="87" t="s">
        <v>33</v>
      </c>
      <c r="C11" s="88" t="s">
        <v>89</v>
      </c>
      <c r="D11" s="88">
        <v>2</v>
      </c>
      <c r="E11" s="88" t="s">
        <v>17609</v>
      </c>
      <c r="F11" s="90">
        <v>157.47</v>
      </c>
      <c r="G11" s="24">
        <v>20.010000000000002</v>
      </c>
      <c r="H11" s="24"/>
      <c r="I11" s="24"/>
      <c r="J11" s="224">
        <f t="shared" si="4"/>
        <v>163.47300000000001</v>
      </c>
      <c r="K11" s="375">
        <v>2</v>
      </c>
      <c r="L11" s="31">
        <v>-2</v>
      </c>
      <c r="M11" s="31" t="s">
        <v>17335</v>
      </c>
      <c r="N11" s="31"/>
      <c r="O11" s="610"/>
      <c r="P11" s="89"/>
      <c r="Q11" s="626">
        <f t="shared" si="5"/>
        <v>825600</v>
      </c>
      <c r="R11" s="89">
        <v>860000</v>
      </c>
      <c r="S11" s="37">
        <f t="shared" si="0"/>
        <v>-4.0000000000000036E-2</v>
      </c>
      <c r="T11" s="32">
        <f t="shared" si="1"/>
        <v>0</v>
      </c>
      <c r="U11" s="32">
        <f t="shared" si="2"/>
        <v>5050.3752913325134</v>
      </c>
      <c r="V11" s="32">
        <f t="shared" si="3"/>
        <v>5260.8075951380342</v>
      </c>
      <c r="W11" s="32"/>
      <c r="X11" s="278"/>
      <c r="Y11" s="33"/>
      <c r="Z11" s="311"/>
      <c r="AA11" s="311"/>
      <c r="AB11" s="33"/>
      <c r="AC11" s="311"/>
      <c r="AD11" s="33"/>
      <c r="AE11" s="311"/>
      <c r="AF11" s="31"/>
      <c r="AG11" s="31"/>
      <c r="AH11" s="307"/>
      <c r="AI11" s="307"/>
      <c r="AJ11" s="307"/>
      <c r="AK11" s="307"/>
      <c r="AL11" s="307"/>
      <c r="AM11" s="36"/>
      <c r="AN11" s="36"/>
      <c r="AO11" s="36"/>
      <c r="AP11" s="36"/>
      <c r="AQ11" s="36"/>
      <c r="AR11" s="36"/>
      <c r="AS11" s="36"/>
      <c r="AT11" s="39"/>
      <c r="AU11" s="39"/>
      <c r="AV11" s="1867"/>
    </row>
    <row r="12" spans="1:72" s="457" customFormat="1" ht="15" hidden="1">
      <c r="A12" s="95">
        <v>11</v>
      </c>
      <c r="B12" s="96" t="s">
        <v>34</v>
      </c>
      <c r="C12" s="97" t="s">
        <v>91</v>
      </c>
      <c r="D12" s="97">
        <v>2</v>
      </c>
      <c r="E12" s="97" t="s">
        <v>37</v>
      </c>
      <c r="F12" s="1166">
        <v>120.4</v>
      </c>
      <c r="G12" s="1167">
        <v>12.33</v>
      </c>
      <c r="H12" s="1167"/>
      <c r="I12" s="1167"/>
      <c r="J12" s="121">
        <f t="shared" si="4"/>
        <v>124.099</v>
      </c>
      <c r="K12" s="371">
        <v>2</v>
      </c>
      <c r="L12" s="95">
        <v>-2</v>
      </c>
      <c r="M12" s="95" t="s">
        <v>17337</v>
      </c>
      <c r="N12" s="95">
        <v>-2</v>
      </c>
      <c r="O12" s="95" t="s">
        <v>258</v>
      </c>
      <c r="P12" s="100">
        <v>441500</v>
      </c>
      <c r="Q12" s="115">
        <f t="shared" si="5"/>
        <v>446400</v>
      </c>
      <c r="R12" s="100">
        <v>465000</v>
      </c>
      <c r="S12" s="101">
        <f>P12/R12-1</f>
        <v>-5.053763440860215E-2</v>
      </c>
      <c r="T12" s="102">
        <f t="shared" si="1"/>
        <v>3557.6434943069644</v>
      </c>
      <c r="U12" s="102">
        <f t="shared" si="2"/>
        <v>3597.1280993400428</v>
      </c>
      <c r="V12" s="102">
        <f t="shared" si="3"/>
        <v>3747.0084368125449</v>
      </c>
      <c r="W12" s="102"/>
      <c r="X12" s="554">
        <v>45764</v>
      </c>
      <c r="Y12" s="103">
        <v>45789</v>
      </c>
      <c r="Z12" s="313">
        <f>5000+127450</f>
        <v>132450</v>
      </c>
      <c r="AA12" s="313"/>
      <c r="AB12" s="103"/>
      <c r="AC12" s="313"/>
      <c r="AD12" s="103"/>
      <c r="AE12" s="313">
        <v>309050</v>
      </c>
      <c r="AF12" s="95" t="s">
        <v>17923</v>
      </c>
      <c r="AG12" s="95"/>
      <c r="AH12" s="306"/>
      <c r="AI12" s="306"/>
      <c r="AJ12" s="306"/>
      <c r="AK12" s="306"/>
      <c r="AL12" s="306"/>
      <c r="AM12" s="132" t="s">
        <v>17983</v>
      </c>
      <c r="AN12" s="132" t="s">
        <v>265</v>
      </c>
      <c r="AO12" s="104" t="s">
        <v>17981</v>
      </c>
      <c r="AP12" s="1428" t="s">
        <v>17987</v>
      </c>
      <c r="AQ12" s="132"/>
      <c r="AR12" s="132"/>
      <c r="AS12" s="132"/>
      <c r="AT12" s="115"/>
      <c r="AU12" s="115"/>
      <c r="AV12" s="1868"/>
    </row>
    <row r="13" spans="1:72" s="457" customFormat="1" ht="15" hidden="1">
      <c r="A13" s="95">
        <v>12</v>
      </c>
      <c r="B13" s="96" t="s">
        <v>35</v>
      </c>
      <c r="C13" s="97" t="s">
        <v>91</v>
      </c>
      <c r="D13" s="97">
        <v>2</v>
      </c>
      <c r="E13" s="97" t="s">
        <v>37</v>
      </c>
      <c r="F13" s="1166">
        <v>91.93</v>
      </c>
      <c r="G13" s="1167">
        <v>12.33</v>
      </c>
      <c r="H13" s="1167"/>
      <c r="I13" s="1167"/>
      <c r="J13" s="121">
        <f t="shared" si="4"/>
        <v>95.629000000000005</v>
      </c>
      <c r="K13" s="371">
        <v>1</v>
      </c>
      <c r="L13" s="95">
        <v>-3</v>
      </c>
      <c r="M13" s="95" t="s">
        <v>17329</v>
      </c>
      <c r="N13" s="95">
        <v>-2</v>
      </c>
      <c r="O13" s="95" t="s">
        <v>258</v>
      </c>
      <c r="P13" s="100">
        <v>414720</v>
      </c>
      <c r="Q13" s="115">
        <f t="shared" si="5"/>
        <v>398400</v>
      </c>
      <c r="R13" s="100">
        <v>415000</v>
      </c>
      <c r="S13" s="101">
        <f t="shared" si="0"/>
        <v>-4.0000000000000036E-2</v>
      </c>
      <c r="T13" s="102">
        <f t="shared" si="1"/>
        <v>4336.7597695259801</v>
      </c>
      <c r="U13" s="102">
        <f t="shared" si="2"/>
        <v>4166.1002415585226</v>
      </c>
      <c r="V13" s="102">
        <f t="shared" si="3"/>
        <v>4339.6877516234608</v>
      </c>
      <c r="W13" s="102"/>
      <c r="X13" s="554">
        <v>45917</v>
      </c>
      <c r="Y13" s="103">
        <v>45954</v>
      </c>
      <c r="Z13" s="313">
        <f>5000+77944</f>
        <v>82944</v>
      </c>
      <c r="AA13" s="313"/>
      <c r="AB13" s="103"/>
      <c r="AC13" s="313"/>
      <c r="AD13" s="103"/>
      <c r="AE13" s="313">
        <v>331776</v>
      </c>
      <c r="AF13" s="95" t="s">
        <v>17189</v>
      </c>
      <c r="AG13" s="95"/>
      <c r="AH13" s="306"/>
      <c r="AI13" s="306"/>
      <c r="AJ13" s="306"/>
      <c r="AK13" s="306"/>
      <c r="AL13" s="306"/>
      <c r="AM13" s="104" t="s">
        <v>18354</v>
      </c>
      <c r="AN13" s="104" t="s">
        <v>561</v>
      </c>
      <c r="AO13" s="104" t="s">
        <v>17982</v>
      </c>
      <c r="AP13" s="1612" t="s">
        <v>18355</v>
      </c>
      <c r="AQ13" s="104"/>
      <c r="AR13" s="104"/>
      <c r="AS13" s="104"/>
      <c r="AT13" s="115"/>
      <c r="AU13" s="115"/>
      <c r="AV13" s="1868"/>
    </row>
    <row r="14" spans="1:72" s="457" customFormat="1" ht="15" hidden="1">
      <c r="A14" s="95">
        <v>13</v>
      </c>
      <c r="B14" s="96" t="s">
        <v>36</v>
      </c>
      <c r="C14" s="97" t="s">
        <v>90</v>
      </c>
      <c r="D14" s="97">
        <v>2</v>
      </c>
      <c r="E14" s="97" t="s">
        <v>37</v>
      </c>
      <c r="F14" s="1166">
        <v>67.28</v>
      </c>
      <c r="G14" s="1167">
        <v>12.56</v>
      </c>
      <c r="H14" s="1167"/>
      <c r="I14" s="1167"/>
      <c r="J14" s="121">
        <f t="shared" si="4"/>
        <v>71.048000000000002</v>
      </c>
      <c r="K14" s="371">
        <v>1</v>
      </c>
      <c r="L14" s="95">
        <v>-3</v>
      </c>
      <c r="M14" s="95" t="s">
        <v>17329</v>
      </c>
      <c r="N14" s="95">
        <v>-1</v>
      </c>
      <c r="O14" s="95" t="s">
        <v>258</v>
      </c>
      <c r="P14" s="100">
        <v>292800</v>
      </c>
      <c r="Q14" s="100">
        <f t="shared" si="5"/>
        <v>292800</v>
      </c>
      <c r="R14" s="100">
        <v>305000</v>
      </c>
      <c r="S14" s="101">
        <f t="shared" si="0"/>
        <v>-4.0000000000000036E-2</v>
      </c>
      <c r="T14" s="102">
        <f t="shared" si="1"/>
        <v>4121.1575273054832</v>
      </c>
      <c r="U14" s="102">
        <f>Q14/J14</f>
        <v>4121.1575273054832</v>
      </c>
      <c r="V14" s="102">
        <f t="shared" si="3"/>
        <v>4292.8724242765456</v>
      </c>
      <c r="W14" s="102"/>
      <c r="X14" s="554"/>
      <c r="Y14" s="103">
        <v>45604</v>
      </c>
      <c r="Z14" s="313">
        <f>20%*P14</f>
        <v>58560</v>
      </c>
      <c r="AA14" s="313"/>
      <c r="AB14" s="103"/>
      <c r="AC14" s="313"/>
      <c r="AD14" s="103"/>
      <c r="AE14" s="313">
        <v>234240</v>
      </c>
      <c r="AF14" s="95" t="s">
        <v>17189</v>
      </c>
      <c r="AG14" s="95"/>
      <c r="AH14" s="306"/>
      <c r="AI14" s="306"/>
      <c r="AJ14" s="306"/>
      <c r="AK14" s="306"/>
      <c r="AL14" s="306"/>
      <c r="AM14" s="104" t="s">
        <v>17672</v>
      </c>
      <c r="AN14" s="104" t="s">
        <v>265</v>
      </c>
      <c r="AO14" s="104" t="s">
        <v>17981</v>
      </c>
      <c r="AP14" s="1612" t="s">
        <v>17962</v>
      </c>
      <c r="AQ14" s="104"/>
      <c r="AR14" s="104"/>
      <c r="AS14" s="104"/>
      <c r="AT14" s="115"/>
      <c r="AU14" s="115"/>
      <c r="AV14" s="1868"/>
    </row>
    <row r="15" spans="1:72" s="457" customFormat="1" ht="15.75" thickBot="1">
      <c r="A15" s="95">
        <v>14</v>
      </c>
      <c r="B15" s="96" t="s">
        <v>37</v>
      </c>
      <c r="C15" s="97" t="s">
        <v>91</v>
      </c>
      <c r="D15" s="97">
        <v>2</v>
      </c>
      <c r="E15" s="97" t="s">
        <v>17606</v>
      </c>
      <c r="F15" s="1168">
        <v>107.09</v>
      </c>
      <c r="G15" s="1167">
        <v>14.75</v>
      </c>
      <c r="H15" s="1167"/>
      <c r="I15" s="1167"/>
      <c r="J15" s="121">
        <f t="shared" si="4"/>
        <v>111.515</v>
      </c>
      <c r="K15" s="372">
        <v>1</v>
      </c>
      <c r="L15" s="95">
        <v>-2</v>
      </c>
      <c r="M15" s="95" t="s">
        <v>17329</v>
      </c>
      <c r="N15" s="95">
        <v>-2</v>
      </c>
      <c r="O15" s="95" t="s">
        <v>258</v>
      </c>
      <c r="P15" s="100">
        <v>439680</v>
      </c>
      <c r="Q15" s="115">
        <f t="shared" ref="Q15:Q22" si="6">0.96*R15</f>
        <v>422400</v>
      </c>
      <c r="R15" s="100">
        <v>440000</v>
      </c>
      <c r="S15" s="101">
        <f t="shared" si="0"/>
        <v>-4.0000000000000036E-2</v>
      </c>
      <c r="T15" s="102">
        <f t="shared" si="1"/>
        <v>3942.7879657445187</v>
      </c>
      <c r="U15" s="102">
        <f t="shared" si="2"/>
        <v>3787.8312334663497</v>
      </c>
      <c r="V15" s="102">
        <f t="shared" si="3"/>
        <v>3945.6575348607812</v>
      </c>
      <c r="W15" s="102"/>
      <c r="X15" s="554">
        <v>45953</v>
      </c>
      <c r="Y15" s="103">
        <v>45974</v>
      </c>
      <c r="Z15" s="313">
        <f>5000+82936</f>
        <v>87936</v>
      </c>
      <c r="AA15" s="313"/>
      <c r="AB15" s="103"/>
      <c r="AC15" s="313"/>
      <c r="AD15" s="103"/>
      <c r="AE15" s="313">
        <v>351744</v>
      </c>
      <c r="AF15" s="95" t="s">
        <v>17189</v>
      </c>
      <c r="AG15" s="95"/>
      <c r="AH15" s="306"/>
      <c r="AI15" s="306"/>
      <c r="AJ15" s="306"/>
      <c r="AK15" s="306"/>
      <c r="AL15" s="95"/>
      <c r="AM15" s="104" t="s">
        <v>18382</v>
      </c>
      <c r="AN15" s="104" t="s">
        <v>18383</v>
      </c>
      <c r="AO15" s="104"/>
      <c r="AP15" s="104"/>
      <c r="AQ15" s="104"/>
      <c r="AR15" s="104"/>
      <c r="AS15" s="104"/>
      <c r="AT15" s="115"/>
      <c r="AU15" s="115"/>
      <c r="AV15" s="1868"/>
    </row>
    <row r="16" spans="1:72" s="457" customFormat="1" ht="15">
      <c r="A16" s="95">
        <v>15</v>
      </c>
      <c r="B16" s="96" t="s">
        <v>38</v>
      </c>
      <c r="C16" s="97" t="s">
        <v>91</v>
      </c>
      <c r="D16" s="97">
        <v>2</v>
      </c>
      <c r="E16" s="97" t="s">
        <v>17607</v>
      </c>
      <c r="F16" s="1173">
        <v>96.21</v>
      </c>
      <c r="G16" s="1167">
        <v>16.8</v>
      </c>
      <c r="H16" s="1167"/>
      <c r="I16" s="1167"/>
      <c r="J16" s="121">
        <f t="shared" si="4"/>
        <v>101.25</v>
      </c>
      <c r="K16" s="370">
        <v>1</v>
      </c>
      <c r="L16" s="95">
        <v>-3</v>
      </c>
      <c r="M16" s="95" t="s">
        <v>17329</v>
      </c>
      <c r="N16" s="95">
        <v>-3</v>
      </c>
      <c r="O16" s="95" t="s">
        <v>258</v>
      </c>
      <c r="P16" s="100">
        <v>419520</v>
      </c>
      <c r="Q16" s="115">
        <f t="shared" si="6"/>
        <v>403200</v>
      </c>
      <c r="R16" s="100">
        <v>420000</v>
      </c>
      <c r="S16" s="101">
        <f t="shared" si="0"/>
        <v>-4.0000000000000036E-2</v>
      </c>
      <c r="T16" s="102">
        <f t="shared" si="1"/>
        <v>4143.4074074074078</v>
      </c>
      <c r="U16" s="102">
        <f t="shared" si="2"/>
        <v>3982.2222222222222</v>
      </c>
      <c r="V16" s="102">
        <f t="shared" si="3"/>
        <v>4148.1481481481478</v>
      </c>
      <c r="W16" s="102"/>
      <c r="X16" s="554">
        <v>45908</v>
      </c>
      <c r="Y16" s="103">
        <v>45929</v>
      </c>
      <c r="Z16" s="313">
        <f>5000+57928</f>
        <v>62928</v>
      </c>
      <c r="AA16" s="313"/>
      <c r="AB16" s="103"/>
      <c r="AC16" s="313"/>
      <c r="AD16" s="103"/>
      <c r="AE16" s="313">
        <v>356592</v>
      </c>
      <c r="AF16" s="95" t="s">
        <v>17189</v>
      </c>
      <c r="AG16" s="95"/>
      <c r="AH16" s="306"/>
      <c r="AI16" s="306"/>
      <c r="AJ16" s="306"/>
      <c r="AK16" s="306"/>
      <c r="AL16" s="95"/>
      <c r="AM16" s="104" t="s">
        <v>18086</v>
      </c>
      <c r="AN16" s="104" t="s">
        <v>265</v>
      </c>
      <c r="AO16" s="104" t="s">
        <v>17981</v>
      </c>
      <c r="AP16" s="1612" t="s">
        <v>18087</v>
      </c>
      <c r="AQ16" s="104"/>
      <c r="AR16" s="104"/>
      <c r="AS16" s="104"/>
      <c r="AT16" s="115"/>
      <c r="AU16" s="115"/>
      <c r="AV16" s="1868"/>
    </row>
    <row r="17" spans="1:48" s="457" customFormat="1" ht="15" hidden="1">
      <c r="A17" s="95">
        <v>16</v>
      </c>
      <c r="B17" s="96" t="s">
        <v>39</v>
      </c>
      <c r="C17" s="97" t="s">
        <v>91</v>
      </c>
      <c r="D17" s="97">
        <v>2</v>
      </c>
      <c r="E17" s="97" t="s">
        <v>42</v>
      </c>
      <c r="F17" s="1166">
        <v>78.540000000000006</v>
      </c>
      <c r="G17" s="1167">
        <v>15.7</v>
      </c>
      <c r="H17" s="1167"/>
      <c r="I17" s="1167"/>
      <c r="J17" s="121">
        <f t="shared" si="4"/>
        <v>83.25</v>
      </c>
      <c r="K17" s="371">
        <v>1</v>
      </c>
      <c r="L17" s="95">
        <v>-3</v>
      </c>
      <c r="M17" s="95" t="s">
        <v>17329</v>
      </c>
      <c r="N17" s="95">
        <v>-1</v>
      </c>
      <c r="O17" s="95" t="s">
        <v>258</v>
      </c>
      <c r="P17" s="100">
        <v>388800</v>
      </c>
      <c r="Q17" s="115">
        <f t="shared" si="6"/>
        <v>388800</v>
      </c>
      <c r="R17" s="100">
        <v>405000</v>
      </c>
      <c r="S17" s="101">
        <f t="shared" si="0"/>
        <v>-4.0000000000000036E-2</v>
      </c>
      <c r="T17" s="102">
        <f t="shared" si="1"/>
        <v>4670.27027027027</v>
      </c>
      <c r="U17" s="102">
        <f t="shared" si="2"/>
        <v>4670.27027027027</v>
      </c>
      <c r="V17" s="102">
        <f t="shared" si="3"/>
        <v>4864.864864864865</v>
      </c>
      <c r="W17" s="102"/>
      <c r="X17" s="554">
        <v>45701</v>
      </c>
      <c r="Y17" s="103">
        <v>45729</v>
      </c>
      <c r="Z17" s="313">
        <f>20%*P17</f>
        <v>77760</v>
      </c>
      <c r="AA17" s="313"/>
      <c r="AB17" s="103"/>
      <c r="AC17" s="313"/>
      <c r="AD17" s="103"/>
      <c r="AE17" s="313">
        <v>311040</v>
      </c>
      <c r="AF17" s="95" t="s">
        <v>17189</v>
      </c>
      <c r="AG17" s="95"/>
      <c r="AH17" s="306"/>
      <c r="AI17" s="306"/>
      <c r="AJ17" s="306"/>
      <c r="AK17" s="306"/>
      <c r="AL17" s="306"/>
      <c r="AM17" s="104" t="s">
        <v>17865</v>
      </c>
      <c r="AN17" s="104" t="s">
        <v>565</v>
      </c>
      <c r="AO17" s="104" t="s">
        <v>17981</v>
      </c>
      <c r="AP17" s="1616" t="s">
        <v>17936</v>
      </c>
      <c r="AQ17" s="104"/>
      <c r="AR17" s="104"/>
      <c r="AS17" s="104"/>
      <c r="AT17" s="115"/>
      <c r="AU17" s="115"/>
      <c r="AV17" s="1868"/>
    </row>
    <row r="18" spans="1:48" s="457" customFormat="1" ht="15" hidden="1">
      <c r="A18" s="95">
        <v>17</v>
      </c>
      <c r="B18" s="96" t="s">
        <v>40</v>
      </c>
      <c r="C18" s="97" t="s">
        <v>91</v>
      </c>
      <c r="D18" s="97">
        <v>2</v>
      </c>
      <c r="E18" s="97" t="s">
        <v>42</v>
      </c>
      <c r="F18" s="1166">
        <v>92.23</v>
      </c>
      <c r="G18" s="1167">
        <v>15.69</v>
      </c>
      <c r="H18" s="1167"/>
      <c r="I18" s="1167"/>
      <c r="J18" s="121">
        <f t="shared" si="4"/>
        <v>96.936999999999998</v>
      </c>
      <c r="K18" s="371">
        <v>1</v>
      </c>
      <c r="L18" s="95">
        <v>-3</v>
      </c>
      <c r="M18" s="95" t="s">
        <v>17329</v>
      </c>
      <c r="N18" s="95">
        <v>-3</v>
      </c>
      <c r="O18" s="95" t="s">
        <v>258</v>
      </c>
      <c r="P18" s="100">
        <v>440000</v>
      </c>
      <c r="Q18" s="115">
        <f t="shared" si="6"/>
        <v>412800</v>
      </c>
      <c r="R18" s="100">
        <v>430000</v>
      </c>
      <c r="S18" s="101">
        <f t="shared" si="0"/>
        <v>-4.0000000000000036E-2</v>
      </c>
      <c r="T18" s="102">
        <f t="shared" si="1"/>
        <v>4539.0305043481849</v>
      </c>
      <c r="U18" s="102">
        <f t="shared" si="2"/>
        <v>4258.4358913521155</v>
      </c>
      <c r="V18" s="102">
        <f t="shared" si="3"/>
        <v>4435.8707201584539</v>
      </c>
      <c r="W18" s="102"/>
      <c r="X18" s="554">
        <v>45926</v>
      </c>
      <c r="Y18" s="128">
        <v>45947</v>
      </c>
      <c r="Z18" s="275">
        <f>5000+83000</f>
        <v>88000</v>
      </c>
      <c r="AA18" s="275"/>
      <c r="AB18" s="128"/>
      <c r="AC18" s="275"/>
      <c r="AD18" s="128"/>
      <c r="AE18" s="275">
        <v>352000</v>
      </c>
      <c r="AF18" s="95" t="s">
        <v>18051</v>
      </c>
      <c r="AG18" s="95"/>
      <c r="AH18" s="306"/>
      <c r="AI18" s="306"/>
      <c r="AJ18" s="306"/>
      <c r="AK18" s="306"/>
      <c r="AL18" s="95"/>
      <c r="AM18" s="95" t="s">
        <v>18369</v>
      </c>
      <c r="AN18" s="95" t="s">
        <v>265</v>
      </c>
      <c r="AO18" s="95" t="s">
        <v>17981</v>
      </c>
      <c r="AP18" s="95"/>
      <c r="AQ18" s="95"/>
      <c r="AR18" s="95"/>
      <c r="AS18" s="95"/>
      <c r="AT18" s="115"/>
      <c r="AU18" s="115"/>
      <c r="AV18" s="1868"/>
    </row>
    <row r="19" spans="1:48" s="457" customFormat="1" ht="15" hidden="1">
      <c r="A19" s="95">
        <v>18</v>
      </c>
      <c r="B19" s="96" t="s">
        <v>41</v>
      </c>
      <c r="C19" s="97" t="s">
        <v>91</v>
      </c>
      <c r="D19" s="97">
        <v>2</v>
      </c>
      <c r="E19" s="97" t="s">
        <v>42</v>
      </c>
      <c r="F19" s="1166">
        <v>92.23</v>
      </c>
      <c r="G19" s="1167">
        <v>15.69</v>
      </c>
      <c r="H19" s="1167"/>
      <c r="I19" s="1167"/>
      <c r="J19" s="121">
        <f t="shared" si="4"/>
        <v>96.936999999999998</v>
      </c>
      <c r="K19" s="371">
        <v>1</v>
      </c>
      <c r="L19" s="95">
        <v>-3</v>
      </c>
      <c r="M19" s="95" t="s">
        <v>17329</v>
      </c>
      <c r="N19" s="95">
        <v>-3</v>
      </c>
      <c r="O19" s="95" t="s">
        <v>258</v>
      </c>
      <c r="P19" s="100">
        <v>417600</v>
      </c>
      <c r="Q19" s="115">
        <f t="shared" si="6"/>
        <v>417600</v>
      </c>
      <c r="R19" s="100">
        <v>435000</v>
      </c>
      <c r="S19" s="101">
        <f t="shared" si="0"/>
        <v>-4.0000000000000036E-2</v>
      </c>
      <c r="T19" s="102">
        <f t="shared" si="1"/>
        <v>4307.9525877631868</v>
      </c>
      <c r="U19" s="102">
        <f t="shared" si="2"/>
        <v>4307.9525877631868</v>
      </c>
      <c r="V19" s="102">
        <f t="shared" si="3"/>
        <v>4487.4506122533194</v>
      </c>
      <c r="W19" s="102"/>
      <c r="X19" s="554">
        <v>45793</v>
      </c>
      <c r="Y19" s="103">
        <v>45814</v>
      </c>
      <c r="Z19" s="313">
        <f>5000+78520</f>
        <v>83520</v>
      </c>
      <c r="AA19" s="313"/>
      <c r="AB19" s="103"/>
      <c r="AC19" s="313"/>
      <c r="AD19" s="103"/>
      <c r="AE19" s="313">
        <v>334080</v>
      </c>
      <c r="AF19" s="95" t="s">
        <v>222</v>
      </c>
      <c r="AG19" s="95"/>
      <c r="AH19" s="306"/>
      <c r="AI19" s="306"/>
      <c r="AJ19" s="306"/>
      <c r="AK19" s="306"/>
      <c r="AL19" s="95"/>
      <c r="AM19" s="104" t="s">
        <v>18009</v>
      </c>
      <c r="AN19" s="104" t="s">
        <v>265</v>
      </c>
      <c r="AO19" s="104" t="s">
        <v>17981</v>
      </c>
      <c r="AP19" s="1612" t="s">
        <v>18010</v>
      </c>
      <c r="AQ19" s="104"/>
      <c r="AR19" s="104"/>
      <c r="AS19" s="104"/>
      <c r="AT19" s="115"/>
      <c r="AU19" s="115"/>
      <c r="AV19" s="1868"/>
    </row>
    <row r="20" spans="1:48" s="457" customFormat="1" ht="15" hidden="1">
      <c r="A20" s="95">
        <v>19</v>
      </c>
      <c r="B20" s="96" t="s">
        <v>42</v>
      </c>
      <c r="C20" s="97" t="s">
        <v>91</v>
      </c>
      <c r="D20" s="97">
        <v>2</v>
      </c>
      <c r="E20" s="97" t="s">
        <v>42</v>
      </c>
      <c r="F20" s="1166">
        <v>78.540000000000006</v>
      </c>
      <c r="G20" s="1167">
        <v>19.059999999999999</v>
      </c>
      <c r="H20" s="1167"/>
      <c r="I20" s="1167"/>
      <c r="J20" s="121">
        <f t="shared" si="4"/>
        <v>84.25800000000001</v>
      </c>
      <c r="K20" s="371">
        <v>1</v>
      </c>
      <c r="L20" s="95">
        <v>-3</v>
      </c>
      <c r="M20" s="95" t="s">
        <v>17329</v>
      </c>
      <c r="N20" s="95">
        <v>-2</v>
      </c>
      <c r="O20" s="95" t="s">
        <v>258</v>
      </c>
      <c r="P20" s="100">
        <v>410000</v>
      </c>
      <c r="Q20" s="115">
        <f t="shared" si="6"/>
        <v>393600</v>
      </c>
      <c r="R20" s="100">
        <v>410000</v>
      </c>
      <c r="S20" s="101">
        <f t="shared" si="0"/>
        <v>-4.0000000000000036E-2</v>
      </c>
      <c r="T20" s="102">
        <f t="shared" si="1"/>
        <v>4866.0067886728848</v>
      </c>
      <c r="U20" s="102">
        <f t="shared" si="2"/>
        <v>4671.3665171259699</v>
      </c>
      <c r="V20" s="102">
        <f t="shared" si="3"/>
        <v>4866.0067886728848</v>
      </c>
      <c r="W20" s="102"/>
      <c r="X20" s="554">
        <v>45790</v>
      </c>
      <c r="Y20" s="103">
        <v>45809</v>
      </c>
      <c r="Z20" s="313">
        <f>5000+77000</f>
        <v>82000</v>
      </c>
      <c r="AA20" s="313"/>
      <c r="AB20" s="132"/>
      <c r="AC20" s="313"/>
      <c r="AD20" s="132"/>
      <c r="AE20" s="313">
        <v>328000</v>
      </c>
      <c r="AF20" s="95" t="s">
        <v>17189</v>
      </c>
      <c r="AG20" s="95"/>
      <c r="AH20" s="306"/>
      <c r="AI20" s="306"/>
      <c r="AJ20" s="306"/>
      <c r="AK20" s="306"/>
      <c r="AL20" s="95"/>
      <c r="AM20" s="104" t="s">
        <v>18013</v>
      </c>
      <c r="AN20" s="104" t="s">
        <v>265</v>
      </c>
      <c r="AO20" s="104" t="s">
        <v>17981</v>
      </c>
      <c r="AP20" s="104" t="s">
        <v>18014</v>
      </c>
      <c r="AQ20" s="104"/>
      <c r="AR20" s="133"/>
      <c r="AS20" s="133"/>
      <c r="AT20" s="115"/>
      <c r="AU20" s="115"/>
      <c r="AV20" s="1868"/>
    </row>
    <row r="21" spans="1:48" s="106" customFormat="1" ht="15" hidden="1">
      <c r="A21" s="31">
        <v>20</v>
      </c>
      <c r="B21" s="87" t="s">
        <v>43</v>
      </c>
      <c r="C21" s="88" t="s">
        <v>89</v>
      </c>
      <c r="D21" s="88">
        <v>2</v>
      </c>
      <c r="E21" s="88" t="s">
        <v>17608</v>
      </c>
      <c r="F21" s="90">
        <v>128.88999999999999</v>
      </c>
      <c r="G21" s="24">
        <v>21.79</v>
      </c>
      <c r="H21" s="24"/>
      <c r="I21" s="24"/>
      <c r="J21" s="224">
        <f t="shared" si="4"/>
        <v>135.42699999999999</v>
      </c>
      <c r="K21" s="375">
        <v>2</v>
      </c>
      <c r="L21" s="31">
        <v>-2</v>
      </c>
      <c r="M21" s="31" t="s">
        <v>17335</v>
      </c>
      <c r="N21" s="31"/>
      <c r="O21" s="610"/>
      <c r="P21" s="89"/>
      <c r="Q21" s="626">
        <f t="shared" si="6"/>
        <v>691200</v>
      </c>
      <c r="R21" s="89">
        <v>720000</v>
      </c>
      <c r="S21" s="37">
        <f t="shared" si="0"/>
        <v>-4.0000000000000036E-2</v>
      </c>
      <c r="T21" s="32">
        <f t="shared" si="1"/>
        <v>0</v>
      </c>
      <c r="U21" s="32">
        <f t="shared" si="2"/>
        <v>5103.8566903202463</v>
      </c>
      <c r="V21" s="32">
        <f t="shared" si="3"/>
        <v>5316.5173857502568</v>
      </c>
      <c r="W21" s="32"/>
      <c r="X21" s="278"/>
      <c r="Y21" s="33"/>
      <c r="Z21" s="311"/>
      <c r="AA21" s="311"/>
      <c r="AB21" s="33"/>
      <c r="AC21" s="311"/>
      <c r="AD21" s="33"/>
      <c r="AE21" s="311"/>
      <c r="AF21" s="31"/>
      <c r="AG21" s="31"/>
      <c r="AH21" s="307"/>
      <c r="AI21" s="307"/>
      <c r="AJ21" s="307"/>
      <c r="AK21" s="307"/>
      <c r="AL21" s="31"/>
      <c r="AM21" s="34"/>
      <c r="AN21" s="34"/>
      <c r="AO21" s="34"/>
      <c r="AP21" s="34"/>
      <c r="AQ21" s="34"/>
      <c r="AR21" s="34"/>
      <c r="AS21" s="34"/>
      <c r="AT21" s="39"/>
      <c r="AU21" s="39"/>
      <c r="AV21" s="1867"/>
    </row>
    <row r="22" spans="1:48" s="627" customFormat="1" ht="15" hidden="1">
      <c r="A22" s="610">
        <v>21</v>
      </c>
      <c r="B22" s="633" t="s">
        <v>44</v>
      </c>
      <c r="C22" s="612" t="s">
        <v>89</v>
      </c>
      <c r="D22" s="612">
        <v>3</v>
      </c>
      <c r="E22" s="612" t="s">
        <v>17609</v>
      </c>
      <c r="F22" s="628">
        <v>155.53</v>
      </c>
      <c r="G22" s="629">
        <v>20.010000000000002</v>
      </c>
      <c r="H22" s="629"/>
      <c r="I22" s="629"/>
      <c r="J22" s="615">
        <f t="shared" si="4"/>
        <v>161.53300000000002</v>
      </c>
      <c r="K22" s="630">
        <v>2</v>
      </c>
      <c r="L22" s="610">
        <v>-2</v>
      </c>
      <c r="M22" s="610" t="s">
        <v>17335</v>
      </c>
      <c r="N22" s="610"/>
      <c r="O22" s="610"/>
      <c r="P22" s="89"/>
      <c r="Q22" s="626">
        <f t="shared" si="6"/>
        <v>844800</v>
      </c>
      <c r="R22" s="618">
        <v>880000</v>
      </c>
      <c r="S22" s="619">
        <f t="shared" si="0"/>
        <v>-4.0000000000000036E-2</v>
      </c>
      <c r="T22" s="620">
        <f t="shared" si="1"/>
        <v>0</v>
      </c>
      <c r="U22" s="620">
        <f t="shared" si="2"/>
        <v>5229.891105842149</v>
      </c>
      <c r="V22" s="620">
        <f t="shared" si="3"/>
        <v>5447.8032352522387</v>
      </c>
      <c r="W22" s="620"/>
      <c r="X22" s="621"/>
      <c r="Y22" s="622"/>
      <c r="Z22" s="623"/>
      <c r="AA22" s="623"/>
      <c r="AB22" s="622"/>
      <c r="AC22" s="623"/>
      <c r="AD22" s="622"/>
      <c r="AE22" s="623"/>
      <c r="AF22" s="610"/>
      <c r="AG22" s="610"/>
      <c r="AH22" s="624"/>
      <c r="AI22" s="624"/>
      <c r="AJ22" s="624"/>
      <c r="AK22" s="624"/>
      <c r="AL22" s="610"/>
      <c r="AM22" s="625"/>
      <c r="AN22" s="625"/>
      <c r="AO22" s="625"/>
      <c r="AP22" s="625"/>
      <c r="AQ22" s="625"/>
      <c r="AR22" s="625"/>
      <c r="AS22" s="625"/>
      <c r="AT22" s="626"/>
      <c r="AU22" s="626"/>
      <c r="AV22" s="1869"/>
    </row>
    <row r="23" spans="1:48" s="457" customFormat="1" ht="15" hidden="1">
      <c r="A23" s="95">
        <v>22</v>
      </c>
      <c r="B23" s="96" t="s">
        <v>45</v>
      </c>
      <c r="C23" s="97" t="s">
        <v>90</v>
      </c>
      <c r="D23" s="97">
        <v>3</v>
      </c>
      <c r="E23" s="97" t="s">
        <v>37</v>
      </c>
      <c r="F23" s="1166">
        <v>67.17</v>
      </c>
      <c r="G23" s="1167">
        <v>12.56</v>
      </c>
      <c r="H23" s="1167"/>
      <c r="I23" s="1167"/>
      <c r="J23" s="121">
        <f t="shared" si="4"/>
        <v>70.938000000000002</v>
      </c>
      <c r="K23" s="371">
        <v>1</v>
      </c>
      <c r="L23" s="95">
        <v>-3</v>
      </c>
      <c r="M23" s="95" t="s">
        <v>17329</v>
      </c>
      <c r="N23" s="95"/>
      <c r="O23" s="95" t="s">
        <v>258</v>
      </c>
      <c r="P23" s="115">
        <v>307200</v>
      </c>
      <c r="Q23" s="100">
        <f t="shared" ref="Q23:Q31" si="7">0.96*R23</f>
        <v>307200</v>
      </c>
      <c r="R23" s="100">
        <v>320000</v>
      </c>
      <c r="S23" s="101">
        <f t="shared" si="0"/>
        <v>-4.0000000000000036E-2</v>
      </c>
      <c r="T23" s="102">
        <f t="shared" si="1"/>
        <v>4330.5421635794637</v>
      </c>
      <c r="U23" s="102">
        <f t="shared" si="2"/>
        <v>4330.5421635794637</v>
      </c>
      <c r="V23" s="102">
        <f t="shared" si="3"/>
        <v>4510.9814203952747</v>
      </c>
      <c r="W23" s="102"/>
      <c r="X23" s="554"/>
      <c r="Y23" s="103">
        <v>45583</v>
      </c>
      <c r="Z23" s="313">
        <f>5000+50000+6440</f>
        <v>61440</v>
      </c>
      <c r="AA23" s="313"/>
      <c r="AB23" s="103"/>
      <c r="AC23" s="313"/>
      <c r="AD23" s="103"/>
      <c r="AE23" s="313">
        <v>245760</v>
      </c>
      <c r="AF23" s="95" t="s">
        <v>17189</v>
      </c>
      <c r="AG23" s="95"/>
      <c r="AH23" s="306"/>
      <c r="AI23" s="306"/>
      <c r="AJ23" s="306"/>
      <c r="AK23" s="306"/>
      <c r="AL23" s="95"/>
      <c r="AM23" s="104" t="s">
        <v>17692</v>
      </c>
      <c r="AN23" s="104" t="s">
        <v>17693</v>
      </c>
      <c r="AO23" s="104" t="s">
        <v>17982</v>
      </c>
      <c r="AP23" s="1616" t="s">
        <v>17963</v>
      </c>
      <c r="AQ23" s="104"/>
      <c r="AR23" s="104"/>
      <c r="AS23" s="104"/>
      <c r="AT23" s="115"/>
      <c r="AU23" s="115"/>
      <c r="AV23" s="1868"/>
    </row>
    <row r="24" spans="1:48" s="457" customFormat="1" ht="15" hidden="1">
      <c r="A24" s="95">
        <v>23</v>
      </c>
      <c r="B24" s="96" t="s">
        <v>46</v>
      </c>
      <c r="C24" s="97" t="s">
        <v>91</v>
      </c>
      <c r="D24" s="97">
        <v>3</v>
      </c>
      <c r="E24" s="97" t="s">
        <v>37</v>
      </c>
      <c r="F24" s="1166">
        <v>91.93</v>
      </c>
      <c r="G24" s="1167">
        <v>12.33</v>
      </c>
      <c r="I24" s="1167"/>
      <c r="J24" s="121">
        <f>F24+0.3*G24+0.2*H25+0.2*I24</f>
        <v>95.629000000000005</v>
      </c>
      <c r="K24" s="371">
        <v>1</v>
      </c>
      <c r="L24" s="95">
        <v>-3</v>
      </c>
      <c r="M24" s="95" t="s">
        <v>17329</v>
      </c>
      <c r="N24" s="95">
        <v>-3</v>
      </c>
      <c r="O24" s="95" t="s">
        <v>258</v>
      </c>
      <c r="P24" s="100">
        <v>408500</v>
      </c>
      <c r="Q24" s="115">
        <f t="shared" si="7"/>
        <v>412800</v>
      </c>
      <c r="R24" s="100">
        <v>430000</v>
      </c>
      <c r="S24" s="101">
        <f t="shared" si="0"/>
        <v>-4.0000000000000036E-2</v>
      </c>
      <c r="T24" s="102">
        <f t="shared" si="1"/>
        <v>4271.7167386462261</v>
      </c>
      <c r="U24" s="102">
        <f t="shared" si="2"/>
        <v>4316.6821780003975</v>
      </c>
      <c r="V24" s="102">
        <f t="shared" si="3"/>
        <v>4496.5439354170803</v>
      </c>
      <c r="W24" s="102"/>
      <c r="X24" s="554">
        <v>45880</v>
      </c>
      <c r="Y24" s="103">
        <v>45918</v>
      </c>
      <c r="Z24" s="313">
        <f>5000+76700</f>
        <v>81700</v>
      </c>
      <c r="AA24" s="313"/>
      <c r="AB24" s="103"/>
      <c r="AC24" s="313"/>
      <c r="AD24" s="103"/>
      <c r="AE24" s="313">
        <v>326800</v>
      </c>
      <c r="AF24" s="95" t="s">
        <v>17189</v>
      </c>
      <c r="AG24" s="95"/>
      <c r="AH24" s="306"/>
      <c r="AI24" s="306"/>
      <c r="AJ24" s="306"/>
      <c r="AK24" s="306"/>
      <c r="AL24" s="95"/>
      <c r="AM24" s="104" t="s">
        <v>18070</v>
      </c>
      <c r="AN24" s="104"/>
      <c r="AO24" s="104"/>
      <c r="AP24" s="104"/>
      <c r="AQ24" s="104"/>
      <c r="AR24" s="104"/>
      <c r="AS24" s="104"/>
      <c r="AT24" s="115"/>
      <c r="AU24" s="115"/>
      <c r="AV24" s="1868"/>
    </row>
    <row r="25" spans="1:48" s="457" customFormat="1" ht="15" hidden="1">
      <c r="A25" s="95">
        <v>24</v>
      </c>
      <c r="B25" s="96" t="s">
        <v>47</v>
      </c>
      <c r="C25" s="97" t="s">
        <v>91</v>
      </c>
      <c r="D25" s="97">
        <v>3</v>
      </c>
      <c r="E25" s="97" t="s">
        <v>37</v>
      </c>
      <c r="F25" s="1166">
        <v>91.93</v>
      </c>
      <c r="G25" s="1167">
        <v>12.33</v>
      </c>
      <c r="H25" s="1167"/>
      <c r="I25" s="1167"/>
      <c r="J25" s="121">
        <f>F25+0.3*G25+0.2*H26+0.2*I25</f>
        <v>95.629000000000005</v>
      </c>
      <c r="K25" s="371">
        <v>1</v>
      </c>
      <c r="L25" s="95">
        <v>-3</v>
      </c>
      <c r="M25" s="95" t="s">
        <v>17329</v>
      </c>
      <c r="N25" s="95">
        <v>-3</v>
      </c>
      <c r="O25" s="95" t="s">
        <v>258</v>
      </c>
      <c r="P25" s="100">
        <v>412800</v>
      </c>
      <c r="Q25" s="115">
        <f t="shared" si="7"/>
        <v>412800</v>
      </c>
      <c r="R25" s="100">
        <v>430000</v>
      </c>
      <c r="S25" s="101">
        <f t="shared" si="0"/>
        <v>-4.0000000000000036E-2</v>
      </c>
      <c r="T25" s="102">
        <f t="shared" si="1"/>
        <v>4316.6821780003975</v>
      </c>
      <c r="U25" s="102">
        <f t="shared" si="2"/>
        <v>4316.6821780003975</v>
      </c>
      <c r="V25" s="102">
        <f t="shared" si="3"/>
        <v>4496.5439354170803</v>
      </c>
      <c r="W25" s="102"/>
      <c r="X25" s="554">
        <v>45896</v>
      </c>
      <c r="Y25" s="103">
        <v>45953</v>
      </c>
      <c r="Z25" s="313">
        <f>5000+77560</f>
        <v>82560</v>
      </c>
      <c r="AA25" s="313"/>
      <c r="AB25" s="103"/>
      <c r="AC25" s="313"/>
      <c r="AD25" s="103"/>
      <c r="AE25" s="313">
        <v>330240</v>
      </c>
      <c r="AF25" s="95" t="s">
        <v>17189</v>
      </c>
      <c r="AG25" s="95"/>
      <c r="AH25" s="306"/>
      <c r="AI25" s="306"/>
      <c r="AJ25" s="306"/>
      <c r="AK25" s="306"/>
      <c r="AL25" s="95"/>
      <c r="AM25" s="132" t="s">
        <v>18075</v>
      </c>
      <c r="AN25" s="132" t="s">
        <v>565</v>
      </c>
      <c r="AO25" s="132" t="s">
        <v>17981</v>
      </c>
      <c r="AP25" s="1428" t="s">
        <v>18076</v>
      </c>
      <c r="AQ25" s="132"/>
      <c r="AR25" s="132"/>
      <c r="AS25" s="132"/>
      <c r="AT25" s="115"/>
      <c r="AU25" s="115"/>
      <c r="AV25" s="1868"/>
    </row>
    <row r="26" spans="1:48" s="457" customFormat="1" ht="15" hidden="1">
      <c r="A26" s="95">
        <v>25</v>
      </c>
      <c r="B26" s="96" t="s">
        <v>48</v>
      </c>
      <c r="C26" s="97" t="s">
        <v>90</v>
      </c>
      <c r="D26" s="97">
        <v>3</v>
      </c>
      <c r="E26" s="97" t="s">
        <v>37</v>
      </c>
      <c r="F26" s="1166">
        <v>67.05</v>
      </c>
      <c r="G26" s="1167">
        <v>12.53</v>
      </c>
      <c r="H26" s="1167"/>
      <c r="I26" s="1167"/>
      <c r="J26" s="121">
        <f t="shared" si="4"/>
        <v>70.808999999999997</v>
      </c>
      <c r="K26" s="371">
        <v>1</v>
      </c>
      <c r="L26" s="95">
        <v>-3</v>
      </c>
      <c r="M26" s="95" t="s">
        <v>17329</v>
      </c>
      <c r="N26" s="95">
        <v>-1</v>
      </c>
      <c r="O26" s="95" t="s">
        <v>258</v>
      </c>
      <c r="P26" s="100">
        <v>302400</v>
      </c>
      <c r="Q26" s="100">
        <f t="shared" si="7"/>
        <v>302400</v>
      </c>
      <c r="R26" s="100">
        <v>315000</v>
      </c>
      <c r="S26" s="101">
        <f t="shared" si="0"/>
        <v>-4.0000000000000036E-2</v>
      </c>
      <c r="T26" s="102">
        <f t="shared" si="1"/>
        <v>4270.6435622590352</v>
      </c>
      <c r="U26" s="102">
        <f t="shared" si="2"/>
        <v>4270.6435622590352</v>
      </c>
      <c r="V26" s="102">
        <f t="shared" si="3"/>
        <v>4448.5870440198278</v>
      </c>
      <c r="W26" s="102"/>
      <c r="X26" s="554"/>
      <c r="Y26" s="103">
        <v>45594</v>
      </c>
      <c r="Z26" s="313">
        <f>2500+46800</f>
        <v>49300</v>
      </c>
      <c r="AA26" s="313">
        <v>8700</v>
      </c>
      <c r="AB26" s="103">
        <v>45703</v>
      </c>
      <c r="AC26" s="313"/>
      <c r="AD26" s="103"/>
      <c r="AE26" s="313">
        <v>232000</v>
      </c>
      <c r="AF26" s="95" t="s">
        <v>274</v>
      </c>
      <c r="AG26" s="95"/>
      <c r="AH26" s="306"/>
      <c r="AI26" s="306"/>
      <c r="AJ26" s="306"/>
      <c r="AK26" s="306"/>
      <c r="AL26" s="95"/>
      <c r="AM26" s="104" t="s">
        <v>17704</v>
      </c>
      <c r="AN26" s="104" t="s">
        <v>517</v>
      </c>
      <c r="AO26" s="104" t="s">
        <v>17982</v>
      </c>
      <c r="AP26" s="1612" t="s">
        <v>17964</v>
      </c>
      <c r="AQ26" s="104"/>
      <c r="AR26" s="104"/>
      <c r="AS26" s="104"/>
      <c r="AT26" s="115"/>
      <c r="AU26" s="115"/>
      <c r="AV26" s="1868"/>
    </row>
    <row r="27" spans="1:48" s="457" customFormat="1" ht="15">
      <c r="A27" s="95">
        <v>26</v>
      </c>
      <c r="B27" s="96" t="s">
        <v>49</v>
      </c>
      <c r="C27" s="97" t="s">
        <v>91</v>
      </c>
      <c r="D27" s="97">
        <v>3</v>
      </c>
      <c r="E27" s="97" t="s">
        <v>17606</v>
      </c>
      <c r="F27" s="1166">
        <v>107.32</v>
      </c>
      <c r="G27" s="1167">
        <v>14.75</v>
      </c>
      <c r="H27" s="1167"/>
      <c r="I27" s="1167"/>
      <c r="J27" s="121">
        <f t="shared" si="4"/>
        <v>111.74499999999999</v>
      </c>
      <c r="K27" s="371">
        <v>2</v>
      </c>
      <c r="L27" s="95">
        <v>-2</v>
      </c>
      <c r="M27" s="95" t="s">
        <v>17337</v>
      </c>
      <c r="N27" s="95">
        <v>-2</v>
      </c>
      <c r="O27" s="95" t="s">
        <v>258</v>
      </c>
      <c r="P27" s="100">
        <v>444480</v>
      </c>
      <c r="Q27" s="115">
        <f t="shared" si="7"/>
        <v>427200</v>
      </c>
      <c r="R27" s="100">
        <v>445000</v>
      </c>
      <c r="S27" s="101">
        <f t="shared" si="0"/>
        <v>-4.0000000000000036E-2</v>
      </c>
      <c r="T27" s="102">
        <f t="shared" si="1"/>
        <v>3977.6276343460563</v>
      </c>
      <c r="U27" s="102">
        <f t="shared" si="2"/>
        <v>3822.9898429459936</v>
      </c>
      <c r="V27" s="102">
        <f t="shared" si="3"/>
        <v>3982.2810864020767</v>
      </c>
      <c r="W27" s="102"/>
      <c r="X27" s="554"/>
      <c r="Y27" s="103">
        <v>45933</v>
      </c>
      <c r="Z27" s="313">
        <f>5000+83896</f>
        <v>88896</v>
      </c>
      <c r="AA27" s="313"/>
      <c r="AB27" s="29"/>
      <c r="AC27" s="312"/>
      <c r="AD27" s="29"/>
      <c r="AE27" s="313">
        <v>355584</v>
      </c>
      <c r="AF27" s="95" t="s">
        <v>17189</v>
      </c>
      <c r="AG27" s="26"/>
      <c r="AH27" s="367"/>
      <c r="AI27" s="367"/>
      <c r="AJ27" s="367"/>
      <c r="AK27" s="367"/>
      <c r="AL27" s="26"/>
      <c r="AM27" s="104" t="s">
        <v>18363</v>
      </c>
      <c r="AN27" s="104" t="s">
        <v>265</v>
      </c>
      <c r="AO27" s="104" t="s">
        <v>17981</v>
      </c>
      <c r="AP27" s="1612" t="s">
        <v>18000</v>
      </c>
      <c r="AQ27" s="104"/>
      <c r="AR27" s="104"/>
      <c r="AS27" s="104"/>
      <c r="AT27" s="115"/>
      <c r="AU27" s="115"/>
      <c r="AV27" s="1868"/>
    </row>
    <row r="28" spans="1:48" s="457" customFormat="1" ht="15" hidden="1">
      <c r="A28" s="95">
        <v>27</v>
      </c>
      <c r="B28" s="96" t="s">
        <v>50</v>
      </c>
      <c r="C28" s="657" t="s">
        <v>91</v>
      </c>
      <c r="D28" s="97">
        <v>3</v>
      </c>
      <c r="E28" s="97" t="s">
        <v>17607</v>
      </c>
      <c r="F28" s="1166">
        <v>96.21</v>
      </c>
      <c r="G28" s="1167">
        <v>16.8</v>
      </c>
      <c r="H28" s="1167"/>
      <c r="I28" s="1167"/>
      <c r="J28" s="121">
        <f t="shared" si="4"/>
        <v>101.25</v>
      </c>
      <c r="K28" s="371">
        <v>1</v>
      </c>
      <c r="L28" s="95">
        <v>-2</v>
      </c>
      <c r="M28" s="95" t="s">
        <v>17329</v>
      </c>
      <c r="N28" s="95">
        <v>-2</v>
      </c>
      <c r="O28" s="95" t="s">
        <v>258</v>
      </c>
      <c r="P28" s="100">
        <v>420000</v>
      </c>
      <c r="Q28" s="115">
        <f t="shared" si="7"/>
        <v>408000</v>
      </c>
      <c r="R28" s="100">
        <v>425000</v>
      </c>
      <c r="S28" s="101">
        <f t="shared" si="0"/>
        <v>-4.0000000000000036E-2</v>
      </c>
      <c r="T28" s="102">
        <f t="shared" si="1"/>
        <v>4148.1481481481478</v>
      </c>
      <c r="U28" s="102">
        <f t="shared" si="2"/>
        <v>4029.6296296296296</v>
      </c>
      <c r="V28" s="102">
        <f t="shared" si="3"/>
        <v>4197.5308641975307</v>
      </c>
      <c r="W28" s="102"/>
      <c r="X28" s="554"/>
      <c r="Y28" s="103">
        <v>45958</v>
      </c>
      <c r="Z28" s="313">
        <f>5000+95002</f>
        <v>100002</v>
      </c>
      <c r="AA28" s="313"/>
      <c r="AB28" s="103"/>
      <c r="AC28" s="313"/>
      <c r="AD28" s="103"/>
      <c r="AE28" s="313">
        <v>319998</v>
      </c>
      <c r="AF28" s="95" t="s">
        <v>17189</v>
      </c>
      <c r="AG28" s="95"/>
      <c r="AH28" s="306"/>
      <c r="AI28" s="306"/>
      <c r="AJ28" s="306"/>
      <c r="AK28" s="306"/>
      <c r="AL28" s="95"/>
      <c r="AM28" s="104" t="s">
        <v>18374</v>
      </c>
      <c r="AN28" s="104" t="s">
        <v>565</v>
      </c>
      <c r="AO28" s="104" t="s">
        <v>17981</v>
      </c>
      <c r="AP28" s="1612" t="s">
        <v>18375</v>
      </c>
      <c r="AQ28" s="104"/>
      <c r="AR28" s="104"/>
      <c r="AS28" s="104"/>
      <c r="AT28" s="115"/>
      <c r="AU28" s="115"/>
      <c r="AV28" s="1868"/>
    </row>
    <row r="29" spans="1:48" s="106" customFormat="1" ht="15" hidden="1">
      <c r="A29" s="31">
        <v>28</v>
      </c>
      <c r="B29" s="87" t="s">
        <v>51</v>
      </c>
      <c r="C29" s="88" t="s">
        <v>91</v>
      </c>
      <c r="D29" s="88">
        <v>3</v>
      </c>
      <c r="E29" s="88" t="s">
        <v>42</v>
      </c>
      <c r="F29" s="90">
        <v>78.540000000000006</v>
      </c>
      <c r="G29" s="24">
        <v>15.7</v>
      </c>
      <c r="H29" s="24"/>
      <c r="I29" s="24"/>
      <c r="J29" s="224">
        <f t="shared" si="4"/>
        <v>83.25</v>
      </c>
      <c r="K29" s="375">
        <v>1</v>
      </c>
      <c r="L29" s="31">
        <v>-3</v>
      </c>
      <c r="M29" s="31" t="s">
        <v>17329</v>
      </c>
      <c r="N29" s="31">
        <v>-1</v>
      </c>
      <c r="O29" s="610"/>
      <c r="P29" s="89"/>
      <c r="Q29" s="626">
        <f t="shared" si="7"/>
        <v>393600</v>
      </c>
      <c r="R29" s="89">
        <v>410000</v>
      </c>
      <c r="S29" s="37">
        <f t="shared" si="0"/>
        <v>-4.0000000000000036E-2</v>
      </c>
      <c r="T29" s="32">
        <f t="shared" si="1"/>
        <v>0</v>
      </c>
      <c r="U29" s="32">
        <f t="shared" si="2"/>
        <v>4727.9279279279281</v>
      </c>
      <c r="V29" s="32">
        <f t="shared" si="3"/>
        <v>4924.9249249249251</v>
      </c>
      <c r="W29" s="32"/>
      <c r="X29" s="278"/>
      <c r="Y29" s="33"/>
      <c r="Z29" s="311"/>
      <c r="AA29" s="311"/>
      <c r="AB29" s="33"/>
      <c r="AC29" s="311"/>
      <c r="AD29" s="33"/>
      <c r="AE29" s="311"/>
      <c r="AF29" s="31"/>
      <c r="AG29" s="31"/>
      <c r="AH29" s="307"/>
      <c r="AI29" s="307"/>
      <c r="AJ29" s="307"/>
      <c r="AK29" s="307"/>
      <c r="AL29" s="31"/>
      <c r="AM29" s="34"/>
      <c r="AN29" s="34"/>
      <c r="AO29" s="34"/>
      <c r="AP29" s="34"/>
      <c r="AQ29" s="34"/>
      <c r="AR29" s="34"/>
      <c r="AS29" s="34"/>
      <c r="AT29" s="39"/>
      <c r="AU29" s="39"/>
      <c r="AV29" s="1867"/>
    </row>
    <row r="30" spans="1:48" s="457" customFormat="1" ht="15" hidden="1">
      <c r="A30" s="95">
        <v>29</v>
      </c>
      <c r="B30" s="96" t="s">
        <v>52</v>
      </c>
      <c r="C30" s="97" t="s">
        <v>91</v>
      </c>
      <c r="D30" s="97">
        <v>3</v>
      </c>
      <c r="E30" s="97" t="s">
        <v>42</v>
      </c>
      <c r="F30" s="1166">
        <v>92.23</v>
      </c>
      <c r="G30" s="1167">
        <v>15.69</v>
      </c>
      <c r="H30" s="2033" t="s">
        <v>18371</v>
      </c>
      <c r="I30" s="2034"/>
      <c r="J30" s="121">
        <f>F30+0.3*G30</f>
        <v>96.936999999999998</v>
      </c>
      <c r="K30" s="371">
        <v>1</v>
      </c>
      <c r="L30" s="95">
        <v>-2</v>
      </c>
      <c r="M30" s="95" t="s">
        <v>17329</v>
      </c>
      <c r="N30" s="95">
        <v>-2</v>
      </c>
      <c r="O30" s="95" t="s">
        <v>258</v>
      </c>
      <c r="P30" s="100">
        <v>415000</v>
      </c>
      <c r="Q30" s="115">
        <f t="shared" si="7"/>
        <v>417600</v>
      </c>
      <c r="R30" s="100">
        <v>435000</v>
      </c>
      <c r="S30" s="101">
        <f t="shared" si="0"/>
        <v>-4.0000000000000036E-2</v>
      </c>
      <c r="T30" s="102">
        <f t="shared" si="1"/>
        <v>4281.1310438738565</v>
      </c>
      <c r="U30" s="102">
        <f t="shared" si="2"/>
        <v>4307.9525877631868</v>
      </c>
      <c r="V30" s="102">
        <f t="shared" si="3"/>
        <v>4487.4506122533194</v>
      </c>
      <c r="W30" s="102"/>
      <c r="X30" s="554">
        <v>45952</v>
      </c>
      <c r="Y30" s="103">
        <v>45975</v>
      </c>
      <c r="Z30" s="313">
        <f>5000+78000</f>
        <v>83000</v>
      </c>
      <c r="AA30" s="313"/>
      <c r="AB30" s="103"/>
      <c r="AC30" s="313"/>
      <c r="AD30" s="103"/>
      <c r="AE30" s="313">
        <v>332000</v>
      </c>
      <c r="AF30" s="95" t="s">
        <v>17189</v>
      </c>
      <c r="AG30" s="95"/>
      <c r="AH30" s="306"/>
      <c r="AI30" s="306"/>
      <c r="AJ30" s="306"/>
      <c r="AK30" s="306"/>
      <c r="AL30" s="95"/>
      <c r="AM30" s="104" t="s">
        <v>18384</v>
      </c>
      <c r="AN30" s="104" t="s">
        <v>265</v>
      </c>
      <c r="AO30" s="104"/>
      <c r="AP30" s="1612"/>
      <c r="AQ30" s="104"/>
      <c r="AR30" s="133"/>
      <c r="AS30" s="133"/>
      <c r="AT30" s="115"/>
      <c r="AU30" s="115"/>
      <c r="AV30" s="1868"/>
    </row>
    <row r="31" spans="1:48" s="457" customFormat="1" ht="15" hidden="1">
      <c r="A31" s="95">
        <v>30</v>
      </c>
      <c r="B31" s="1786" t="s">
        <v>53</v>
      </c>
      <c r="C31" s="97" t="s">
        <v>91</v>
      </c>
      <c r="D31" s="97">
        <v>3</v>
      </c>
      <c r="E31" s="97" t="s">
        <v>42</v>
      </c>
      <c r="F31" s="1166">
        <v>92.23</v>
      </c>
      <c r="G31" s="1167">
        <v>15.69</v>
      </c>
      <c r="H31" s="1167"/>
      <c r="I31" s="1167"/>
      <c r="J31" s="121">
        <f t="shared" si="4"/>
        <v>96.936999999999998</v>
      </c>
      <c r="K31" s="371">
        <v>1</v>
      </c>
      <c r="L31" s="95">
        <v>-2</v>
      </c>
      <c r="M31" s="95" t="s">
        <v>17329</v>
      </c>
      <c r="N31" s="95">
        <v>-2</v>
      </c>
      <c r="O31" s="95" t="s">
        <v>258</v>
      </c>
      <c r="P31" s="100">
        <f>0.94*R31</f>
        <v>413600</v>
      </c>
      <c r="Q31" s="115">
        <f t="shared" si="7"/>
        <v>422400</v>
      </c>
      <c r="R31" s="100">
        <v>440000</v>
      </c>
      <c r="S31" s="101">
        <f t="shared" si="0"/>
        <v>-4.0000000000000036E-2</v>
      </c>
      <c r="T31" s="102">
        <f t="shared" si="1"/>
        <v>4266.6886740872942</v>
      </c>
      <c r="U31" s="102">
        <f t="shared" si="2"/>
        <v>4357.4692841742581</v>
      </c>
      <c r="V31" s="102">
        <f t="shared" si="3"/>
        <v>4539.0305043481849</v>
      </c>
      <c r="W31" s="102"/>
      <c r="X31" s="554">
        <v>45888</v>
      </c>
      <c r="Y31" s="103">
        <v>45902</v>
      </c>
      <c r="Z31" s="313">
        <f>10%*P31</f>
        <v>41360</v>
      </c>
      <c r="AA31" s="313"/>
      <c r="AB31" s="103"/>
      <c r="AC31" s="313"/>
      <c r="AD31" s="103"/>
      <c r="AE31" s="313">
        <f>90%*P31</f>
        <v>372240</v>
      </c>
      <c r="AF31" s="95" t="s">
        <v>17189</v>
      </c>
      <c r="AG31" s="95"/>
      <c r="AH31" s="306"/>
      <c r="AI31" s="306"/>
      <c r="AJ31" s="306"/>
      <c r="AK31" s="306"/>
      <c r="AL31" s="95"/>
      <c r="AM31" s="104" t="s">
        <v>18071</v>
      </c>
      <c r="AN31" s="104" t="s">
        <v>265</v>
      </c>
      <c r="AO31" s="104"/>
      <c r="AP31" s="1612" t="s">
        <v>18072</v>
      </c>
      <c r="AQ31" s="104"/>
      <c r="AR31" s="104"/>
      <c r="AS31" s="104"/>
      <c r="AT31" s="115"/>
      <c r="AU31" s="115"/>
      <c r="AV31" s="1868"/>
    </row>
    <row r="32" spans="1:48" s="457" customFormat="1" ht="15" hidden="1">
      <c r="A32" s="95">
        <v>31</v>
      </c>
      <c r="B32" s="96" t="s">
        <v>54</v>
      </c>
      <c r="C32" s="97" t="s">
        <v>91</v>
      </c>
      <c r="D32" s="97">
        <v>3</v>
      </c>
      <c r="E32" s="97" t="s">
        <v>42</v>
      </c>
      <c r="F32" s="1166">
        <v>78.540000000000006</v>
      </c>
      <c r="G32" s="1167">
        <v>19.600000000000001</v>
      </c>
      <c r="H32" s="1167"/>
      <c r="I32" s="1167"/>
      <c r="J32" s="121">
        <f t="shared" si="4"/>
        <v>84.42</v>
      </c>
      <c r="K32" s="371">
        <v>1</v>
      </c>
      <c r="L32" s="95">
        <v>-3</v>
      </c>
      <c r="M32" s="95" t="s">
        <v>17329</v>
      </c>
      <c r="N32" s="95">
        <v>-2</v>
      </c>
      <c r="O32" s="95" t="s">
        <v>258</v>
      </c>
      <c r="P32" s="115">
        <v>385950</v>
      </c>
      <c r="Q32" s="115">
        <f>0.93*R32</f>
        <v>385950</v>
      </c>
      <c r="R32" s="100">
        <v>415000</v>
      </c>
      <c r="S32" s="101">
        <f t="shared" si="0"/>
        <v>-6.9999999999999951E-2</v>
      </c>
      <c r="T32" s="102">
        <f t="shared" si="1"/>
        <v>4571.7839374555788</v>
      </c>
      <c r="U32" s="102">
        <f t="shared" si="2"/>
        <v>4571.7839374555788</v>
      </c>
      <c r="V32" s="102">
        <f t="shared" si="3"/>
        <v>4915.896706941483</v>
      </c>
      <c r="W32" s="102"/>
      <c r="X32" s="554"/>
      <c r="Y32" s="103">
        <v>45611</v>
      </c>
      <c r="Z32" s="313">
        <f>20%*P32</f>
        <v>77190</v>
      </c>
      <c r="AA32" s="313"/>
      <c r="AB32" s="103"/>
      <c r="AC32" s="313"/>
      <c r="AD32" s="103"/>
      <c r="AE32" s="313">
        <v>308760</v>
      </c>
      <c r="AF32" s="95" t="s">
        <v>222</v>
      </c>
      <c r="AG32" s="95"/>
      <c r="AH32" s="306"/>
      <c r="AI32" s="306"/>
      <c r="AJ32" s="306"/>
      <c r="AK32" s="306"/>
      <c r="AL32" s="95"/>
      <c r="AM32" s="132" t="s">
        <v>17630</v>
      </c>
      <c r="AN32" s="132" t="s">
        <v>265</v>
      </c>
      <c r="AO32" s="104" t="s">
        <v>17981</v>
      </c>
      <c r="AP32" s="1612" t="s">
        <v>17965</v>
      </c>
      <c r="AQ32" s="104"/>
      <c r="AR32" s="104"/>
      <c r="AS32" s="104"/>
      <c r="AT32" s="115"/>
      <c r="AU32" s="115"/>
      <c r="AV32" s="1868"/>
    </row>
    <row r="33" spans="1:48" s="457" customFormat="1" ht="15" hidden="1">
      <c r="A33" s="95">
        <v>32</v>
      </c>
      <c r="B33" s="96" t="s">
        <v>55</v>
      </c>
      <c r="C33" s="97" t="s">
        <v>89</v>
      </c>
      <c r="D33" s="97">
        <v>3</v>
      </c>
      <c r="E33" s="97" t="s">
        <v>17608</v>
      </c>
      <c r="F33" s="1166">
        <v>128.88999999999999</v>
      </c>
      <c r="G33" s="1167">
        <v>21.79</v>
      </c>
      <c r="H33" s="1167"/>
      <c r="I33" s="1167"/>
      <c r="J33" s="121">
        <f t="shared" si="4"/>
        <v>135.42699999999999</v>
      </c>
      <c r="K33" s="371">
        <v>2</v>
      </c>
      <c r="L33" s="95">
        <v>-2</v>
      </c>
      <c r="M33" s="95" t="s">
        <v>17335</v>
      </c>
      <c r="N33" s="95"/>
      <c r="O33" s="95" t="s">
        <v>258</v>
      </c>
      <c r="P33" s="115">
        <v>688200</v>
      </c>
      <c r="Q33" s="115">
        <f>0.96*R33</f>
        <v>710400</v>
      </c>
      <c r="R33" s="100">
        <v>740000</v>
      </c>
      <c r="S33" s="101">
        <f t="shared" si="0"/>
        <v>-4.0000000000000036E-2</v>
      </c>
      <c r="T33" s="102">
        <f t="shared" si="1"/>
        <v>5081.7045345462875</v>
      </c>
      <c r="U33" s="102">
        <f t="shared" si="2"/>
        <v>5245.6304872735864</v>
      </c>
      <c r="V33" s="102">
        <f t="shared" si="3"/>
        <v>5464.19842424332</v>
      </c>
      <c r="W33" s="102"/>
      <c r="X33" s="554">
        <v>45824</v>
      </c>
      <c r="Y33" s="103">
        <v>45869</v>
      </c>
      <c r="Z33" s="313">
        <f>5000+201460</f>
        <v>206460</v>
      </c>
      <c r="AA33" s="313"/>
      <c r="AB33" s="103"/>
      <c r="AC33" s="313"/>
      <c r="AD33" s="103"/>
      <c r="AE33" s="313">
        <v>481740</v>
      </c>
      <c r="AF33" s="95" t="s">
        <v>17189</v>
      </c>
      <c r="AG33" s="95"/>
      <c r="AH33" s="306"/>
      <c r="AI33" s="306"/>
      <c r="AJ33" s="306"/>
      <c r="AK33" s="306"/>
      <c r="AL33" s="95"/>
      <c r="AM33" s="104" t="s">
        <v>18065</v>
      </c>
      <c r="AN33" s="330" t="s">
        <v>18066</v>
      </c>
      <c r="AO33" s="330" t="s">
        <v>17981</v>
      </c>
      <c r="AP33" s="104"/>
      <c r="AQ33" s="104"/>
      <c r="AR33" s="104"/>
      <c r="AS33" s="104"/>
      <c r="AT33" s="115"/>
      <c r="AU33" s="115"/>
      <c r="AV33" s="1868"/>
    </row>
    <row r="34" spans="1:48" s="457" customFormat="1" ht="15.75" hidden="1" thickBot="1">
      <c r="A34" s="95">
        <v>33</v>
      </c>
      <c r="B34" s="96" t="s">
        <v>56</v>
      </c>
      <c r="C34" s="97" t="s">
        <v>89</v>
      </c>
      <c r="D34" s="97">
        <v>4</v>
      </c>
      <c r="E34" s="97" t="s">
        <v>17609</v>
      </c>
      <c r="F34" s="1168">
        <v>155.53</v>
      </c>
      <c r="G34" s="1167">
        <v>20.010000000000002</v>
      </c>
      <c r="H34" s="1167"/>
      <c r="I34" s="1167"/>
      <c r="J34" s="121">
        <f t="shared" si="4"/>
        <v>161.53300000000002</v>
      </c>
      <c r="K34" s="372">
        <v>2</v>
      </c>
      <c r="L34" s="95">
        <v>-1</v>
      </c>
      <c r="M34" s="95" t="s">
        <v>17335</v>
      </c>
      <c r="N34" s="95"/>
      <c r="O34" s="95" t="s">
        <v>258</v>
      </c>
      <c r="P34" s="100">
        <v>864000</v>
      </c>
      <c r="Q34" s="115">
        <f>0.96*R34</f>
        <v>864000</v>
      </c>
      <c r="R34" s="100">
        <v>900000</v>
      </c>
      <c r="S34" s="101">
        <f t="shared" si="0"/>
        <v>-4.0000000000000036E-2</v>
      </c>
      <c r="T34" s="102">
        <f t="shared" ref="T34:T63" si="8">P34/J34</f>
        <v>5348.752267338562</v>
      </c>
      <c r="U34" s="102">
        <f t="shared" ref="U34:U63" si="9">Q34/J34</f>
        <v>5348.752267338562</v>
      </c>
      <c r="V34" s="102">
        <f t="shared" ref="V34:V63" si="10">R34/J34</f>
        <v>5571.6169451443357</v>
      </c>
      <c r="W34" s="102"/>
      <c r="X34" s="554">
        <v>45797</v>
      </c>
      <c r="Y34" s="103">
        <v>45887</v>
      </c>
      <c r="Z34" s="313">
        <f>5000+167800</f>
        <v>172800</v>
      </c>
      <c r="AA34" s="313"/>
      <c r="AB34" s="103"/>
      <c r="AC34" s="313"/>
      <c r="AD34" s="103"/>
      <c r="AE34" s="313">
        <v>691200</v>
      </c>
      <c r="AF34" s="95" t="s">
        <v>18015</v>
      </c>
      <c r="AG34" s="95"/>
      <c r="AH34" s="306"/>
      <c r="AI34" s="306"/>
      <c r="AJ34" s="306"/>
      <c r="AK34" s="306"/>
      <c r="AL34" s="306"/>
      <c r="AM34" s="104" t="s">
        <v>18050</v>
      </c>
      <c r="AN34" s="104" t="s">
        <v>17442</v>
      </c>
      <c r="AO34" s="104" t="s">
        <v>17982</v>
      </c>
      <c r="AP34" s="104"/>
      <c r="AQ34" s="104"/>
      <c r="AR34" s="104"/>
      <c r="AS34" s="104"/>
      <c r="AT34" s="115"/>
      <c r="AU34" s="115"/>
      <c r="AV34" s="1868"/>
    </row>
    <row r="35" spans="1:48" s="457" customFormat="1" ht="15" hidden="1">
      <c r="A35" s="95">
        <v>34</v>
      </c>
      <c r="B35" s="96" t="s">
        <v>57</v>
      </c>
      <c r="C35" s="97" t="s">
        <v>90</v>
      </c>
      <c r="D35" s="97">
        <v>4</v>
      </c>
      <c r="E35" s="97" t="s">
        <v>37</v>
      </c>
      <c r="F35" s="1173">
        <v>67.17</v>
      </c>
      <c r="G35" s="1167">
        <v>12.56</v>
      </c>
      <c r="H35" s="1167"/>
      <c r="I35" s="1167"/>
      <c r="J35" s="121">
        <f t="shared" si="4"/>
        <v>70.938000000000002</v>
      </c>
      <c r="K35" s="370">
        <v>1</v>
      </c>
      <c r="L35" s="95">
        <v>-3</v>
      </c>
      <c r="M35" s="95" t="s">
        <v>17329</v>
      </c>
      <c r="N35" s="95"/>
      <c r="O35" s="95" t="s">
        <v>258</v>
      </c>
      <c r="P35" s="100">
        <v>312000</v>
      </c>
      <c r="Q35" s="100">
        <f>0.96*R35</f>
        <v>312000</v>
      </c>
      <c r="R35" s="100">
        <v>325000</v>
      </c>
      <c r="S35" s="101">
        <f t="shared" si="0"/>
        <v>-4.0000000000000036E-2</v>
      </c>
      <c r="T35" s="102">
        <f t="shared" si="8"/>
        <v>4398.2068848853924</v>
      </c>
      <c r="U35" s="102">
        <f t="shared" si="9"/>
        <v>4398.2068848853924</v>
      </c>
      <c r="V35" s="102">
        <f t="shared" si="10"/>
        <v>4581.4655050889505</v>
      </c>
      <c r="W35" s="102"/>
      <c r="X35" s="554">
        <v>45790</v>
      </c>
      <c r="Y35" s="103">
        <v>45814</v>
      </c>
      <c r="Z35" s="313">
        <f>20%*P35</f>
        <v>62400</v>
      </c>
      <c r="AA35" s="313"/>
      <c r="AB35" s="103"/>
      <c r="AC35" s="313"/>
      <c r="AD35" s="103"/>
      <c r="AE35" s="313">
        <v>249600</v>
      </c>
      <c r="AF35" s="95" t="s">
        <v>17189</v>
      </c>
      <c r="AG35" s="95" t="s">
        <v>17844</v>
      </c>
      <c r="AH35" s="306"/>
      <c r="AI35" s="306"/>
      <c r="AJ35" s="306"/>
      <c r="AK35" s="306"/>
      <c r="AL35" s="95"/>
      <c r="AM35" s="132" t="s">
        <v>17896</v>
      </c>
      <c r="AN35" s="132"/>
      <c r="AO35" s="132"/>
      <c r="AP35" s="132"/>
      <c r="AQ35" s="132"/>
      <c r="AR35" s="132"/>
      <c r="AS35" s="132"/>
      <c r="AT35" s="115"/>
      <c r="AU35" s="115"/>
      <c r="AV35" s="1868">
        <v>355000</v>
      </c>
    </row>
    <row r="36" spans="1:48" s="457" customFormat="1" ht="15" hidden="1">
      <c r="A36" s="95">
        <v>35</v>
      </c>
      <c r="B36" s="96" t="s">
        <v>58</v>
      </c>
      <c r="C36" s="97" t="s">
        <v>91</v>
      </c>
      <c r="D36" s="97">
        <v>4</v>
      </c>
      <c r="E36" s="97" t="s">
        <v>37</v>
      </c>
      <c r="F36" s="1166">
        <v>91.93</v>
      </c>
      <c r="G36" s="1167">
        <v>12.33</v>
      </c>
      <c r="H36" s="1167"/>
      <c r="I36" s="1167"/>
      <c r="J36" s="121">
        <f t="shared" si="4"/>
        <v>95.629000000000005</v>
      </c>
      <c r="K36" s="371">
        <v>1</v>
      </c>
      <c r="L36" s="713">
        <v>-2</v>
      </c>
      <c r="M36" s="95" t="s">
        <v>17329</v>
      </c>
      <c r="N36" s="95">
        <v>-2</v>
      </c>
      <c r="O36" s="95" t="s">
        <v>258</v>
      </c>
      <c r="P36" s="100">
        <v>417600</v>
      </c>
      <c r="Q36" s="115">
        <f t="shared" ref="Q36:Q41" si="11">0.96*R36</f>
        <v>417600</v>
      </c>
      <c r="R36" s="100">
        <v>435000</v>
      </c>
      <c r="S36" s="101">
        <f t="shared" si="0"/>
        <v>-4.0000000000000036E-2</v>
      </c>
      <c r="T36" s="102">
        <f t="shared" si="8"/>
        <v>4366.8761568143555</v>
      </c>
      <c r="U36" s="102">
        <f t="shared" si="9"/>
        <v>4366.8761568143555</v>
      </c>
      <c r="V36" s="102">
        <f t="shared" si="10"/>
        <v>4548.8293300149535</v>
      </c>
      <c r="W36" s="102"/>
      <c r="X36" s="554">
        <v>45848</v>
      </c>
      <c r="Y36" s="103">
        <v>45901</v>
      </c>
      <c r="Z36" s="313">
        <v>60000</v>
      </c>
      <c r="AA36" s="313">
        <v>23520</v>
      </c>
      <c r="AB36" s="103"/>
      <c r="AC36" s="313"/>
      <c r="AD36" s="103"/>
      <c r="AE36" s="313">
        <f>80%*P36</f>
        <v>334080</v>
      </c>
      <c r="AF36" s="95" t="s">
        <v>17189</v>
      </c>
      <c r="AG36" s="95"/>
      <c r="AH36" s="306"/>
      <c r="AI36" s="306"/>
      <c r="AJ36" s="306"/>
      <c r="AK36" s="306"/>
      <c r="AL36" s="95"/>
      <c r="AM36" s="104" t="s">
        <v>18082</v>
      </c>
      <c r="AN36" s="104" t="s">
        <v>565</v>
      </c>
      <c r="AO36" s="104" t="s">
        <v>17981</v>
      </c>
      <c r="AP36" s="104"/>
      <c r="AQ36" s="104"/>
      <c r="AR36" s="104"/>
      <c r="AS36" s="104"/>
      <c r="AT36" s="115"/>
      <c r="AU36" s="115"/>
      <c r="AV36" s="1868"/>
    </row>
    <row r="37" spans="1:48" s="457" customFormat="1" ht="15" hidden="1">
      <c r="A37" s="95">
        <v>36</v>
      </c>
      <c r="B37" s="96" t="s">
        <v>59</v>
      </c>
      <c r="C37" s="97" t="s">
        <v>91</v>
      </c>
      <c r="D37" s="97">
        <v>4</v>
      </c>
      <c r="E37" s="97" t="s">
        <v>37</v>
      </c>
      <c r="F37" s="1166">
        <v>91.93</v>
      </c>
      <c r="G37" s="1167">
        <v>12.33</v>
      </c>
      <c r="H37" s="1167"/>
      <c r="I37" s="1167"/>
      <c r="J37" s="121">
        <f t="shared" si="4"/>
        <v>95.629000000000005</v>
      </c>
      <c r="K37" s="371">
        <v>1</v>
      </c>
      <c r="L37" s="95">
        <v>-2</v>
      </c>
      <c r="M37" s="95" t="s">
        <v>17329</v>
      </c>
      <c r="N37" s="95">
        <v>-2</v>
      </c>
      <c r="O37" s="95" t="s">
        <v>258</v>
      </c>
      <c r="P37" s="100">
        <v>417600</v>
      </c>
      <c r="Q37" s="115">
        <f t="shared" si="11"/>
        <v>417600</v>
      </c>
      <c r="R37" s="100">
        <v>435000</v>
      </c>
      <c r="S37" s="101">
        <f t="shared" si="0"/>
        <v>-4.0000000000000036E-2</v>
      </c>
      <c r="T37" s="102">
        <f t="shared" si="8"/>
        <v>4366.8761568143555</v>
      </c>
      <c r="U37" s="102">
        <f t="shared" si="9"/>
        <v>4366.8761568143555</v>
      </c>
      <c r="V37" s="102">
        <f t="shared" si="10"/>
        <v>4548.8293300149535</v>
      </c>
      <c r="W37" s="102"/>
      <c r="X37" s="554">
        <v>45855</v>
      </c>
      <c r="Y37" s="103">
        <v>45901</v>
      </c>
      <c r="Z37" s="313">
        <f>5000+78520</f>
        <v>83520</v>
      </c>
      <c r="AA37" s="313"/>
      <c r="AB37" s="103"/>
      <c r="AC37" s="313"/>
      <c r="AD37" s="103"/>
      <c r="AE37" s="313">
        <v>334080</v>
      </c>
      <c r="AF37" s="95" t="s">
        <v>17189</v>
      </c>
      <c r="AG37" s="95"/>
      <c r="AH37" s="306"/>
      <c r="AI37" s="306"/>
      <c r="AJ37" s="306"/>
      <c r="AK37" s="306"/>
      <c r="AL37" s="95"/>
      <c r="AM37" s="104" t="s">
        <v>18055</v>
      </c>
      <c r="AN37" s="104" t="s">
        <v>565</v>
      </c>
      <c r="AO37" s="104" t="s">
        <v>17981</v>
      </c>
      <c r="AP37" s="1612" t="s">
        <v>18056</v>
      </c>
      <c r="AQ37" s="104"/>
      <c r="AR37" s="104"/>
      <c r="AS37" s="104"/>
      <c r="AT37" s="115"/>
      <c r="AU37" s="115"/>
      <c r="AV37" s="1868"/>
    </row>
    <row r="38" spans="1:48" s="457" customFormat="1" ht="15" hidden="1">
      <c r="A38" s="95">
        <v>37</v>
      </c>
      <c r="B38" s="96" t="s">
        <v>60</v>
      </c>
      <c r="C38" s="97" t="s">
        <v>90</v>
      </c>
      <c r="D38" s="97">
        <v>4</v>
      </c>
      <c r="E38" s="97" t="s">
        <v>37</v>
      </c>
      <c r="F38" s="1166">
        <v>67.05</v>
      </c>
      <c r="G38" s="1167">
        <v>12.56</v>
      </c>
      <c r="H38" s="1167"/>
      <c r="I38" s="1167"/>
      <c r="J38" s="121">
        <f t="shared" si="4"/>
        <v>70.817999999999998</v>
      </c>
      <c r="K38" s="371">
        <v>1</v>
      </c>
      <c r="L38" s="95">
        <v>-3</v>
      </c>
      <c r="M38" s="95" t="s">
        <v>17329</v>
      </c>
      <c r="N38" s="95">
        <v>-1</v>
      </c>
      <c r="O38" s="95" t="s">
        <v>258</v>
      </c>
      <c r="P38" s="100">
        <v>307200</v>
      </c>
      <c r="Q38" s="115">
        <f t="shared" si="11"/>
        <v>307200</v>
      </c>
      <c r="R38" s="100">
        <v>320000</v>
      </c>
      <c r="S38" s="101">
        <f t="shared" si="0"/>
        <v>-4.0000000000000036E-2</v>
      </c>
      <c r="T38" s="102">
        <f t="shared" si="8"/>
        <v>4337.8801999491652</v>
      </c>
      <c r="U38" s="102">
        <f t="shared" si="9"/>
        <v>4337.8801999491652</v>
      </c>
      <c r="V38" s="102">
        <f t="shared" si="10"/>
        <v>4518.6252082803812</v>
      </c>
      <c r="W38" s="102"/>
      <c r="X38" s="554"/>
      <c r="Y38" s="103">
        <v>45621</v>
      </c>
      <c r="Z38" s="313">
        <f>20%*P38</f>
        <v>61440</v>
      </c>
      <c r="AA38" s="313"/>
      <c r="AB38" s="103"/>
      <c r="AC38" s="313"/>
      <c r="AD38" s="103"/>
      <c r="AE38" s="313">
        <f>80%*P38</f>
        <v>245760</v>
      </c>
      <c r="AF38" s="95" t="s">
        <v>274</v>
      </c>
      <c r="AG38" s="95"/>
      <c r="AH38" s="306"/>
      <c r="AI38" s="306"/>
      <c r="AJ38" s="306"/>
      <c r="AK38" s="306"/>
      <c r="AL38" s="95"/>
      <c r="AM38" s="132" t="s">
        <v>17729</v>
      </c>
      <c r="AN38" s="132" t="s">
        <v>517</v>
      </c>
      <c r="AO38" s="132" t="s">
        <v>17982</v>
      </c>
      <c r="AP38" s="1619" t="s">
        <v>17966</v>
      </c>
      <c r="AQ38" s="132"/>
      <c r="AR38" s="132"/>
      <c r="AS38" s="132"/>
      <c r="AT38" s="115"/>
      <c r="AU38" s="115"/>
      <c r="AV38" s="1868"/>
    </row>
    <row r="39" spans="1:48" s="457" customFormat="1" ht="15" hidden="1">
      <c r="A39" s="95">
        <v>38</v>
      </c>
      <c r="B39" s="96" t="s">
        <v>61</v>
      </c>
      <c r="C39" s="97" t="s">
        <v>91</v>
      </c>
      <c r="D39" s="97">
        <v>4</v>
      </c>
      <c r="E39" s="97" t="s">
        <v>17606</v>
      </c>
      <c r="F39" s="1166">
        <v>107.32</v>
      </c>
      <c r="G39" s="1167">
        <v>14.75</v>
      </c>
      <c r="H39" s="1167"/>
      <c r="I39" s="1167"/>
      <c r="J39" s="121">
        <f t="shared" si="4"/>
        <v>111.74499999999999</v>
      </c>
      <c r="K39" s="371">
        <v>2</v>
      </c>
      <c r="L39" s="95">
        <v>-1</v>
      </c>
      <c r="M39" s="95" t="s">
        <v>17337</v>
      </c>
      <c r="N39" s="95">
        <v>-1</v>
      </c>
      <c r="O39" s="95" t="s">
        <v>258</v>
      </c>
      <c r="P39" s="100">
        <v>432000</v>
      </c>
      <c r="Q39" s="115">
        <f t="shared" si="11"/>
        <v>432000</v>
      </c>
      <c r="R39" s="100">
        <v>450000</v>
      </c>
      <c r="S39" s="101">
        <f t="shared" si="0"/>
        <v>-4.0000000000000036E-2</v>
      </c>
      <c r="T39" s="102">
        <f t="shared" si="8"/>
        <v>3865.9447850015663</v>
      </c>
      <c r="U39" s="102">
        <f t="shared" si="9"/>
        <v>3865.9447850015663</v>
      </c>
      <c r="V39" s="102">
        <f t="shared" si="10"/>
        <v>4027.0258177099649</v>
      </c>
      <c r="W39" s="102"/>
      <c r="X39" s="554"/>
      <c r="Y39" s="103">
        <v>45621</v>
      </c>
      <c r="Z39" s="313">
        <v>86400</v>
      </c>
      <c r="AA39" s="313"/>
      <c r="AB39" s="103"/>
      <c r="AC39" s="313"/>
      <c r="AD39" s="103"/>
      <c r="AE39" s="313">
        <v>345600</v>
      </c>
      <c r="AF39" s="95" t="s">
        <v>274</v>
      </c>
      <c r="AG39" s="95"/>
      <c r="AH39" s="306"/>
      <c r="AI39" s="306"/>
      <c r="AJ39" s="306"/>
      <c r="AK39" s="306"/>
      <c r="AL39" s="95"/>
      <c r="AM39" s="104" t="s">
        <v>17728</v>
      </c>
      <c r="AN39" s="104" t="s">
        <v>517</v>
      </c>
      <c r="AO39" s="104" t="s">
        <v>17982</v>
      </c>
      <c r="AP39" s="1612" t="s">
        <v>17967</v>
      </c>
      <c r="AQ39" s="104"/>
      <c r="AR39" s="104"/>
      <c r="AS39" s="104"/>
      <c r="AT39" s="115"/>
      <c r="AU39" s="115"/>
      <c r="AV39" s="1868"/>
    </row>
    <row r="40" spans="1:48" s="457" customFormat="1" ht="15" hidden="1">
      <c r="A40" s="95">
        <v>39</v>
      </c>
      <c r="B40" s="96" t="s">
        <v>62</v>
      </c>
      <c r="C40" s="97" t="s">
        <v>91</v>
      </c>
      <c r="D40" s="97">
        <v>4</v>
      </c>
      <c r="E40" s="97" t="s">
        <v>17607</v>
      </c>
      <c r="F40" s="1166">
        <v>96.21</v>
      </c>
      <c r="G40" s="1167">
        <v>16.8</v>
      </c>
      <c r="H40" s="1167"/>
      <c r="I40" s="1167"/>
      <c r="J40" s="121">
        <f t="shared" si="4"/>
        <v>101.25</v>
      </c>
      <c r="K40" s="371">
        <v>1</v>
      </c>
      <c r="L40" s="95">
        <v>-2</v>
      </c>
      <c r="M40" s="95" t="s">
        <v>17337</v>
      </c>
      <c r="N40" s="95">
        <v>-2</v>
      </c>
      <c r="O40" s="95" t="s">
        <v>258</v>
      </c>
      <c r="P40" s="100">
        <v>412800</v>
      </c>
      <c r="Q40" s="115">
        <f t="shared" si="11"/>
        <v>412800</v>
      </c>
      <c r="R40" s="100">
        <v>430000</v>
      </c>
      <c r="S40" s="101">
        <f t="shared" si="0"/>
        <v>-4.0000000000000036E-2</v>
      </c>
      <c r="T40" s="102">
        <f t="shared" si="8"/>
        <v>4077.037037037037</v>
      </c>
      <c r="U40" s="102">
        <f t="shared" si="9"/>
        <v>4077.037037037037</v>
      </c>
      <c r="V40" s="102">
        <f t="shared" si="10"/>
        <v>4246.9135802469136</v>
      </c>
      <c r="W40" s="102"/>
      <c r="X40" s="554">
        <v>45750</v>
      </c>
      <c r="Y40" s="305">
        <v>45887</v>
      </c>
      <c r="Z40" s="327">
        <f>5000+77560</f>
        <v>82560</v>
      </c>
      <c r="AA40" s="327"/>
      <c r="AB40" s="1401"/>
      <c r="AC40" s="327"/>
      <c r="AD40" s="1401"/>
      <c r="AE40" s="327">
        <v>330240</v>
      </c>
      <c r="AF40" s="95" t="s">
        <v>17189</v>
      </c>
      <c r="AG40" s="95"/>
      <c r="AH40" s="306"/>
      <c r="AI40" s="306"/>
      <c r="AJ40" s="306"/>
      <c r="AK40" s="306"/>
      <c r="AL40" s="95"/>
      <c r="AM40" s="112" t="s">
        <v>17984</v>
      </c>
      <c r="AN40" s="330" t="s">
        <v>563</v>
      </c>
      <c r="AO40" s="330" t="s">
        <v>17982</v>
      </c>
      <c r="AP40" s="1612" t="s">
        <v>17991</v>
      </c>
      <c r="AQ40" s="330"/>
      <c r="AR40" s="134"/>
      <c r="AS40" s="134"/>
      <c r="AT40" s="115"/>
      <c r="AU40" s="115"/>
      <c r="AV40" s="1868"/>
    </row>
    <row r="41" spans="1:48" s="457" customFormat="1" ht="15" hidden="1">
      <c r="A41" s="95">
        <v>40</v>
      </c>
      <c r="B41" s="96" t="s">
        <v>63</v>
      </c>
      <c r="C41" s="97" t="s">
        <v>91</v>
      </c>
      <c r="D41" s="97">
        <v>4</v>
      </c>
      <c r="E41" s="97" t="s">
        <v>42</v>
      </c>
      <c r="F41" s="1166">
        <v>78.540000000000006</v>
      </c>
      <c r="G41" s="1167">
        <v>15.7</v>
      </c>
      <c r="H41" s="1167"/>
      <c r="I41" s="1167"/>
      <c r="J41" s="121">
        <f t="shared" si="4"/>
        <v>83.25</v>
      </c>
      <c r="K41" s="371">
        <v>1</v>
      </c>
      <c r="L41" s="95">
        <v>-3</v>
      </c>
      <c r="M41" s="95" t="s">
        <v>17329</v>
      </c>
      <c r="N41" s="95">
        <v>-3</v>
      </c>
      <c r="O41" s="95" t="s">
        <v>258</v>
      </c>
      <c r="P41" s="100">
        <v>395000</v>
      </c>
      <c r="Q41" s="115">
        <f t="shared" si="11"/>
        <v>398400</v>
      </c>
      <c r="R41" s="100">
        <v>415000</v>
      </c>
      <c r="S41" s="101">
        <f t="shared" si="0"/>
        <v>-4.0000000000000036E-2</v>
      </c>
      <c r="T41" s="102">
        <f t="shared" si="8"/>
        <v>4744.7447447447448</v>
      </c>
      <c r="U41" s="102">
        <f t="shared" si="9"/>
        <v>4785.5855855855852</v>
      </c>
      <c r="V41" s="102">
        <f t="shared" si="10"/>
        <v>4984.9849849849852</v>
      </c>
      <c r="W41" s="102"/>
      <c r="X41" s="554">
        <v>45790</v>
      </c>
      <c r="Y41" s="103">
        <v>45815</v>
      </c>
      <c r="Z41" s="313">
        <f>5000+74000</f>
        <v>79000</v>
      </c>
      <c r="AA41" s="313"/>
      <c r="AB41" s="103"/>
      <c r="AC41" s="313"/>
      <c r="AD41" s="103"/>
      <c r="AE41" s="313">
        <v>316000</v>
      </c>
      <c r="AF41" s="95" t="s">
        <v>222</v>
      </c>
      <c r="AG41" s="95"/>
      <c r="AH41" s="306"/>
      <c r="AI41" s="306"/>
      <c r="AJ41" s="306"/>
      <c r="AK41" s="306"/>
      <c r="AL41" s="306"/>
      <c r="AM41" s="132" t="s">
        <v>18007</v>
      </c>
      <c r="AN41" s="132" t="s">
        <v>265</v>
      </c>
      <c r="AO41" s="132" t="s">
        <v>17981</v>
      </c>
      <c r="AP41" s="132" t="s">
        <v>18008</v>
      </c>
      <c r="AQ41" s="132"/>
      <c r="AR41" s="132"/>
      <c r="AS41" s="132"/>
      <c r="AT41" s="115"/>
      <c r="AU41" s="115"/>
      <c r="AV41" s="1868"/>
    </row>
    <row r="42" spans="1:48" s="457" customFormat="1" ht="15" hidden="1">
      <c r="A42" s="95">
        <v>41</v>
      </c>
      <c r="B42" s="96" t="s">
        <v>64</v>
      </c>
      <c r="C42" s="97" t="s">
        <v>91</v>
      </c>
      <c r="D42" s="97">
        <v>4</v>
      </c>
      <c r="E42" s="97" t="s">
        <v>42</v>
      </c>
      <c r="F42" s="1166">
        <v>92.23</v>
      </c>
      <c r="G42" s="1167">
        <v>15.69</v>
      </c>
      <c r="H42" s="1167"/>
      <c r="I42" s="1167"/>
      <c r="J42" s="121">
        <f t="shared" si="4"/>
        <v>96.936999999999998</v>
      </c>
      <c r="K42" s="371">
        <v>1</v>
      </c>
      <c r="L42" s="95">
        <v>-2</v>
      </c>
      <c r="M42" s="95" t="s">
        <v>17329</v>
      </c>
      <c r="N42" s="95">
        <v>-2</v>
      </c>
      <c r="O42" s="95" t="s">
        <v>258</v>
      </c>
      <c r="P42" s="100">
        <v>409200</v>
      </c>
      <c r="Q42" s="115">
        <f>0.93*R42</f>
        <v>409200</v>
      </c>
      <c r="R42" s="100">
        <v>440000</v>
      </c>
      <c r="S42" s="101">
        <f t="shared" si="0"/>
        <v>-6.9999999999999951E-2</v>
      </c>
      <c r="T42" s="102">
        <f t="shared" si="8"/>
        <v>4221.2983690438123</v>
      </c>
      <c r="U42" s="102">
        <f t="shared" si="9"/>
        <v>4221.2983690438123</v>
      </c>
      <c r="V42" s="102">
        <f t="shared" si="10"/>
        <v>4539.0305043481849</v>
      </c>
      <c r="W42" s="102"/>
      <c r="X42" s="554"/>
      <c r="Y42" s="103">
        <v>45615</v>
      </c>
      <c r="Z42" s="313">
        <f>20%*P42</f>
        <v>81840</v>
      </c>
      <c r="AA42" s="313"/>
      <c r="AB42" s="103"/>
      <c r="AC42" s="313"/>
      <c r="AD42" s="103"/>
      <c r="AE42" s="313">
        <f>80%*P42</f>
        <v>327360</v>
      </c>
      <c r="AF42" s="95" t="s">
        <v>222</v>
      </c>
      <c r="AG42" s="95" t="s">
        <v>17694</v>
      </c>
      <c r="AH42" s="306"/>
      <c r="AI42" s="306"/>
      <c r="AJ42" s="306"/>
      <c r="AK42" s="306"/>
      <c r="AL42" s="95"/>
      <c r="AM42" s="104" t="s">
        <v>17690</v>
      </c>
      <c r="AN42" s="104" t="s">
        <v>17691</v>
      </c>
      <c r="AO42" s="104" t="s">
        <v>17982</v>
      </c>
      <c r="AP42" s="1616" t="s">
        <v>17968</v>
      </c>
      <c r="AQ42" s="104"/>
      <c r="AR42" s="104"/>
      <c r="AS42" s="104"/>
      <c r="AT42" s="115"/>
      <c r="AU42" s="115"/>
      <c r="AV42" s="1868"/>
    </row>
    <row r="43" spans="1:48" s="457" customFormat="1" ht="15" hidden="1">
      <c r="A43" s="95">
        <v>42</v>
      </c>
      <c r="B43" s="96" t="s">
        <v>65</v>
      </c>
      <c r="C43" s="97" t="s">
        <v>91</v>
      </c>
      <c r="D43" s="97">
        <v>4</v>
      </c>
      <c r="E43" s="97" t="s">
        <v>42</v>
      </c>
      <c r="F43" s="1166">
        <v>92.23</v>
      </c>
      <c r="G43" s="1167">
        <v>15.69</v>
      </c>
      <c r="H43" s="1167"/>
      <c r="I43" s="1167"/>
      <c r="J43" s="121">
        <f t="shared" si="4"/>
        <v>96.936999999999998</v>
      </c>
      <c r="K43" s="371">
        <v>1</v>
      </c>
      <c r="L43" s="95">
        <v>-2</v>
      </c>
      <c r="M43" s="95" t="s">
        <v>17329</v>
      </c>
      <c r="N43" s="95">
        <v>-2</v>
      </c>
      <c r="O43" s="95" t="s">
        <v>258</v>
      </c>
      <c r="P43" s="100">
        <v>427200</v>
      </c>
      <c r="Q43" s="115">
        <f>0.96*R43</f>
        <v>427200</v>
      </c>
      <c r="R43" s="100">
        <v>445000</v>
      </c>
      <c r="S43" s="101">
        <f t="shared" si="0"/>
        <v>-4.0000000000000036E-2</v>
      </c>
      <c r="T43" s="102">
        <f t="shared" si="8"/>
        <v>4406.9859805853284</v>
      </c>
      <c r="U43" s="102">
        <f t="shared" si="9"/>
        <v>4406.9859805853284</v>
      </c>
      <c r="V43" s="102">
        <f t="shared" si="10"/>
        <v>4590.6103964430504</v>
      </c>
      <c r="W43" s="102"/>
      <c r="X43" s="554"/>
      <c r="Y43" s="103">
        <v>45750</v>
      </c>
      <c r="Z43" s="313">
        <f>5000+40220</f>
        <v>45220</v>
      </c>
      <c r="AA43" s="313">
        <v>40220</v>
      </c>
      <c r="AB43" s="103">
        <v>45777</v>
      </c>
      <c r="AC43" s="313"/>
      <c r="AD43" s="103"/>
      <c r="AE43" s="313">
        <v>341760</v>
      </c>
      <c r="AF43" s="95" t="s">
        <v>17189</v>
      </c>
      <c r="AG43" s="95"/>
      <c r="AH43" s="306"/>
      <c r="AI43" s="306"/>
      <c r="AJ43" s="306"/>
      <c r="AK43" s="306"/>
      <c r="AL43" s="95"/>
      <c r="AM43" s="104" t="s">
        <v>17880</v>
      </c>
      <c r="AN43" s="104" t="s">
        <v>565</v>
      </c>
      <c r="AO43" s="104" t="s">
        <v>17981</v>
      </c>
      <c r="AP43" s="1616" t="s">
        <v>17969</v>
      </c>
      <c r="AQ43" s="104"/>
      <c r="AR43" s="104"/>
      <c r="AS43" s="104"/>
      <c r="AT43" s="115"/>
      <c r="AU43" s="115"/>
      <c r="AV43" s="1868"/>
    </row>
    <row r="44" spans="1:48" s="457" customFormat="1" ht="15" hidden="1">
      <c r="A44" s="95">
        <v>43</v>
      </c>
      <c r="B44" s="96" t="s">
        <v>66</v>
      </c>
      <c r="C44" s="97" t="s">
        <v>91</v>
      </c>
      <c r="D44" s="97">
        <v>4</v>
      </c>
      <c r="E44" s="97" t="s">
        <v>42</v>
      </c>
      <c r="F44" s="1166">
        <v>78.540000000000006</v>
      </c>
      <c r="G44" s="1167">
        <v>19.059999999999999</v>
      </c>
      <c r="H44" s="1167"/>
      <c r="I44" s="1167"/>
      <c r="J44" s="121">
        <f t="shared" si="4"/>
        <v>84.25800000000001</v>
      </c>
      <c r="K44" s="371">
        <v>1</v>
      </c>
      <c r="L44" s="95">
        <v>-3</v>
      </c>
      <c r="M44" s="95" t="s">
        <v>17329</v>
      </c>
      <c r="N44" s="95">
        <v>-3</v>
      </c>
      <c r="O44" s="95" t="s">
        <v>258</v>
      </c>
      <c r="P44" s="100">
        <f>420000*0.95</f>
        <v>399000</v>
      </c>
      <c r="Q44" s="115">
        <f>0.93*R44</f>
        <v>390600</v>
      </c>
      <c r="R44" s="100">
        <v>420000</v>
      </c>
      <c r="S44" s="101">
        <f t="shared" si="0"/>
        <v>-6.9999999999999951E-2</v>
      </c>
      <c r="T44" s="102">
        <f t="shared" si="8"/>
        <v>4735.4553870255641</v>
      </c>
      <c r="U44" s="102">
        <f t="shared" si="9"/>
        <v>4635.7615894039727</v>
      </c>
      <c r="V44" s="102">
        <f t="shared" si="10"/>
        <v>4984.689881079541</v>
      </c>
      <c r="W44" s="102"/>
      <c r="X44" s="554"/>
      <c r="Y44" s="103">
        <v>45701</v>
      </c>
      <c r="Z44" s="313">
        <f>20%*P44</f>
        <v>79800</v>
      </c>
      <c r="AA44" s="313">
        <f>10%*P44</f>
        <v>39900</v>
      </c>
      <c r="AB44" s="103">
        <v>45777</v>
      </c>
      <c r="AC44" s="313"/>
      <c r="AD44" s="103"/>
      <c r="AE44" s="313">
        <f>70%*P44</f>
        <v>279300</v>
      </c>
      <c r="AF44" s="95" t="s">
        <v>17189</v>
      </c>
      <c r="AG44" s="95"/>
      <c r="AH44" s="306"/>
      <c r="AI44" s="306"/>
      <c r="AJ44" s="306"/>
      <c r="AK44" s="306"/>
      <c r="AL44" s="95"/>
      <c r="AM44" s="104" t="s">
        <v>17848</v>
      </c>
      <c r="AN44" s="104" t="s">
        <v>265</v>
      </c>
      <c r="AO44" s="104" t="s">
        <v>17981</v>
      </c>
      <c r="AP44" s="1612" t="s">
        <v>17970</v>
      </c>
      <c r="AQ44" s="104"/>
      <c r="AR44" s="104"/>
      <c r="AS44" s="104"/>
      <c r="AT44" s="115"/>
      <c r="AU44" s="115"/>
      <c r="AV44" s="1868"/>
    </row>
    <row r="45" spans="1:48" s="457" customFormat="1" ht="15" hidden="1">
      <c r="A45" s="95">
        <v>44</v>
      </c>
      <c r="B45" s="96" t="s">
        <v>67</v>
      </c>
      <c r="C45" s="97" t="s">
        <v>89</v>
      </c>
      <c r="D45" s="97">
        <v>4</v>
      </c>
      <c r="E45" s="97" t="s">
        <v>17608</v>
      </c>
      <c r="F45" s="1166">
        <v>128.88999999999999</v>
      </c>
      <c r="G45" s="1167">
        <v>21.79</v>
      </c>
      <c r="H45" s="1167"/>
      <c r="I45" s="1167"/>
      <c r="J45" s="121">
        <f t="shared" si="4"/>
        <v>135.42699999999999</v>
      </c>
      <c r="K45" s="371">
        <v>2</v>
      </c>
      <c r="L45" s="95">
        <v>-2</v>
      </c>
      <c r="M45" s="95" t="s">
        <v>17335</v>
      </c>
      <c r="N45" s="95"/>
      <c r="O45" s="95" t="s">
        <v>258</v>
      </c>
      <c r="P45" s="100">
        <v>706800</v>
      </c>
      <c r="Q45" s="115">
        <f>0.96*R45</f>
        <v>729600</v>
      </c>
      <c r="R45" s="100">
        <v>760000</v>
      </c>
      <c r="S45" s="101">
        <f t="shared" si="0"/>
        <v>-4.0000000000000036E-2</v>
      </c>
      <c r="T45" s="102">
        <f t="shared" si="8"/>
        <v>5219.0479003448354</v>
      </c>
      <c r="U45" s="102">
        <f t="shared" si="9"/>
        <v>5387.4042842269273</v>
      </c>
      <c r="V45" s="102">
        <f t="shared" si="10"/>
        <v>5611.8794627363823</v>
      </c>
      <c r="W45" s="102"/>
      <c r="X45" s="554">
        <v>45824</v>
      </c>
      <c r="Y45" s="103">
        <v>45869</v>
      </c>
      <c r="Z45" s="313">
        <f>5000+207040</f>
        <v>212040</v>
      </c>
      <c r="AA45" s="313"/>
      <c r="AB45" s="103"/>
      <c r="AC45" s="313"/>
      <c r="AD45" s="103"/>
      <c r="AE45" s="313">
        <v>494760</v>
      </c>
      <c r="AF45" s="95" t="s">
        <v>17189</v>
      </c>
      <c r="AG45" s="95"/>
      <c r="AH45" s="306"/>
      <c r="AI45" s="306"/>
      <c r="AJ45" s="306"/>
      <c r="AK45" s="306"/>
      <c r="AL45" s="95"/>
      <c r="AM45" s="104" t="s">
        <v>18065</v>
      </c>
      <c r="AN45" s="330" t="s">
        <v>18066</v>
      </c>
      <c r="AO45" s="330" t="s">
        <v>17981</v>
      </c>
      <c r="AP45" s="104"/>
      <c r="AQ45" s="104"/>
      <c r="AR45" s="104"/>
      <c r="AS45" s="104"/>
      <c r="AT45" s="115"/>
      <c r="AU45" s="115"/>
      <c r="AV45" s="1868"/>
    </row>
    <row r="46" spans="1:48" s="457" customFormat="1" ht="15" hidden="1">
      <c r="A46" s="95">
        <v>45</v>
      </c>
      <c r="B46" s="96" t="s">
        <v>68</v>
      </c>
      <c r="C46" s="97" t="s">
        <v>89</v>
      </c>
      <c r="D46" s="97">
        <v>5</v>
      </c>
      <c r="E46" s="97" t="s">
        <v>17609</v>
      </c>
      <c r="F46" s="1166">
        <v>155.53</v>
      </c>
      <c r="G46" s="1167">
        <v>20.010000000000002</v>
      </c>
      <c r="H46" s="1167"/>
      <c r="I46" s="1167"/>
      <c r="J46" s="121">
        <f t="shared" si="4"/>
        <v>161.53300000000002</v>
      </c>
      <c r="K46" s="371">
        <v>2</v>
      </c>
      <c r="L46" s="95">
        <v>-1</v>
      </c>
      <c r="M46" s="95" t="s">
        <v>17335</v>
      </c>
      <c r="N46" s="95"/>
      <c r="O46" s="95" t="s">
        <v>258</v>
      </c>
      <c r="P46" s="115">
        <v>855600</v>
      </c>
      <c r="Q46" s="115">
        <f>0.96*R46</f>
        <v>883200</v>
      </c>
      <c r="R46" s="100">
        <v>920000</v>
      </c>
      <c r="S46" s="101">
        <f t="shared" si="0"/>
        <v>-4.0000000000000036E-2</v>
      </c>
      <c r="T46" s="102">
        <f t="shared" si="8"/>
        <v>5296.7505091838811</v>
      </c>
      <c r="U46" s="102">
        <f t="shared" si="9"/>
        <v>5467.613428834974</v>
      </c>
      <c r="V46" s="102">
        <f t="shared" si="10"/>
        <v>5695.4306550364317</v>
      </c>
      <c r="W46" s="102"/>
      <c r="X46" s="554">
        <v>45824</v>
      </c>
      <c r="Y46" s="135">
        <v>45869</v>
      </c>
      <c r="Z46" s="326">
        <f>5000+251680</f>
        <v>256680</v>
      </c>
      <c r="AA46" s="326"/>
      <c r="AB46" s="135"/>
      <c r="AC46" s="326"/>
      <c r="AD46" s="135"/>
      <c r="AE46" s="326">
        <v>598920</v>
      </c>
      <c r="AF46" s="95" t="s">
        <v>17189</v>
      </c>
      <c r="AG46" s="95"/>
      <c r="AH46" s="306"/>
      <c r="AI46" s="306"/>
      <c r="AJ46" s="306"/>
      <c r="AK46" s="306"/>
      <c r="AL46" s="306"/>
      <c r="AM46" s="104" t="s">
        <v>18065</v>
      </c>
      <c r="AN46" s="330" t="s">
        <v>18066</v>
      </c>
      <c r="AO46" s="330" t="s">
        <v>17981</v>
      </c>
      <c r="AP46" s="132"/>
      <c r="AQ46" s="132"/>
      <c r="AR46" s="132"/>
      <c r="AS46" s="132"/>
      <c r="AT46" s="115"/>
      <c r="AU46" s="115"/>
      <c r="AV46" s="1868"/>
    </row>
    <row r="47" spans="1:48" s="457" customFormat="1" ht="15" hidden="1">
      <c r="A47" s="95">
        <v>46</v>
      </c>
      <c r="B47" s="96" t="s">
        <v>69</v>
      </c>
      <c r="C47" s="97" t="s">
        <v>90</v>
      </c>
      <c r="D47" s="97">
        <v>5</v>
      </c>
      <c r="E47" s="97" t="s">
        <v>37</v>
      </c>
      <c r="F47" s="1166">
        <v>67.17</v>
      </c>
      <c r="G47" s="1167">
        <v>12.56</v>
      </c>
      <c r="H47" s="1167"/>
      <c r="I47" s="1167"/>
      <c r="J47" s="121">
        <f t="shared" si="4"/>
        <v>70.938000000000002</v>
      </c>
      <c r="K47" s="371">
        <v>1</v>
      </c>
      <c r="L47" s="95">
        <v>-3</v>
      </c>
      <c r="M47" s="95" t="s">
        <v>17329</v>
      </c>
      <c r="N47" s="95">
        <v>-1</v>
      </c>
      <c r="O47" s="95" t="s">
        <v>258</v>
      </c>
      <c r="P47" s="115">
        <v>316800</v>
      </c>
      <c r="Q47" s="100">
        <f>0.96*R47</f>
        <v>316800</v>
      </c>
      <c r="R47" s="100">
        <v>330000</v>
      </c>
      <c r="S47" s="101">
        <f t="shared" si="0"/>
        <v>-4.0000000000000036E-2</v>
      </c>
      <c r="T47" s="102">
        <f t="shared" si="8"/>
        <v>4465.8716061913219</v>
      </c>
      <c r="U47" s="102">
        <f t="shared" si="9"/>
        <v>4465.8716061913219</v>
      </c>
      <c r="V47" s="102">
        <f t="shared" si="10"/>
        <v>4651.9495897826273</v>
      </c>
      <c r="W47" s="102"/>
      <c r="X47" s="554">
        <v>45549</v>
      </c>
      <c r="Y47" s="103">
        <v>45680</v>
      </c>
      <c r="Z47" s="313">
        <f>20%*P47</f>
        <v>63360</v>
      </c>
      <c r="AA47" s="313"/>
      <c r="AB47" s="103"/>
      <c r="AC47" s="313"/>
      <c r="AD47" s="103"/>
      <c r="AE47" s="313">
        <v>253440</v>
      </c>
      <c r="AF47" s="95" t="s">
        <v>17189</v>
      </c>
      <c r="AG47" s="95"/>
      <c r="AH47" s="306"/>
      <c r="AI47" s="306"/>
      <c r="AJ47" s="306"/>
      <c r="AK47" s="306"/>
      <c r="AL47" s="95"/>
      <c r="AM47" s="104" t="s">
        <v>17642</v>
      </c>
      <c r="AN47" s="104" t="s">
        <v>565</v>
      </c>
      <c r="AO47" s="104" t="s">
        <v>17981</v>
      </c>
      <c r="AP47" s="1616" t="s">
        <v>17971</v>
      </c>
      <c r="AQ47" s="104"/>
      <c r="AR47" s="104"/>
      <c r="AS47" s="104"/>
      <c r="AT47" s="115"/>
      <c r="AU47" s="115"/>
      <c r="AV47" s="1868"/>
    </row>
    <row r="48" spans="1:48" s="457" customFormat="1" ht="15" hidden="1">
      <c r="A48" s="95">
        <v>47</v>
      </c>
      <c r="B48" s="96" t="s">
        <v>70</v>
      </c>
      <c r="C48" s="97" t="s">
        <v>91</v>
      </c>
      <c r="D48" s="97">
        <v>5</v>
      </c>
      <c r="E48" s="97" t="s">
        <v>37</v>
      </c>
      <c r="F48" s="1166">
        <v>91.93</v>
      </c>
      <c r="G48" s="1167">
        <v>12.33</v>
      </c>
      <c r="H48" s="1167"/>
      <c r="I48" s="1167"/>
      <c r="J48" s="121">
        <f t="shared" si="4"/>
        <v>95.629000000000005</v>
      </c>
      <c r="K48" s="371">
        <v>1</v>
      </c>
      <c r="L48" s="95">
        <v>-2</v>
      </c>
      <c r="M48" s="95" t="s">
        <v>17329</v>
      </c>
      <c r="N48" s="95">
        <v>-2</v>
      </c>
      <c r="O48" s="95" t="s">
        <v>258</v>
      </c>
      <c r="P48" s="115">
        <v>413850</v>
      </c>
      <c r="Q48" s="115">
        <f>0.93*R48</f>
        <v>413850</v>
      </c>
      <c r="R48" s="100">
        <v>445000</v>
      </c>
      <c r="S48" s="101">
        <f t="shared" si="0"/>
        <v>-6.9999999999999951E-2</v>
      </c>
      <c r="T48" s="102">
        <f t="shared" si="8"/>
        <v>4327.6621108659501</v>
      </c>
      <c r="U48" s="102">
        <f t="shared" si="9"/>
        <v>4327.6621108659501</v>
      </c>
      <c r="V48" s="102">
        <f t="shared" si="10"/>
        <v>4653.4001192106998</v>
      </c>
      <c r="W48" s="102"/>
      <c r="X48" s="554"/>
      <c r="Y48" s="103">
        <v>45589</v>
      </c>
      <c r="Z48" s="313">
        <f>5000+77770</f>
        <v>82770</v>
      </c>
      <c r="AA48" s="313"/>
      <c r="AB48" s="103"/>
      <c r="AC48" s="313"/>
      <c r="AD48" s="103"/>
      <c r="AE48" s="313">
        <v>331080</v>
      </c>
      <c r="AF48" s="95" t="s">
        <v>274</v>
      </c>
      <c r="AG48" s="95"/>
      <c r="AH48" s="306"/>
      <c r="AI48" s="306"/>
      <c r="AJ48" s="306"/>
      <c r="AK48" s="306"/>
      <c r="AL48" s="95"/>
      <c r="AM48" s="104" t="s">
        <v>17631</v>
      </c>
      <c r="AN48" s="104" t="s">
        <v>517</v>
      </c>
      <c r="AO48" s="104" t="s">
        <v>17982</v>
      </c>
      <c r="AP48" s="1616" t="s">
        <v>17972</v>
      </c>
      <c r="AQ48" s="104"/>
      <c r="AR48" s="104"/>
      <c r="AS48" s="104"/>
      <c r="AT48" s="115"/>
      <c r="AU48" s="115"/>
      <c r="AV48" s="1868"/>
    </row>
    <row r="49" spans="1:48" s="457" customFormat="1" ht="15" hidden="1">
      <c r="A49" s="95">
        <v>48</v>
      </c>
      <c r="B49" s="96" t="s">
        <v>71</v>
      </c>
      <c r="C49" s="97" t="s">
        <v>91</v>
      </c>
      <c r="D49" s="97">
        <v>5</v>
      </c>
      <c r="E49" s="97" t="s">
        <v>37</v>
      </c>
      <c r="F49" s="1166">
        <v>91.93</v>
      </c>
      <c r="G49" s="1167">
        <v>12.33</v>
      </c>
      <c r="H49" s="1167"/>
      <c r="I49" s="1167"/>
      <c r="J49" s="121">
        <f t="shared" si="4"/>
        <v>95.629000000000005</v>
      </c>
      <c r="K49" s="371">
        <v>1</v>
      </c>
      <c r="L49" s="95">
        <v>-2</v>
      </c>
      <c r="M49" s="95" t="s">
        <v>17329</v>
      </c>
      <c r="N49" s="95">
        <v>-2</v>
      </c>
      <c r="O49" s="95" t="s">
        <v>258</v>
      </c>
      <c r="P49" s="100">
        <v>427200</v>
      </c>
      <c r="Q49" s="115">
        <f t="shared" ref="Q49:Q55" si="12">0.96*R49</f>
        <v>427200</v>
      </c>
      <c r="R49" s="100">
        <v>445000</v>
      </c>
      <c r="S49" s="101">
        <f t="shared" si="0"/>
        <v>-4.0000000000000036E-2</v>
      </c>
      <c r="T49" s="102">
        <f t="shared" si="8"/>
        <v>4467.2641144422714</v>
      </c>
      <c r="U49" s="102">
        <f t="shared" si="9"/>
        <v>4467.2641144422714</v>
      </c>
      <c r="V49" s="102">
        <f t="shared" si="10"/>
        <v>4653.4001192106998</v>
      </c>
      <c r="W49" s="102"/>
      <c r="X49" s="554">
        <v>45822</v>
      </c>
      <c r="Y49" s="103">
        <v>45838</v>
      </c>
      <c r="Z49" s="313">
        <f>5000+80440</f>
        <v>85440</v>
      </c>
      <c r="AA49" s="313"/>
      <c r="AB49" s="103"/>
      <c r="AC49" s="313"/>
      <c r="AD49" s="103"/>
      <c r="AE49" s="313">
        <v>341760</v>
      </c>
      <c r="AF49" s="95" t="s">
        <v>17189</v>
      </c>
      <c r="AG49" s="95"/>
      <c r="AH49" s="306"/>
      <c r="AI49" s="306"/>
      <c r="AJ49" s="306"/>
      <c r="AK49" s="306"/>
      <c r="AL49" s="95"/>
      <c r="AM49" s="104" t="s">
        <v>18029</v>
      </c>
      <c r="AN49" s="104"/>
      <c r="AO49" s="104"/>
      <c r="AP49" s="104"/>
      <c r="AQ49" s="104"/>
      <c r="AR49" s="104"/>
      <c r="AS49" s="104"/>
      <c r="AT49" s="115"/>
      <c r="AU49" s="115"/>
      <c r="AV49" s="1868"/>
    </row>
    <row r="50" spans="1:48" s="457" customFormat="1" ht="15" hidden="1">
      <c r="A50" s="95">
        <v>49</v>
      </c>
      <c r="B50" s="96" t="s">
        <v>72</v>
      </c>
      <c r="C50" s="97" t="s">
        <v>90</v>
      </c>
      <c r="D50" s="97">
        <v>5</v>
      </c>
      <c r="E50" s="97" t="s">
        <v>37</v>
      </c>
      <c r="F50" s="1166">
        <v>67.05</v>
      </c>
      <c r="G50" s="1167">
        <v>12.56</v>
      </c>
      <c r="H50" s="1167"/>
      <c r="I50" s="1167"/>
      <c r="J50" s="121">
        <f t="shared" si="4"/>
        <v>70.817999999999998</v>
      </c>
      <c r="K50" s="371">
        <v>1</v>
      </c>
      <c r="L50" s="98">
        <v>-3</v>
      </c>
      <c r="M50" s="95" t="s">
        <v>17329</v>
      </c>
      <c r="N50" s="95">
        <v>-1</v>
      </c>
      <c r="O50" s="95" t="s">
        <v>258</v>
      </c>
      <c r="P50" s="115">
        <v>312000</v>
      </c>
      <c r="Q50" s="100">
        <f t="shared" si="12"/>
        <v>312000</v>
      </c>
      <c r="R50" s="100">
        <v>325000</v>
      </c>
      <c r="S50" s="101">
        <f t="shared" si="0"/>
        <v>-4.0000000000000036E-2</v>
      </c>
      <c r="T50" s="102">
        <f t="shared" si="8"/>
        <v>4405.6595780733714</v>
      </c>
      <c r="U50" s="102">
        <f t="shared" si="9"/>
        <v>4405.6595780733714</v>
      </c>
      <c r="V50" s="102">
        <f t="shared" si="10"/>
        <v>4589.2287271597615</v>
      </c>
      <c r="W50" s="102"/>
      <c r="X50" s="554"/>
      <c r="Y50" s="103">
        <v>45610</v>
      </c>
      <c r="Z50" s="313">
        <v>62400</v>
      </c>
      <c r="AA50" s="313"/>
      <c r="AB50" s="103"/>
      <c r="AC50" s="313"/>
      <c r="AD50" s="103"/>
      <c r="AE50" s="313">
        <v>249600</v>
      </c>
      <c r="AF50" s="95" t="s">
        <v>222</v>
      </c>
      <c r="AG50" s="95"/>
      <c r="AH50" s="306"/>
      <c r="AI50" s="306"/>
      <c r="AJ50" s="306"/>
      <c r="AK50" s="306"/>
      <c r="AL50" s="95"/>
      <c r="AM50" s="104" t="s">
        <v>17629</v>
      </c>
      <c r="AN50" s="104" t="s">
        <v>565</v>
      </c>
      <c r="AO50" s="104" t="s">
        <v>17981</v>
      </c>
      <c r="AP50" s="1616" t="s">
        <v>17973</v>
      </c>
      <c r="AQ50" s="104"/>
      <c r="AR50" s="104"/>
      <c r="AS50" s="104"/>
      <c r="AT50" s="115"/>
      <c r="AU50" s="115"/>
      <c r="AV50" s="1868"/>
    </row>
    <row r="51" spans="1:48" s="1515" customFormat="1" ht="15" hidden="1">
      <c r="A51" s="671">
        <v>50</v>
      </c>
      <c r="B51" s="1586" t="s">
        <v>73</v>
      </c>
      <c r="C51" s="1510" t="s">
        <v>91</v>
      </c>
      <c r="D51" s="1510">
        <v>5</v>
      </c>
      <c r="E51" s="1510" t="s">
        <v>17606</v>
      </c>
      <c r="F51" s="1166">
        <v>107.32</v>
      </c>
      <c r="G51" s="1167">
        <v>14.75</v>
      </c>
      <c r="H51" s="1167"/>
      <c r="I51" s="1167"/>
      <c r="J51" s="1511">
        <f t="shared" si="4"/>
        <v>111.74499999999999</v>
      </c>
      <c r="K51" s="371">
        <v>2</v>
      </c>
      <c r="L51" s="98">
        <v>-1</v>
      </c>
      <c r="M51" s="671" t="s">
        <v>17337</v>
      </c>
      <c r="N51" s="671">
        <v>-1</v>
      </c>
      <c r="O51" s="671" t="s">
        <v>258</v>
      </c>
      <c r="P51" s="535">
        <v>440000</v>
      </c>
      <c r="Q51" s="535">
        <f t="shared" si="12"/>
        <v>441600</v>
      </c>
      <c r="R51" s="1512">
        <v>460000</v>
      </c>
      <c r="S51" s="685">
        <f t="shared" si="0"/>
        <v>-4.0000000000000036E-2</v>
      </c>
      <c r="T51" s="686">
        <f t="shared" si="8"/>
        <v>3937.5363550941879</v>
      </c>
      <c r="U51" s="686">
        <f t="shared" si="9"/>
        <v>3951.8546691127121</v>
      </c>
      <c r="V51" s="686">
        <f t="shared" si="10"/>
        <v>4116.5152803257424</v>
      </c>
      <c r="W51" s="686"/>
      <c r="X51" s="687"/>
      <c r="Y51" s="731">
        <v>45749</v>
      </c>
      <c r="Z51" s="733">
        <v>88000</v>
      </c>
      <c r="AA51" s="733"/>
      <c r="AB51" s="731"/>
      <c r="AC51" s="733"/>
      <c r="AD51" s="731"/>
      <c r="AE51" s="733">
        <f>80%*440000</f>
        <v>352000</v>
      </c>
      <c r="AF51" s="671" t="s">
        <v>274</v>
      </c>
      <c r="AG51" s="671"/>
      <c r="AH51" s="1513"/>
      <c r="AI51" s="1513"/>
      <c r="AJ51" s="1513"/>
      <c r="AK51" s="1513"/>
      <c r="AL51" s="671"/>
      <c r="AM51" s="734" t="s">
        <v>17912</v>
      </c>
      <c r="AN51" s="734" t="s">
        <v>517</v>
      </c>
      <c r="AO51" s="104" t="s">
        <v>17982</v>
      </c>
      <c r="AP51" s="1428" t="s">
        <v>17974</v>
      </c>
      <c r="AQ51" s="734"/>
      <c r="AR51" s="734"/>
      <c r="AS51" s="734"/>
      <c r="AT51" s="535"/>
      <c r="AU51" s="535"/>
      <c r="AV51" s="1870"/>
    </row>
    <row r="52" spans="1:48" s="457" customFormat="1" ht="15" hidden="1">
      <c r="A52" s="95">
        <v>51</v>
      </c>
      <c r="B52" s="96" t="s">
        <v>74</v>
      </c>
      <c r="C52" s="97" t="s">
        <v>91</v>
      </c>
      <c r="D52" s="97">
        <v>5</v>
      </c>
      <c r="E52" s="97" t="s">
        <v>17607</v>
      </c>
      <c r="F52" s="1166">
        <v>96.21</v>
      </c>
      <c r="G52" s="1167">
        <v>16.8</v>
      </c>
      <c r="H52" s="1167"/>
      <c r="I52" s="1167"/>
      <c r="J52" s="121">
        <f t="shared" si="4"/>
        <v>101.25</v>
      </c>
      <c r="K52" s="371">
        <v>2</v>
      </c>
      <c r="L52" s="95">
        <v>-1</v>
      </c>
      <c r="M52" s="95" t="s">
        <v>17338</v>
      </c>
      <c r="N52" s="95">
        <v>-1</v>
      </c>
      <c r="O52" s="95" t="s">
        <v>258</v>
      </c>
      <c r="P52" s="115">
        <v>422400</v>
      </c>
      <c r="Q52" s="115">
        <f t="shared" si="12"/>
        <v>422400</v>
      </c>
      <c r="R52" s="100">
        <v>440000</v>
      </c>
      <c r="S52" s="101">
        <f t="shared" si="0"/>
        <v>-4.0000000000000036E-2</v>
      </c>
      <c r="T52" s="102">
        <f t="shared" si="8"/>
        <v>4171.8518518518522</v>
      </c>
      <c r="U52" s="102">
        <f t="shared" si="9"/>
        <v>4171.8518518518522</v>
      </c>
      <c r="V52" s="102">
        <f t="shared" si="10"/>
        <v>4345.6790123456794</v>
      </c>
      <c r="W52" s="102"/>
      <c r="X52" s="554">
        <v>45750</v>
      </c>
      <c r="Y52" s="103">
        <v>45828</v>
      </c>
      <c r="Z52" s="313">
        <f>5000+58360</f>
        <v>63360</v>
      </c>
      <c r="AA52" s="313">
        <v>21120</v>
      </c>
      <c r="AB52" s="103">
        <f>Y52+90</f>
        <v>45918</v>
      </c>
      <c r="AC52" s="313"/>
      <c r="AD52" s="103"/>
      <c r="AE52" s="313">
        <v>337920</v>
      </c>
      <c r="AF52" s="95" t="s">
        <v>17189</v>
      </c>
      <c r="AG52" s="95"/>
      <c r="AH52" s="306"/>
      <c r="AI52" s="306"/>
      <c r="AJ52" s="306"/>
      <c r="AK52" s="306"/>
      <c r="AL52" s="95"/>
      <c r="AM52" s="104" t="s">
        <v>17989</v>
      </c>
      <c r="AN52" s="104" t="s">
        <v>265</v>
      </c>
      <c r="AO52" s="104" t="s">
        <v>17981</v>
      </c>
      <c r="AP52" s="1612" t="s">
        <v>17990</v>
      </c>
      <c r="AQ52" s="104"/>
      <c r="AR52" s="104"/>
      <c r="AS52" s="104"/>
      <c r="AT52" s="115"/>
      <c r="AU52" s="115"/>
      <c r="AV52" s="1868"/>
    </row>
    <row r="53" spans="1:48" s="457" customFormat="1" ht="15.75" hidden="1" thickBot="1">
      <c r="A53" s="95">
        <v>52</v>
      </c>
      <c r="B53" s="96" t="s">
        <v>75</v>
      </c>
      <c r="C53" s="97" t="s">
        <v>91</v>
      </c>
      <c r="D53" s="97">
        <v>5</v>
      </c>
      <c r="E53" s="97" t="s">
        <v>42</v>
      </c>
      <c r="F53" s="1168">
        <v>78.540000000000006</v>
      </c>
      <c r="G53" s="1167">
        <v>15.7</v>
      </c>
      <c r="H53" s="1167"/>
      <c r="I53" s="1167"/>
      <c r="J53" s="121">
        <f t="shared" si="4"/>
        <v>83.25</v>
      </c>
      <c r="K53" s="372">
        <v>1</v>
      </c>
      <c r="L53" s="95">
        <v>-2</v>
      </c>
      <c r="M53" s="95" t="s">
        <v>17329</v>
      </c>
      <c r="N53" s="95">
        <v>-2</v>
      </c>
      <c r="O53" s="95" t="s">
        <v>258</v>
      </c>
      <c r="P53" s="100">
        <v>425000</v>
      </c>
      <c r="Q53" s="115">
        <f t="shared" si="12"/>
        <v>408000</v>
      </c>
      <c r="R53" s="100">
        <v>425000</v>
      </c>
      <c r="S53" s="101">
        <f t="shared" si="0"/>
        <v>-4.0000000000000036E-2</v>
      </c>
      <c r="T53" s="102">
        <f t="shared" si="8"/>
        <v>5105.1051051051054</v>
      </c>
      <c r="U53" s="102">
        <f t="shared" si="9"/>
        <v>4900.9009009009005</v>
      </c>
      <c r="V53" s="102">
        <f t="shared" si="10"/>
        <v>5105.1051051051054</v>
      </c>
      <c r="W53" s="102"/>
      <c r="X53" s="554">
        <v>45797</v>
      </c>
      <c r="Y53" s="1494">
        <v>45809</v>
      </c>
      <c r="Z53" s="1495">
        <f>5000+80000</f>
        <v>85000</v>
      </c>
      <c r="AA53" s="1495"/>
      <c r="AB53" s="1496"/>
      <c r="AC53" s="1495"/>
      <c r="AD53" s="1496"/>
      <c r="AE53" s="602">
        <v>340000</v>
      </c>
      <c r="AF53" s="275" t="s">
        <v>222</v>
      </c>
      <c r="AG53" s="95"/>
      <c r="AH53" s="95"/>
      <c r="AI53" s="306"/>
      <c r="AJ53" s="306"/>
      <c r="AK53" s="306"/>
      <c r="AL53" s="306"/>
      <c r="AM53" s="95" t="s">
        <v>17985</v>
      </c>
      <c r="AN53" s="1497" t="s">
        <v>563</v>
      </c>
      <c r="AO53" s="330" t="s">
        <v>17982</v>
      </c>
      <c r="AP53" s="1612" t="s">
        <v>17986</v>
      </c>
      <c r="AQ53" s="95"/>
      <c r="AR53" s="1497"/>
      <c r="AS53" s="1497"/>
      <c r="AT53" s="115"/>
      <c r="AU53" s="115"/>
      <c r="AV53" s="1868"/>
    </row>
    <row r="54" spans="1:48" s="457" customFormat="1" ht="15" hidden="1">
      <c r="A54" s="95">
        <v>53</v>
      </c>
      <c r="B54" s="96" t="s">
        <v>76</v>
      </c>
      <c r="C54" s="97" t="s">
        <v>91</v>
      </c>
      <c r="D54" s="97">
        <v>5</v>
      </c>
      <c r="E54" s="97" t="s">
        <v>42</v>
      </c>
      <c r="F54" s="1173">
        <v>92.23</v>
      </c>
      <c r="G54" s="1167">
        <v>15.69</v>
      </c>
      <c r="H54" s="1167"/>
      <c r="I54" s="1167"/>
      <c r="J54" s="121">
        <f t="shared" si="4"/>
        <v>96.936999999999998</v>
      </c>
      <c r="K54" s="370">
        <v>1</v>
      </c>
      <c r="L54" s="98">
        <v>-1</v>
      </c>
      <c r="M54" s="95" t="s">
        <v>17329</v>
      </c>
      <c r="N54" s="95">
        <v>-1</v>
      </c>
      <c r="O54" s="115" t="s">
        <v>258</v>
      </c>
      <c r="P54" s="100">
        <v>432000</v>
      </c>
      <c r="Q54" s="115">
        <f t="shared" si="12"/>
        <v>432000</v>
      </c>
      <c r="R54" s="100">
        <v>450000</v>
      </c>
      <c r="S54" s="101">
        <f t="shared" si="0"/>
        <v>-4.0000000000000036E-2</v>
      </c>
      <c r="T54" s="102">
        <f t="shared" si="8"/>
        <v>4456.5026769963997</v>
      </c>
      <c r="U54" s="102">
        <f t="shared" si="9"/>
        <v>4456.5026769963997</v>
      </c>
      <c r="V54" s="102">
        <f t="shared" si="10"/>
        <v>4642.1902885379168</v>
      </c>
      <c r="W54" s="102"/>
      <c r="X54" s="554">
        <v>45877</v>
      </c>
      <c r="Y54" s="103">
        <v>45898</v>
      </c>
      <c r="Z54" s="313">
        <f>5000+31400</f>
        <v>36400</v>
      </c>
      <c r="AA54" s="313">
        <v>50000</v>
      </c>
      <c r="AB54" s="103"/>
      <c r="AC54" s="313"/>
      <c r="AD54" s="103"/>
      <c r="AE54" s="313">
        <v>345600</v>
      </c>
      <c r="AF54" s="95" t="s">
        <v>17189</v>
      </c>
      <c r="AG54" s="95"/>
      <c r="AH54" s="306"/>
      <c r="AI54" s="306"/>
      <c r="AJ54" s="306"/>
      <c r="AK54" s="306"/>
      <c r="AL54" s="95"/>
      <c r="AM54" s="104" t="s">
        <v>18077</v>
      </c>
      <c r="AN54" s="104" t="s">
        <v>17633</v>
      </c>
      <c r="AO54" s="104" t="s">
        <v>17982</v>
      </c>
      <c r="AP54" s="104"/>
      <c r="AQ54" s="104"/>
      <c r="AR54" s="104"/>
      <c r="AS54" s="104"/>
      <c r="AT54" s="115"/>
      <c r="AU54" s="115"/>
      <c r="AV54" s="1868"/>
    </row>
    <row r="55" spans="1:48" s="457" customFormat="1" ht="15" hidden="1">
      <c r="A55" s="95">
        <v>54</v>
      </c>
      <c r="B55" s="96" t="s">
        <v>77</v>
      </c>
      <c r="C55" s="97" t="s">
        <v>91</v>
      </c>
      <c r="D55" s="97">
        <v>5</v>
      </c>
      <c r="E55" s="97" t="s">
        <v>42</v>
      </c>
      <c r="F55" s="1166">
        <v>92.23</v>
      </c>
      <c r="G55" s="1167">
        <v>15.69</v>
      </c>
      <c r="H55" s="1167"/>
      <c r="I55" s="1167"/>
      <c r="J55" s="121">
        <f t="shared" si="4"/>
        <v>96.936999999999998</v>
      </c>
      <c r="K55" s="371">
        <v>1</v>
      </c>
      <c r="L55" s="95">
        <v>-1</v>
      </c>
      <c r="M55" s="95" t="s">
        <v>17329</v>
      </c>
      <c r="N55" s="95">
        <v>-1</v>
      </c>
      <c r="O55" s="95" t="s">
        <v>258</v>
      </c>
      <c r="P55" s="115">
        <v>436800</v>
      </c>
      <c r="Q55" s="115">
        <f t="shared" si="12"/>
        <v>436800</v>
      </c>
      <c r="R55" s="100">
        <v>455000</v>
      </c>
      <c r="S55" s="101">
        <f t="shared" si="0"/>
        <v>-4.0000000000000036E-2</v>
      </c>
      <c r="T55" s="102">
        <f t="shared" si="8"/>
        <v>4506.019373407471</v>
      </c>
      <c r="U55" s="102">
        <f t="shared" si="9"/>
        <v>4506.019373407471</v>
      </c>
      <c r="V55" s="102">
        <f t="shared" si="10"/>
        <v>4693.7701806327823</v>
      </c>
      <c r="W55" s="102"/>
      <c r="X55" s="554">
        <v>45679</v>
      </c>
      <c r="Y55" s="103">
        <v>45701</v>
      </c>
      <c r="Z55" s="313">
        <f>10000+77360</f>
        <v>87360</v>
      </c>
      <c r="AA55" s="313"/>
      <c r="AB55" s="103"/>
      <c r="AC55" s="313"/>
      <c r="AD55" s="103"/>
      <c r="AE55" s="313">
        <v>349440</v>
      </c>
      <c r="AF55" s="95" t="s">
        <v>222</v>
      </c>
      <c r="AG55" s="95"/>
      <c r="AH55" s="306"/>
      <c r="AI55" s="306"/>
      <c r="AJ55" s="306"/>
      <c r="AK55" s="306"/>
      <c r="AL55" s="306"/>
      <c r="AM55" s="104" t="s">
        <v>17841</v>
      </c>
      <c r="AN55" s="104" t="s">
        <v>265</v>
      </c>
      <c r="AO55" s="104" t="s">
        <v>17981</v>
      </c>
      <c r="AP55" s="1616" t="s">
        <v>17975</v>
      </c>
      <c r="AQ55" s="104"/>
      <c r="AR55" s="104"/>
      <c r="AS55" s="104"/>
      <c r="AT55" s="115"/>
      <c r="AU55" s="115"/>
      <c r="AV55" s="1868"/>
    </row>
    <row r="56" spans="1:48" s="457" customFormat="1" ht="15" hidden="1">
      <c r="A56" s="95">
        <v>55</v>
      </c>
      <c r="B56" s="96" t="s">
        <v>78</v>
      </c>
      <c r="C56" s="97" t="s">
        <v>91</v>
      </c>
      <c r="D56" s="97">
        <v>5</v>
      </c>
      <c r="E56" s="97" t="s">
        <v>42</v>
      </c>
      <c r="F56" s="1166">
        <v>78.540000000000006</v>
      </c>
      <c r="G56" s="1167">
        <v>19.059999999999999</v>
      </c>
      <c r="H56" s="1167"/>
      <c r="I56" s="1167"/>
      <c r="J56" s="121">
        <f t="shared" si="4"/>
        <v>84.25800000000001</v>
      </c>
      <c r="K56" s="371">
        <v>1</v>
      </c>
      <c r="L56" s="95">
        <v>-1</v>
      </c>
      <c r="M56" s="95" t="s">
        <v>17329</v>
      </c>
      <c r="N56" s="95">
        <v>-1</v>
      </c>
      <c r="O56" s="95" t="s">
        <v>258</v>
      </c>
      <c r="P56" s="115">
        <v>412800</v>
      </c>
      <c r="Q56" s="115">
        <f>0.93*R56</f>
        <v>399900</v>
      </c>
      <c r="R56" s="100">
        <v>430000</v>
      </c>
      <c r="S56" s="101">
        <f t="shared" si="0"/>
        <v>-6.9999999999999951E-2</v>
      </c>
      <c r="T56" s="102">
        <f t="shared" si="8"/>
        <v>4899.2380545467486</v>
      </c>
      <c r="U56" s="102">
        <f t="shared" si="9"/>
        <v>4746.1368653421632</v>
      </c>
      <c r="V56" s="102">
        <f t="shared" si="10"/>
        <v>5103.3729734861963</v>
      </c>
      <c r="W56" s="102"/>
      <c r="X56" s="554"/>
      <c r="Y56" s="103">
        <v>45744</v>
      </c>
      <c r="Z56" s="313">
        <f>5000+77560</f>
        <v>82560</v>
      </c>
      <c r="AA56" s="313"/>
      <c r="AB56" s="132"/>
      <c r="AC56" s="313"/>
      <c r="AD56" s="132"/>
      <c r="AE56" s="313">
        <v>330240</v>
      </c>
      <c r="AF56" s="95" t="s">
        <v>17189</v>
      </c>
      <c r="AG56" s="95"/>
      <c r="AH56" s="306"/>
      <c r="AI56" s="306"/>
      <c r="AJ56" s="306"/>
      <c r="AK56" s="306"/>
      <c r="AL56" s="95"/>
      <c r="AM56" s="104" t="s">
        <v>17875</v>
      </c>
      <c r="AN56" s="104" t="s">
        <v>265</v>
      </c>
      <c r="AO56" s="104" t="s">
        <v>17981</v>
      </c>
      <c r="AP56" s="1616" t="s">
        <v>17976</v>
      </c>
      <c r="AQ56" s="104"/>
      <c r="AR56" s="104"/>
      <c r="AS56" s="104"/>
      <c r="AT56" s="115"/>
      <c r="AU56" s="115"/>
      <c r="AV56" s="1868"/>
    </row>
    <row r="57" spans="1:48" s="457" customFormat="1" ht="15" hidden="1">
      <c r="A57" s="95">
        <v>56</v>
      </c>
      <c r="B57" s="96" t="s">
        <v>79</v>
      </c>
      <c r="C57" s="97" t="s">
        <v>89</v>
      </c>
      <c r="D57" s="97">
        <v>5</v>
      </c>
      <c r="E57" s="97" t="s">
        <v>17608</v>
      </c>
      <c r="F57" s="1166">
        <v>128.88999999999999</v>
      </c>
      <c r="G57" s="1167">
        <v>21.79</v>
      </c>
      <c r="H57" s="1167"/>
      <c r="I57" s="1167"/>
      <c r="J57" s="121">
        <f t="shared" si="4"/>
        <v>135.42699999999999</v>
      </c>
      <c r="K57" s="371">
        <v>2</v>
      </c>
      <c r="L57" s="98">
        <v>-1</v>
      </c>
      <c r="M57" s="95" t="s">
        <v>17335</v>
      </c>
      <c r="N57" s="95"/>
      <c r="O57" s="95" t="s">
        <v>258</v>
      </c>
      <c r="P57" s="115">
        <v>748800</v>
      </c>
      <c r="Q57" s="115">
        <f>0.96*R57</f>
        <v>748800</v>
      </c>
      <c r="R57" s="100">
        <v>780000</v>
      </c>
      <c r="S57" s="101">
        <f t="shared" si="0"/>
        <v>-4.0000000000000036E-2</v>
      </c>
      <c r="T57" s="102">
        <f t="shared" si="8"/>
        <v>5529.1780811802673</v>
      </c>
      <c r="U57" s="102">
        <f t="shared" si="9"/>
        <v>5529.1780811802673</v>
      </c>
      <c r="V57" s="102">
        <f t="shared" si="10"/>
        <v>5759.5605012294445</v>
      </c>
      <c r="W57" s="102"/>
      <c r="X57" s="554">
        <v>45779</v>
      </c>
      <c r="Y57" s="103">
        <v>45853</v>
      </c>
      <c r="Z57" s="325">
        <f>5000+144760</f>
        <v>149760</v>
      </c>
      <c r="AA57" s="313"/>
      <c r="AB57" s="103"/>
      <c r="AC57" s="313"/>
      <c r="AD57" s="103"/>
      <c r="AE57" s="313">
        <f>80%*P57</f>
        <v>599040</v>
      </c>
      <c r="AF57" s="95" t="s">
        <v>222</v>
      </c>
      <c r="AG57" s="95"/>
      <c r="AH57" s="306"/>
      <c r="AI57" s="306"/>
      <c r="AJ57" s="306"/>
      <c r="AK57" s="306"/>
      <c r="AL57" s="306"/>
      <c r="AM57" s="104" t="s">
        <v>17925</v>
      </c>
      <c r="AN57" s="104" t="s">
        <v>17926</v>
      </c>
      <c r="AO57" s="330" t="s">
        <v>17982</v>
      </c>
      <c r="AP57" s="1612" t="s">
        <v>17988</v>
      </c>
      <c r="AQ57" s="104"/>
      <c r="AR57" s="104"/>
      <c r="AS57" s="104"/>
      <c r="AT57" s="115"/>
      <c r="AU57" s="115"/>
      <c r="AV57" s="1868"/>
    </row>
    <row r="58" spans="1:48" s="457" customFormat="1" ht="15" hidden="1">
      <c r="A58" s="95">
        <v>57</v>
      </c>
      <c r="B58" s="96" t="s">
        <v>80</v>
      </c>
      <c r="C58" s="97" t="s">
        <v>213</v>
      </c>
      <c r="D58" s="97">
        <v>6</v>
      </c>
      <c r="E58" s="97" t="s">
        <v>17616</v>
      </c>
      <c r="F58" s="1166">
        <v>244.85</v>
      </c>
      <c r="G58" s="1167">
        <v>21.79</v>
      </c>
      <c r="H58" s="1167">
        <v>68.790000000000006</v>
      </c>
      <c r="I58" s="1167"/>
      <c r="J58" s="121">
        <f>F58+0.5*G58+0.5*H58+0.5*I58</f>
        <v>290.14</v>
      </c>
      <c r="K58" s="371">
        <v>4</v>
      </c>
      <c r="L58" s="95">
        <v>-1</v>
      </c>
      <c r="M58" s="95" t="s">
        <v>17333</v>
      </c>
      <c r="N58" s="95"/>
      <c r="O58" s="95" t="s">
        <v>258</v>
      </c>
      <c r="P58" s="100">
        <v>1900000</v>
      </c>
      <c r="Q58" s="115">
        <f>0.96*R58</f>
        <v>1968000</v>
      </c>
      <c r="R58" s="100">
        <v>2050000</v>
      </c>
      <c r="S58" s="101">
        <f t="shared" si="0"/>
        <v>-4.0000000000000036E-2</v>
      </c>
      <c r="T58" s="102">
        <f t="shared" si="8"/>
        <v>6548.5627628041639</v>
      </c>
      <c r="U58" s="102">
        <f t="shared" si="9"/>
        <v>6782.9323774729446</v>
      </c>
      <c r="V58" s="102">
        <f t="shared" si="10"/>
        <v>7065.5545598676508</v>
      </c>
      <c r="W58" s="102"/>
      <c r="X58" s="554">
        <v>45743</v>
      </c>
      <c r="Y58" s="113">
        <v>45785</v>
      </c>
      <c r="Z58" s="602">
        <f>5000+280000</f>
        <v>285000</v>
      </c>
      <c r="AA58" s="325"/>
      <c r="AB58" s="113"/>
      <c r="AC58" s="325"/>
      <c r="AD58" s="112"/>
      <c r="AE58" s="325">
        <v>1615000</v>
      </c>
      <c r="AF58" s="95" t="s">
        <v>17189</v>
      </c>
      <c r="AG58" s="95"/>
      <c r="AH58" s="306"/>
      <c r="AI58" s="306"/>
      <c r="AJ58" s="306"/>
      <c r="AK58" s="306"/>
      <c r="AL58" s="95"/>
      <c r="AM58" s="112" t="s">
        <v>17992</v>
      </c>
      <c r="AN58" s="112" t="s">
        <v>265</v>
      </c>
      <c r="AO58" s="104" t="s">
        <v>17981</v>
      </c>
      <c r="AP58" s="1428" t="s">
        <v>17993</v>
      </c>
      <c r="AQ58" s="112"/>
      <c r="AR58" s="112"/>
      <c r="AS58" s="112"/>
      <c r="AT58" s="115"/>
      <c r="AU58" s="115"/>
      <c r="AV58" s="1868"/>
    </row>
    <row r="59" spans="1:48" s="457" customFormat="1" ht="15" hidden="1">
      <c r="A59" s="95">
        <v>58</v>
      </c>
      <c r="B59" s="96" t="s">
        <v>81</v>
      </c>
      <c r="C59" s="97" t="s">
        <v>91</v>
      </c>
      <c r="D59" s="97">
        <v>6</v>
      </c>
      <c r="E59" s="97" t="s">
        <v>42</v>
      </c>
      <c r="F59" s="1166">
        <v>116.13</v>
      </c>
      <c r="G59" s="1167">
        <v>19.07</v>
      </c>
      <c r="H59" s="1167"/>
      <c r="I59" s="1167"/>
      <c r="J59" s="121">
        <f t="shared" si="4"/>
        <v>121.851</v>
      </c>
      <c r="K59" s="371">
        <v>2</v>
      </c>
      <c r="L59" s="98">
        <v>-1</v>
      </c>
      <c r="M59" s="95" t="s">
        <v>17335</v>
      </c>
      <c r="N59" s="95"/>
      <c r="O59" s="95" t="s">
        <v>258</v>
      </c>
      <c r="P59" s="100">
        <v>539400</v>
      </c>
      <c r="Q59" s="115">
        <f>0.93*R59</f>
        <v>539400</v>
      </c>
      <c r="R59" s="100">
        <v>580000</v>
      </c>
      <c r="S59" s="101">
        <f t="shared" si="0"/>
        <v>-6.9999999999999951E-2</v>
      </c>
      <c r="T59" s="102">
        <f t="shared" si="8"/>
        <v>4426.7178767511141</v>
      </c>
      <c r="U59" s="102">
        <f t="shared" si="9"/>
        <v>4426.7178767511141</v>
      </c>
      <c r="V59" s="102">
        <f t="shared" si="10"/>
        <v>4759.9116954313058</v>
      </c>
      <c r="W59" s="102"/>
      <c r="X59" s="554">
        <v>45553</v>
      </c>
      <c r="Y59" s="103">
        <v>45555</v>
      </c>
      <c r="Z59" s="313">
        <f>20%*P59</f>
        <v>107880</v>
      </c>
      <c r="AA59" s="313"/>
      <c r="AB59" s="103"/>
      <c r="AC59" s="313"/>
      <c r="AD59" s="103"/>
      <c r="AE59" s="313">
        <f>80%*P59</f>
        <v>431520</v>
      </c>
      <c r="AF59" s="95" t="s">
        <v>17189</v>
      </c>
      <c r="AG59" s="95"/>
      <c r="AH59" s="306"/>
      <c r="AI59" s="306"/>
      <c r="AJ59" s="306"/>
      <c r="AK59" s="306"/>
      <c r="AL59" s="95"/>
      <c r="AM59" s="104" t="s">
        <v>17639</v>
      </c>
      <c r="AN59" s="112" t="s">
        <v>265</v>
      </c>
      <c r="AO59" s="104" t="s">
        <v>17981</v>
      </c>
      <c r="AP59" s="1616" t="s">
        <v>17977</v>
      </c>
      <c r="AQ59" s="104"/>
      <c r="AR59" s="104"/>
      <c r="AS59" s="104"/>
      <c r="AT59" s="115"/>
      <c r="AU59" s="115"/>
      <c r="AV59" s="1868"/>
    </row>
    <row r="60" spans="1:48" s="457" customFormat="1" ht="15" hidden="1">
      <c r="A60" s="95">
        <v>59</v>
      </c>
      <c r="B60" s="96" t="s">
        <v>82</v>
      </c>
      <c r="C60" s="97" t="s">
        <v>89</v>
      </c>
      <c r="D60" s="97">
        <v>6</v>
      </c>
      <c r="E60" s="97" t="s">
        <v>17617</v>
      </c>
      <c r="F60" s="1166">
        <v>149.62</v>
      </c>
      <c r="G60" s="1167">
        <v>15.69</v>
      </c>
      <c r="H60" s="1167">
        <v>75.41</v>
      </c>
      <c r="I60" s="1167"/>
      <c r="J60" s="121">
        <f t="shared" si="4"/>
        <v>169.40899999999999</v>
      </c>
      <c r="K60" s="371">
        <v>3</v>
      </c>
      <c r="L60" s="98">
        <v>-1</v>
      </c>
      <c r="M60" s="95" t="s">
        <v>17334</v>
      </c>
      <c r="N60" s="95"/>
      <c r="O60" s="95" t="s">
        <v>258</v>
      </c>
      <c r="P60" s="100">
        <v>864900</v>
      </c>
      <c r="Q60" s="115">
        <f>0.96*R60</f>
        <v>892800</v>
      </c>
      <c r="R60" s="100">
        <v>930000</v>
      </c>
      <c r="S60" s="101">
        <f t="shared" si="0"/>
        <v>-4.0000000000000036E-2</v>
      </c>
      <c r="T60" s="102">
        <f t="shared" si="8"/>
        <v>5105.3958172234061</v>
      </c>
      <c r="U60" s="102">
        <f t="shared" si="9"/>
        <v>5270.0860048757741</v>
      </c>
      <c r="V60" s="102">
        <f t="shared" si="10"/>
        <v>5489.6729217455986</v>
      </c>
      <c r="W60" s="102"/>
      <c r="X60" s="554">
        <v>45824</v>
      </c>
      <c r="Y60" s="305">
        <v>45869</v>
      </c>
      <c r="Z60" s="327">
        <f>5000+254470</f>
        <v>259470</v>
      </c>
      <c r="AA60" s="327"/>
      <c r="AB60" s="305"/>
      <c r="AC60" s="327"/>
      <c r="AD60" s="305"/>
      <c r="AE60" s="327">
        <f>70%*P60</f>
        <v>605430</v>
      </c>
      <c r="AF60" s="95" t="s">
        <v>17189</v>
      </c>
      <c r="AG60" s="95"/>
      <c r="AH60" s="306"/>
      <c r="AI60" s="306"/>
      <c r="AJ60" s="306"/>
      <c r="AK60" s="306"/>
      <c r="AL60" s="306"/>
      <c r="AM60" s="104" t="s">
        <v>18065</v>
      </c>
      <c r="AN60" s="330" t="s">
        <v>18066</v>
      </c>
      <c r="AO60" s="330" t="s">
        <v>17981</v>
      </c>
      <c r="AP60" s="330"/>
      <c r="AQ60" s="330"/>
      <c r="AR60" s="134"/>
      <c r="AS60" s="134"/>
      <c r="AT60" s="115"/>
      <c r="AU60" s="115"/>
      <c r="AV60" s="1868"/>
    </row>
    <row r="61" spans="1:48" s="457" customFormat="1" ht="15" hidden="1">
      <c r="A61" s="95">
        <v>60</v>
      </c>
      <c r="B61" s="96" t="s">
        <v>83</v>
      </c>
      <c r="C61" s="97" t="s">
        <v>89</v>
      </c>
      <c r="D61" s="97">
        <v>6</v>
      </c>
      <c r="E61" s="97" t="s">
        <v>17617</v>
      </c>
      <c r="F61" s="1166">
        <v>141.54</v>
      </c>
      <c r="G61" s="1167">
        <v>15.69</v>
      </c>
      <c r="H61" s="1167">
        <v>50.52</v>
      </c>
      <c r="I61" s="1167"/>
      <c r="J61" s="121">
        <f t="shared" si="4"/>
        <v>156.351</v>
      </c>
      <c r="K61" s="371">
        <v>3</v>
      </c>
      <c r="L61" s="95">
        <v>-1</v>
      </c>
      <c r="M61" s="95" t="s">
        <v>17334</v>
      </c>
      <c r="N61" s="95"/>
      <c r="O61" s="95" t="s">
        <v>258</v>
      </c>
      <c r="P61" s="100">
        <v>827700</v>
      </c>
      <c r="Q61" s="115">
        <f>0.93*R61</f>
        <v>827700</v>
      </c>
      <c r="R61" s="100">
        <v>890000</v>
      </c>
      <c r="S61" s="101">
        <f t="shared" si="0"/>
        <v>-6.9999999999999951E-2</v>
      </c>
      <c r="T61" s="102">
        <f t="shared" si="8"/>
        <v>5293.8580501563792</v>
      </c>
      <c r="U61" s="102">
        <f t="shared" si="9"/>
        <v>5293.8580501563792</v>
      </c>
      <c r="V61" s="102">
        <f t="shared" si="10"/>
        <v>5692.3204840391172</v>
      </c>
      <c r="W61" s="102"/>
      <c r="X61" s="554"/>
      <c r="Y61" s="103">
        <v>45554</v>
      </c>
      <c r="Z61" s="313">
        <v>55000</v>
      </c>
      <c r="AA61" s="313">
        <v>27770</v>
      </c>
      <c r="AB61" s="103">
        <v>45597</v>
      </c>
      <c r="AC61" s="313"/>
      <c r="AD61" s="103"/>
      <c r="AE61" s="313">
        <v>744930</v>
      </c>
      <c r="AF61" s="95" t="s">
        <v>17189</v>
      </c>
      <c r="AG61" s="95"/>
      <c r="AH61" s="306"/>
      <c r="AI61" s="306"/>
      <c r="AJ61" s="306"/>
      <c r="AK61" s="306"/>
      <c r="AL61" s="95"/>
      <c r="AM61" s="104" t="s">
        <v>17641</v>
      </c>
      <c r="AN61" s="104" t="s">
        <v>265</v>
      </c>
      <c r="AO61" s="104" t="s">
        <v>17981</v>
      </c>
      <c r="AP61" s="1616" t="s">
        <v>17978</v>
      </c>
      <c r="AQ61" s="104"/>
      <c r="AR61" s="104"/>
      <c r="AS61" s="104"/>
      <c r="AT61" s="115"/>
      <c r="AU61" s="115"/>
      <c r="AV61" s="1868"/>
    </row>
    <row r="62" spans="1:48" s="457" customFormat="1" ht="15" hidden="1">
      <c r="A62" s="95">
        <v>61</v>
      </c>
      <c r="B62" s="96" t="s">
        <v>84</v>
      </c>
      <c r="C62" s="97" t="s">
        <v>91</v>
      </c>
      <c r="D62" s="97">
        <v>6</v>
      </c>
      <c r="E62" s="97" t="s">
        <v>42</v>
      </c>
      <c r="F62" s="1166">
        <v>80.42</v>
      </c>
      <c r="G62" s="1167">
        <v>15.69</v>
      </c>
      <c r="H62" s="1167"/>
      <c r="I62" s="1167"/>
      <c r="J62" s="121">
        <f t="shared" si="4"/>
        <v>85.126999999999995</v>
      </c>
      <c r="K62" s="371">
        <v>2</v>
      </c>
      <c r="L62" s="95">
        <v>-1</v>
      </c>
      <c r="M62" s="95" t="s">
        <v>17336</v>
      </c>
      <c r="N62" s="95"/>
      <c r="O62" s="95" t="s">
        <v>258</v>
      </c>
      <c r="P62" s="100">
        <v>427800</v>
      </c>
      <c r="Q62" s="115">
        <f>0.93*R62</f>
        <v>427800</v>
      </c>
      <c r="R62" s="100">
        <v>460000</v>
      </c>
      <c r="S62" s="101">
        <f t="shared" si="0"/>
        <v>-6.9999999999999951E-2</v>
      </c>
      <c r="T62" s="102">
        <f t="shared" si="8"/>
        <v>5025.4325889553256</v>
      </c>
      <c r="U62" s="102">
        <f t="shared" si="9"/>
        <v>5025.4325889553256</v>
      </c>
      <c r="V62" s="102">
        <f t="shared" si="10"/>
        <v>5403.6909558659418</v>
      </c>
      <c r="W62" s="102"/>
      <c r="X62" s="554">
        <v>45550</v>
      </c>
      <c r="Y62" s="103">
        <v>45555</v>
      </c>
      <c r="Z62" s="313">
        <v>85560</v>
      </c>
      <c r="AA62" s="313"/>
      <c r="AB62" s="103"/>
      <c r="AC62" s="313"/>
      <c r="AD62" s="103"/>
      <c r="AE62" s="313">
        <v>342240</v>
      </c>
      <c r="AF62" s="95" t="s">
        <v>17189</v>
      </c>
      <c r="AG62" s="95" t="s">
        <v>762</v>
      </c>
      <c r="AH62" s="306"/>
      <c r="AI62" s="306"/>
      <c r="AJ62" s="306"/>
      <c r="AK62" s="306"/>
      <c r="AL62" s="306"/>
      <c r="AM62" s="104" t="s">
        <v>18021</v>
      </c>
      <c r="AN62" s="104" t="s">
        <v>265</v>
      </c>
      <c r="AO62" s="104" t="s">
        <v>17981</v>
      </c>
      <c r="AP62" s="1616" t="s">
        <v>17977</v>
      </c>
      <c r="AQ62" s="104"/>
      <c r="AR62" s="104"/>
      <c r="AS62" s="104"/>
      <c r="AT62" s="115"/>
      <c r="AU62" s="115"/>
      <c r="AV62" s="1868"/>
    </row>
    <row r="63" spans="1:48" s="457" customFormat="1" ht="15" hidden="1">
      <c r="A63" s="95">
        <v>62</v>
      </c>
      <c r="B63" s="96" t="s">
        <v>85</v>
      </c>
      <c r="C63" s="97" t="s">
        <v>93</v>
      </c>
      <c r="D63" s="97">
        <v>6</v>
      </c>
      <c r="E63" s="97" t="s">
        <v>17618</v>
      </c>
      <c r="F63" s="1166">
        <v>161.68</v>
      </c>
      <c r="G63" s="1167">
        <v>16.8</v>
      </c>
      <c r="H63" s="1167">
        <v>140.26</v>
      </c>
      <c r="I63" s="1167"/>
      <c r="J63" s="121">
        <f t="shared" si="4"/>
        <v>194.77199999999999</v>
      </c>
      <c r="K63" s="371">
        <v>4</v>
      </c>
      <c r="L63" s="95">
        <v>-1</v>
      </c>
      <c r="M63" s="95" t="s">
        <v>17333</v>
      </c>
      <c r="N63" s="95"/>
      <c r="O63" s="95" t="s">
        <v>258</v>
      </c>
      <c r="P63" s="100">
        <v>1104000</v>
      </c>
      <c r="Q63" s="115">
        <f>R63*0.96</f>
        <v>1104000</v>
      </c>
      <c r="R63" s="100">
        <v>1150000</v>
      </c>
      <c r="S63" s="101">
        <f t="shared" si="0"/>
        <v>-4.0000000000000036E-2</v>
      </c>
      <c r="T63" s="102">
        <f t="shared" si="8"/>
        <v>5668.1658554617707</v>
      </c>
      <c r="U63" s="102">
        <f t="shared" si="9"/>
        <v>5668.1658554617707</v>
      </c>
      <c r="V63" s="102">
        <f t="shared" si="10"/>
        <v>5904.3394327726783</v>
      </c>
      <c r="W63" s="102"/>
      <c r="X63" s="554">
        <v>45550</v>
      </c>
      <c r="Y63" s="103">
        <v>45555</v>
      </c>
      <c r="Z63" s="313">
        <f>5000+105400</f>
        <v>110400</v>
      </c>
      <c r="AA63" s="313"/>
      <c r="AB63" s="103"/>
      <c r="AC63" s="313"/>
      <c r="AD63" s="103"/>
      <c r="AE63" s="313">
        <v>993600</v>
      </c>
      <c r="AF63" s="95" t="s">
        <v>17189</v>
      </c>
      <c r="AG63" s="95" t="s">
        <v>762</v>
      </c>
      <c r="AH63" s="306"/>
      <c r="AI63" s="306"/>
      <c r="AJ63" s="306"/>
      <c r="AK63" s="306"/>
      <c r="AL63" s="95"/>
      <c r="AM63" s="104" t="s">
        <v>17628</v>
      </c>
      <c r="AN63" s="104" t="s">
        <v>265</v>
      </c>
      <c r="AO63" s="104" t="s">
        <v>17981</v>
      </c>
      <c r="AP63" s="1616" t="s">
        <v>17979</v>
      </c>
      <c r="AQ63" s="104"/>
      <c r="AR63" s="104"/>
      <c r="AS63" s="104"/>
      <c r="AT63" s="115"/>
      <c r="AU63" s="115"/>
      <c r="AV63" s="1868"/>
    </row>
    <row r="64" spans="1:48" ht="13.5" hidden="1" thickBot="1">
      <c r="A64" s="2019" t="s">
        <v>298</v>
      </c>
      <c r="B64" s="2020"/>
      <c r="C64" s="2020"/>
      <c r="D64" s="2020"/>
      <c r="E64" s="2020"/>
      <c r="F64" s="235">
        <f>SUM(F2:F63)</f>
        <v>6370.2800000000007</v>
      </c>
      <c r="G64" s="235">
        <f>SUM(G2:G63)</f>
        <v>1196.21</v>
      </c>
      <c r="H64" s="235">
        <f>SUM(H2:H63)</f>
        <v>1044.1899999999998</v>
      </c>
      <c r="I64" s="235">
        <f>SUM(I2:I63)</f>
        <v>0</v>
      </c>
      <c r="J64" s="235">
        <f>SUM(J2:J63)</f>
        <v>6962.9759999999987</v>
      </c>
      <c r="K64" s="40"/>
      <c r="L64" s="40"/>
      <c r="M64" s="40"/>
      <c r="N64" s="40"/>
      <c r="O64" s="40"/>
      <c r="P64" s="41"/>
      <c r="Q64" s="40"/>
      <c r="R64" s="42"/>
      <c r="S64" s="40"/>
      <c r="T64" s="43"/>
      <c r="U64" s="43"/>
      <c r="V64" s="43"/>
      <c r="W64" s="43"/>
      <c r="X64" s="320"/>
      <c r="Y64" s="44"/>
      <c r="Z64" s="317"/>
      <c r="AA64" s="317"/>
      <c r="AB64" s="44"/>
      <c r="AC64" s="317"/>
      <c r="AD64" s="44"/>
      <c r="AE64" s="317"/>
      <c r="AF64" s="40"/>
      <c r="AG64" s="40"/>
      <c r="AH64" s="40"/>
      <c r="AI64" s="40"/>
      <c r="AJ64" s="40"/>
      <c r="AK64" s="40"/>
      <c r="AL64" s="40"/>
      <c r="AM64" s="45"/>
      <c r="AN64" s="45"/>
      <c r="AO64" s="45"/>
      <c r="AP64" s="45"/>
      <c r="AQ64" s="45"/>
      <c r="AR64" s="45"/>
      <c r="AS64" s="45"/>
      <c r="AT64" s="41"/>
      <c r="AU64" s="41"/>
    </row>
    <row r="65" spans="1:48" ht="13.5" thickBot="1">
      <c r="A65" s="40"/>
      <c r="B65" s="40"/>
      <c r="C65" s="40"/>
      <c r="D65" s="40"/>
      <c r="E65" s="40"/>
      <c r="F65" s="40"/>
      <c r="G65" s="40"/>
      <c r="H65" s="40"/>
      <c r="I65" s="40"/>
      <c r="J65" s="122"/>
      <c r="K65" s="40"/>
      <c r="L65" s="40"/>
      <c r="M65" s="40"/>
      <c r="N65" s="40"/>
      <c r="O65" s="40"/>
      <c r="P65" s="41"/>
      <c r="Q65" s="40"/>
      <c r="R65" s="41"/>
      <c r="S65" s="40"/>
      <c r="T65" s="40"/>
      <c r="U65" s="40"/>
      <c r="V65" s="40"/>
      <c r="W65" s="40"/>
      <c r="X65" s="320"/>
      <c r="Y65" s="320"/>
      <c r="Z65" s="43"/>
      <c r="AA65" s="43"/>
      <c r="AB65" s="40"/>
      <c r="AC65" s="43"/>
      <c r="AD65" s="40"/>
      <c r="AE65" s="43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1"/>
      <c r="AU65" s="41"/>
    </row>
    <row r="66" spans="1:48">
      <c r="A66" s="46"/>
      <c r="B66" s="47"/>
      <c r="C66" s="48" t="s">
        <v>139</v>
      </c>
      <c r="D66" s="48" t="s">
        <v>140</v>
      </c>
      <c r="E66" s="49" t="s">
        <v>17</v>
      </c>
      <c r="F66" s="107"/>
      <c r="G66" s="1915" t="s">
        <v>289</v>
      </c>
      <c r="H66" s="1916"/>
      <c r="I66" s="107"/>
      <c r="J66" s="122"/>
      <c r="K66" s="40"/>
      <c r="L66" s="40"/>
      <c r="M66" s="40"/>
      <c r="N66" s="40"/>
      <c r="O66" s="40"/>
      <c r="P66" s="41"/>
      <c r="Q66" s="40"/>
      <c r="R66" s="41"/>
      <c r="S66" s="40"/>
      <c r="T66" s="40"/>
      <c r="U66" s="40"/>
      <c r="V66" s="40"/>
      <c r="W66" s="40"/>
      <c r="X66" s="320"/>
      <c r="Y66" s="320"/>
      <c r="Z66" s="43"/>
      <c r="AA66" s="43"/>
      <c r="AB66" s="40"/>
      <c r="AC66" s="43"/>
      <c r="AD66" s="40"/>
      <c r="AE66" s="43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1"/>
      <c r="AU66" s="41"/>
    </row>
    <row r="67" spans="1:48">
      <c r="A67" s="1903" t="s">
        <v>258</v>
      </c>
      <c r="B67" s="1904"/>
      <c r="C67" s="50">
        <f>COUNTIF(O2:O63,A67)</f>
        <v>56</v>
      </c>
      <c r="D67" s="51">
        <f>SUMIF(O2:O63,A67,P2:P63)</f>
        <v>28253280</v>
      </c>
      <c r="E67" s="76">
        <f>AVERAGEIF(O2:O63,A67,T2:T63)</f>
        <v>4540.1533483859212</v>
      </c>
      <c r="F67" s="107"/>
      <c r="G67" s="225">
        <v>2024</v>
      </c>
      <c r="H67" s="227">
        <f>COUNTIFS(Y2:Y63,"&gt;="&amp;DATE(2024,1,1),Y2:Y63,"&lt;="&amp;DATE(2024,12,31))</f>
        <v>16</v>
      </c>
      <c r="I67" s="107"/>
      <c r="J67" s="2018" t="s">
        <v>17315</v>
      </c>
      <c r="K67" s="2018"/>
      <c r="L67" s="2018"/>
      <c r="M67" s="2018"/>
      <c r="N67" s="2018"/>
      <c r="O67" s="2018"/>
      <c r="P67" s="2018"/>
      <c r="Q67" s="2018"/>
      <c r="R67" s="2018"/>
      <c r="S67" s="2018"/>
      <c r="T67" s="2018"/>
      <c r="U67" s="2018"/>
      <c r="V67" s="40"/>
      <c r="W67" s="40"/>
      <c r="X67" s="320"/>
      <c r="Y67" s="320"/>
      <c r="Z67" s="43"/>
      <c r="AA67" s="43"/>
      <c r="AB67" s="40"/>
      <c r="AC67" s="43"/>
      <c r="AD67" s="40"/>
      <c r="AE67" s="43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1"/>
      <c r="AU67" s="41"/>
    </row>
    <row r="68" spans="1:48">
      <c r="A68" s="1905" t="s">
        <v>102</v>
      </c>
      <c r="B68" s="1906"/>
      <c r="C68" s="53">
        <f>COUNTIF(O2:O63,A68)</f>
        <v>0</v>
      </c>
      <c r="D68" s="54">
        <f>SUMIF(O2:O63,A68,Q2:Q63)</f>
        <v>0</v>
      </c>
      <c r="E68" s="78" t="e">
        <f>AVERAGEIF(O2:O63,A68,U2:U63)</f>
        <v>#DIV/0!</v>
      </c>
      <c r="F68" s="107"/>
      <c r="G68" s="225">
        <v>2025</v>
      </c>
      <c r="H68" s="227">
        <f>COUNTIFS(Y2:Y63,"&gt;="&amp;DATE(2025,1,1),Y2:Y63,"&lt;="&amp;DATE(2025,12,31))</f>
        <v>40</v>
      </c>
      <c r="I68" s="107"/>
      <c r="J68" s="691" t="s">
        <v>17303</v>
      </c>
      <c r="K68" s="691" t="s">
        <v>17304</v>
      </c>
      <c r="L68" s="692" t="s">
        <v>17305</v>
      </c>
      <c r="M68" s="693" t="s">
        <v>17306</v>
      </c>
      <c r="N68" s="693" t="s">
        <v>17307</v>
      </c>
      <c r="O68" s="693" t="s">
        <v>17308</v>
      </c>
      <c r="P68" s="693" t="s">
        <v>17309</v>
      </c>
      <c r="Q68" s="694" t="s">
        <v>17310</v>
      </c>
      <c r="R68" s="694" t="s">
        <v>17311</v>
      </c>
      <c r="S68" s="694" t="s">
        <v>17312</v>
      </c>
      <c r="T68" s="694" t="s">
        <v>17313</v>
      </c>
      <c r="U68" s="694" t="s">
        <v>17314</v>
      </c>
      <c r="V68" s="40"/>
      <c r="W68" s="40"/>
      <c r="X68" s="320"/>
      <c r="Y68" s="320"/>
      <c r="Z68" s="43"/>
      <c r="AA68" s="43"/>
      <c r="AB68" s="40"/>
      <c r="AC68" s="43"/>
      <c r="AD68" s="40"/>
      <c r="AE68" s="43"/>
      <c r="AF68" s="40"/>
      <c r="AG68" s="40"/>
      <c r="AH68" s="40"/>
      <c r="AI68" s="40"/>
      <c r="AJ68" s="40"/>
      <c r="AK68" s="40"/>
      <c r="AL68" s="40"/>
      <c r="AN68" s="40"/>
      <c r="AO68" s="40"/>
      <c r="AP68" s="40"/>
      <c r="AQ68" s="40"/>
      <c r="AR68" s="40"/>
      <c r="AS68" s="40"/>
      <c r="AT68" s="41"/>
      <c r="AU68" s="41"/>
    </row>
    <row r="69" spans="1:48" ht="13.5" thickBot="1">
      <c r="A69" s="1907" t="s">
        <v>138</v>
      </c>
      <c r="B69" s="1908"/>
      <c r="C69" s="56">
        <f>COUNTIF(O2:O63,"")</f>
        <v>6</v>
      </c>
      <c r="D69" s="57">
        <f>SUMIF(O2:O63,"",Q2:Q63)</f>
        <v>4248000</v>
      </c>
      <c r="E69" s="1643">
        <f>AVERAGEIF(O2:O63,"",U2:U63)</f>
        <v>4791.0307081308101</v>
      </c>
      <c r="F69" s="107"/>
      <c r="G69" s="226">
        <v>2026</v>
      </c>
      <c r="H69" s="216">
        <f>COUNTIFS(Y2:Y63,"&gt;="&amp;DATE(2026,1,1),Y2:Y63,"&lt;="&amp;DATE(2026,12,31))</f>
        <v>0</v>
      </c>
      <c r="I69" s="107"/>
      <c r="J69" s="695">
        <f>COUNTIFS(Y2:Y63,"&gt;="&amp;DATE(2024,1,1),Y2:Y63,"&lt;="&amp;DATE(2024,1,31))</f>
        <v>0</v>
      </c>
      <c r="K69" s="695">
        <f>COUNTIFS(Y2:Y63,"&gt;="&amp;DATE(2024,2,1),Y2:Y63,"&lt;="&amp;DATE(2024,2,31))</f>
        <v>0</v>
      </c>
      <c r="L69" s="695">
        <f>COUNTIFS(Y2:Y63,"&gt;="&amp;DATE(2024,3,1),Y2:Y63,"&lt;="&amp;DATE(2024,3,31))</f>
        <v>0</v>
      </c>
      <c r="M69" s="695">
        <f>COUNTIFS(Y2:Y63,"&gt;="&amp;DATE(2024,4,1),Y2:Y63,"&lt;="&amp;DATE(2024,4,31))</f>
        <v>0</v>
      </c>
      <c r="N69" s="695">
        <f>COUNTIFS(Y2:Y63,"&gt;="&amp;DATE(2024,5,1),Y2:Y63,"&lt;="&amp;DATE(2024,5,31))</f>
        <v>0</v>
      </c>
      <c r="O69" s="695">
        <f>COUNTIFS(Y2:Y63,"&gt;="&amp;DATE(2024,6,1),Y2:Y63,"&lt;="&amp;DATE(2024,6,31))</f>
        <v>0</v>
      </c>
      <c r="P69" s="695">
        <f>COUNTIFS(Y2:Y63,"&gt;="&amp;DATE(2024,7,1),Y2:Y63,"&lt;="&amp;DATE(2024,7,31))</f>
        <v>0</v>
      </c>
      <c r="Q69" s="695">
        <f>COUNTIFS(Y2:Y63,"&gt;="&amp;DATE(2024,8,1),Y2:Y63,"&lt;="&amp;DATE(2024,8,31))</f>
        <v>0</v>
      </c>
      <c r="R69" s="695">
        <f>COUNTIFS(Y2:Y63,"&gt;="&amp;DATE(2024,9,1),Y2:Y63,"&lt;="&amp;DATE(2024,9,31))</f>
        <v>5</v>
      </c>
      <c r="S69" s="695">
        <f>COUNTIFS(Y2:Y63,"&gt;="&amp;DATE(2024,10,1),Y2:Y63,"&lt;="&amp;DATE(2024,10,31))</f>
        <v>4</v>
      </c>
      <c r="T69" s="695">
        <f>COUNTIFS(Y2:Y63,"&gt;="&amp;DATE(2024,11,1),Y2:Y63,"&lt;="&amp;DATE(2024,11,31))</f>
        <v>6</v>
      </c>
      <c r="U69" s="695">
        <f>COUNTIFS(Y2:Y63,"&gt;="&amp;DATE(2024,12,1),Y2:Y63,"&lt;="&amp;DATE(2024,12,31))</f>
        <v>1</v>
      </c>
      <c r="V69" s="40"/>
      <c r="W69" s="40"/>
      <c r="X69" s="320"/>
      <c r="Y69" s="320"/>
      <c r="Z69" s="43"/>
      <c r="AA69" s="43"/>
      <c r="AB69" s="40"/>
      <c r="AC69" s="43"/>
      <c r="AD69" s="40"/>
      <c r="AE69" s="43"/>
      <c r="AF69" s="40"/>
      <c r="AG69" s="40"/>
      <c r="AH69" s="40"/>
      <c r="AI69" s="40"/>
      <c r="AJ69" s="40"/>
      <c r="AK69" s="40"/>
      <c r="AL69" s="40"/>
      <c r="AN69" s="40"/>
      <c r="AO69" s="40"/>
      <c r="AP69" s="40"/>
      <c r="AQ69" s="40"/>
      <c r="AR69" s="40"/>
      <c r="AS69" s="40"/>
      <c r="AT69" s="41"/>
      <c r="AU69" s="41"/>
    </row>
    <row r="70" spans="1:48" ht="13.5" thickBot="1">
      <c r="A70" s="1897" t="s">
        <v>210</v>
      </c>
      <c r="B70" s="1898"/>
      <c r="C70" s="59">
        <f>COUNTIF(O2:O63,A70)</f>
        <v>0</v>
      </c>
      <c r="D70" s="60">
        <f>SUMIF(O2:O63,A70,P2:P63)</f>
        <v>0</v>
      </c>
      <c r="E70" s="83" t="e">
        <f>AVERAGEIF(O2:O63,A70,T2:T63)</f>
        <v>#DIV/0!</v>
      </c>
      <c r="F70" s="107"/>
      <c r="G70" s="107"/>
      <c r="H70" s="107"/>
      <c r="I70" s="107"/>
      <c r="J70" s="2018" t="s">
        <v>17817</v>
      </c>
      <c r="K70" s="2018"/>
      <c r="L70" s="2018"/>
      <c r="M70" s="2018"/>
      <c r="N70" s="2018"/>
      <c r="O70" s="2018"/>
      <c r="P70" s="2018"/>
      <c r="Q70" s="2018"/>
      <c r="R70" s="2018"/>
      <c r="S70" s="2018"/>
      <c r="T70" s="2018"/>
      <c r="U70" s="2018"/>
      <c r="V70" s="40"/>
      <c r="W70" s="40"/>
      <c r="X70" s="320"/>
      <c r="Y70" s="320"/>
      <c r="Z70" s="43"/>
      <c r="AA70" s="43"/>
      <c r="AB70" s="40"/>
      <c r="AC70" s="43"/>
      <c r="AD70" s="40"/>
      <c r="AE70" s="43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1"/>
      <c r="AU70" s="41"/>
    </row>
    <row r="71" spans="1:48" ht="26.25" thickBot="1">
      <c r="A71" s="1895" t="s">
        <v>269</v>
      </c>
      <c r="B71" s="1896"/>
      <c r="C71" s="205">
        <f>SUBTOTAL(9,C67:C70)</f>
        <v>62</v>
      </c>
      <c r="D71" s="206">
        <f>SUM(D67:D70)</f>
        <v>32501280</v>
      </c>
      <c r="E71" s="207">
        <f>D71/J64</f>
        <v>4667.7282817002397</v>
      </c>
      <c r="F71" s="323"/>
      <c r="G71" s="308" t="s">
        <v>544</v>
      </c>
      <c r="H71" s="309">
        <f>C67/C71</f>
        <v>0.90322580645161288</v>
      </c>
      <c r="I71" s="107"/>
      <c r="J71" s="691" t="s">
        <v>17303</v>
      </c>
      <c r="K71" s="691" t="s">
        <v>17304</v>
      </c>
      <c r="L71" s="692" t="s">
        <v>17305</v>
      </c>
      <c r="M71" s="693" t="s">
        <v>17306</v>
      </c>
      <c r="N71" s="693" t="s">
        <v>17307</v>
      </c>
      <c r="O71" s="693" t="s">
        <v>17308</v>
      </c>
      <c r="P71" s="693" t="s">
        <v>17309</v>
      </c>
      <c r="Q71" s="694" t="s">
        <v>17310</v>
      </c>
      <c r="R71" s="694" t="s">
        <v>17311</v>
      </c>
      <c r="S71" s="694" t="s">
        <v>17312</v>
      </c>
      <c r="T71" s="694" t="s">
        <v>17313</v>
      </c>
      <c r="U71" s="694" t="s">
        <v>17314</v>
      </c>
      <c r="V71" s="40"/>
      <c r="W71" s="40"/>
      <c r="X71" s="320"/>
      <c r="Y71" s="320"/>
      <c r="Z71" s="43"/>
      <c r="AA71" s="43"/>
      <c r="AB71" s="40"/>
      <c r="AC71" s="43"/>
      <c r="AD71" s="40"/>
      <c r="AE71" s="43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1"/>
      <c r="AU71" s="41"/>
    </row>
    <row r="72" spans="1:48" ht="13.5" thickBot="1">
      <c r="A72" s="3"/>
      <c r="B72" s="3"/>
      <c r="C72" s="3"/>
      <c r="D72" s="3"/>
      <c r="E72" s="3"/>
      <c r="F72" s="107"/>
      <c r="G72" s="107"/>
      <c r="H72" s="107"/>
      <c r="I72" s="107"/>
      <c r="J72" s="695">
        <f>COUNTIFS(Y2:Y63,"&gt;="&amp;DATE(2025,1,1),Y2:Y63,"&lt;="&amp;DATE(2025,1,31))</f>
        <v>1</v>
      </c>
      <c r="K72" s="695">
        <f>COUNTIFS(Y2:Y63,"&gt;="&amp;DATE(2025,2,1),Y2:Y63,"&lt;="&amp;DATE(2025,2,28))</f>
        <v>2</v>
      </c>
      <c r="L72" s="695">
        <f>COUNTIFS(Y2:Y63,"&gt;="&amp;DATE(2025,3,1),Y2:Y63,"&lt;="&amp;DATE(2025,3,31))</f>
        <v>2</v>
      </c>
      <c r="M72" s="695">
        <f>COUNTIFS(Y2:Y63,"&gt;="&amp;DATE(2025,4,1),Y2:Y63,"&lt;="&amp;DATE(2025,4,30))</f>
        <v>2</v>
      </c>
      <c r="N72" s="695">
        <f>COUNTIFS(Y2:Y63,"&gt;="&amp;DATE(2025,5,1),Y2:Y63,"&lt;="&amp;DATE(2025,5,31))</f>
        <v>4</v>
      </c>
      <c r="O72" s="695">
        <f>COUNTIFS(Y2:Y63,"&gt;="&amp;DATE(2025,6,1),Y2:Y63,"&lt;="&amp;DATE(2025,6,30))</f>
        <v>7</v>
      </c>
      <c r="P72" s="695">
        <f>COUNTIFS(Y2:Y63,"&gt;="&amp;DATE(2025,7,1),Y2:Y63,"&lt;="&amp;DATE(2025,7,31))</f>
        <v>7</v>
      </c>
      <c r="Q72" s="695">
        <f>COUNTIFS(Y2:Y63,"&gt;="&amp;DATE(2025,8,1),Y2:Y63,"&lt;="&amp;DATE(2025,8,31))</f>
        <v>3</v>
      </c>
      <c r="R72" s="695">
        <f>COUNTIFS(Y2:Y63,"&gt;="&amp;DATE(2025,9,1),Y2:Y63,"&lt;="&amp;DATE(2025,9,30))</f>
        <v>5</v>
      </c>
      <c r="S72" s="695">
        <f>COUNTIFS(Y2:Y63,"&gt;="&amp;DATE(2025,10,1),Y2:Y63,"&lt;="&amp;DATE(2025,10,31))</f>
        <v>5</v>
      </c>
      <c r="T72" s="695">
        <f>COUNTIFS(Y2:Y63,"&gt;="&amp;DATE(2025,11,1),Y2:Y63,"&lt;="&amp;DATE(2025,11,30))</f>
        <v>2</v>
      </c>
      <c r="U72" s="695">
        <f>COUNTIFS(Y2:Y63,"&gt;="&amp;DATE(2025,12,1),Y2:Y63,"&lt;="&amp;DATE(2025,12,31))</f>
        <v>0</v>
      </c>
      <c r="V72" s="40"/>
      <c r="W72" s="40"/>
      <c r="X72" s="320"/>
      <c r="Y72" s="320"/>
      <c r="Z72" s="43"/>
      <c r="AA72" s="43"/>
      <c r="AB72" s="40"/>
      <c r="AC72" s="43"/>
      <c r="AD72" s="40"/>
      <c r="AE72" s="43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1"/>
      <c r="AU72" s="41"/>
    </row>
    <row r="73" spans="1:48" ht="13.5" thickBot="1">
      <c r="A73" s="1893" t="s">
        <v>139</v>
      </c>
      <c r="B73" s="1894"/>
      <c r="C73" s="62" t="s">
        <v>90</v>
      </c>
      <c r="D73" s="62" t="s">
        <v>91</v>
      </c>
      <c r="E73" s="62" t="s">
        <v>89</v>
      </c>
      <c r="F73" s="172" t="s">
        <v>93</v>
      </c>
      <c r="G73" s="172" t="s">
        <v>213</v>
      </c>
      <c r="H73" s="49" t="s">
        <v>141</v>
      </c>
      <c r="I73" s="40"/>
      <c r="J73" s="1465"/>
      <c r="K73" s="1465"/>
      <c r="L73" s="1465"/>
      <c r="M73" s="1465"/>
      <c r="N73" s="1465"/>
      <c r="O73" s="1465"/>
      <c r="P73" s="1465"/>
      <c r="Q73" s="1465"/>
      <c r="R73" s="1465"/>
      <c r="S73" s="1465"/>
      <c r="T73" s="1465"/>
      <c r="U73" s="1465"/>
      <c r="V73" s="40"/>
      <c r="W73" s="40"/>
      <c r="X73" s="40"/>
      <c r="Y73" s="320"/>
      <c r="Z73" s="320"/>
      <c r="AA73" s="43"/>
      <c r="AB73" s="43"/>
      <c r="AC73" s="40"/>
      <c r="AD73" s="43"/>
      <c r="AE73" s="40"/>
      <c r="AF73" s="43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1"/>
      <c r="AV73" s="1866"/>
    </row>
    <row r="74" spans="1:48">
      <c r="A74" s="1903" t="s">
        <v>258</v>
      </c>
      <c r="B74" s="1904"/>
      <c r="C74" s="63">
        <f>COUNTIFS(O2:O63,A74,C2:C63,C73)</f>
        <v>8</v>
      </c>
      <c r="D74" s="63">
        <f>COUNTIFS(O2:O63,A74,C2:C63,D73)</f>
        <v>38</v>
      </c>
      <c r="E74" s="63">
        <f>COUNTIFS(O2:O63,A74,C2:C63,E73)</f>
        <v>8</v>
      </c>
      <c r="F74" s="176">
        <f>COUNTIFS(O2:O63,A74,C2:C63,F73)</f>
        <v>1</v>
      </c>
      <c r="G74" s="176">
        <f>COUNTIFS(O2:O63,A74,C2:C63,G73)</f>
        <v>1</v>
      </c>
      <c r="H74" s="64">
        <f>SUM(C74:G74)</f>
        <v>56</v>
      </c>
      <c r="I74" s="40"/>
      <c r="J74" s="40"/>
      <c r="K74" s="40"/>
      <c r="L74" s="40"/>
      <c r="M74" s="40"/>
      <c r="N74" s="40"/>
      <c r="O74" s="40"/>
      <c r="P74" s="41"/>
      <c r="Q74" s="40"/>
      <c r="R74" s="40"/>
      <c r="S74" s="40"/>
      <c r="T74" s="40"/>
      <c r="U74" s="40"/>
      <c r="V74" s="40"/>
      <c r="W74" s="40"/>
      <c r="X74" s="40"/>
      <c r="Y74" s="320"/>
      <c r="Z74" s="320"/>
      <c r="AA74" s="43"/>
      <c r="AB74" s="43"/>
      <c r="AC74" s="40"/>
      <c r="AD74" s="43"/>
      <c r="AE74" s="40"/>
      <c r="AF74" s="43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1"/>
      <c r="AV74" s="1866"/>
    </row>
    <row r="75" spans="1:48" ht="13.5" thickBot="1">
      <c r="A75" s="1905" t="s">
        <v>102</v>
      </c>
      <c r="B75" s="1911"/>
      <c r="C75" s="65">
        <f>COUNTIFS(O2:O63,A75,C2:C63,C73)</f>
        <v>0</v>
      </c>
      <c r="D75" s="65">
        <f>COUNTIFS(O2:O63,A75,C2:C63,D73)</f>
        <v>0</v>
      </c>
      <c r="E75" s="65">
        <f>COUNTIFS(O2:O63,A75,C2:C63,E73)</f>
        <v>0</v>
      </c>
      <c r="F75" s="173">
        <f>COUNTIFS(O2:O63,A75,C2:C63,F73)</f>
        <v>0</v>
      </c>
      <c r="G75" s="173">
        <f>COUNTIFS(O2:O63,A75,C2:C63,G73)</f>
        <v>0</v>
      </c>
      <c r="H75" s="66">
        <f>SUM(C75:G75)</f>
        <v>0</v>
      </c>
      <c r="I75" s="40"/>
      <c r="J75" s="40"/>
      <c r="K75" s="40"/>
      <c r="L75" s="40"/>
      <c r="M75" s="40"/>
      <c r="N75" s="40"/>
      <c r="O75" s="40"/>
      <c r="P75" s="41"/>
      <c r="Q75" s="40"/>
      <c r="R75" s="40"/>
      <c r="S75" s="40"/>
      <c r="T75" s="40"/>
      <c r="U75" s="40"/>
      <c r="V75" s="40"/>
      <c r="W75" s="40"/>
      <c r="X75" s="40"/>
      <c r="Y75" s="320"/>
      <c r="Z75" s="320"/>
      <c r="AA75" s="43"/>
      <c r="AB75" s="43"/>
      <c r="AC75" s="40"/>
      <c r="AD75" s="43"/>
      <c r="AE75" s="40"/>
      <c r="AF75" s="43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1"/>
      <c r="AV75" s="1866"/>
    </row>
    <row r="76" spans="1:48" ht="13.5" thickBot="1">
      <c r="A76" s="1907" t="s">
        <v>138</v>
      </c>
      <c r="B76" s="1912"/>
      <c r="C76" s="67">
        <f>COUNTIFS(O2:O63,"",C2:C63,C73)</f>
        <v>0</v>
      </c>
      <c r="D76" s="67">
        <f>COUNTIFS(O2:O63,"",C2:C63,D73)</f>
        <v>1</v>
      </c>
      <c r="E76" s="67">
        <f>COUNTIFS(O2:O63,"",C2:C63,E73)</f>
        <v>5</v>
      </c>
      <c r="F76" s="174">
        <f>COUNTIFS(O2:O63,"",C2:C63,F73)</f>
        <v>0</v>
      </c>
      <c r="G76" s="174">
        <f>COUNTIFS(O2:O63,"",C2:C63,G73)</f>
        <v>0</v>
      </c>
      <c r="H76" s="68">
        <f>SUM(C76:G76)</f>
        <v>6</v>
      </c>
      <c r="I76" s="40"/>
      <c r="J76" s="1890" t="s">
        <v>17437</v>
      </c>
      <c r="K76" s="1891"/>
      <c r="L76" s="1891"/>
      <c r="M76" s="1892"/>
      <c r="N76" s="40"/>
      <c r="O76" s="1890" t="s">
        <v>17441</v>
      </c>
      <c r="P76" s="1891"/>
      <c r="Q76" s="1891"/>
      <c r="R76" s="1892"/>
      <c r="S76" s="40"/>
      <c r="T76" s="40"/>
      <c r="U76" s="40"/>
      <c r="V76" s="40"/>
      <c r="W76" s="40"/>
      <c r="X76" s="40"/>
      <c r="Y76" s="320"/>
      <c r="Z76" s="320"/>
      <c r="AA76" s="43"/>
      <c r="AB76" s="43"/>
      <c r="AC76" s="40"/>
      <c r="AD76" s="43"/>
      <c r="AE76" s="40"/>
      <c r="AF76" s="43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1"/>
      <c r="AV76" s="1866"/>
    </row>
    <row r="77" spans="1:48" ht="13.5" thickBot="1">
      <c r="A77" s="1913" t="s">
        <v>210</v>
      </c>
      <c r="B77" s="1914"/>
      <c r="C77" s="69">
        <f>COUNTIFS(O2:O63,A77,C2:C63,C73)</f>
        <v>0</v>
      </c>
      <c r="D77" s="69">
        <f>COUNTIFS(O2:O63,A77,C2:C63,D73)</f>
        <v>0</v>
      </c>
      <c r="E77" s="69">
        <f>COUNTIFS(O2:O63,A77,C2:C63,E73)</f>
        <v>0</v>
      </c>
      <c r="F77" s="175">
        <f>COUNTIFS(O2:O63,A77,C2:C63,F73)</f>
        <v>0</v>
      </c>
      <c r="G77" s="175">
        <f>COUNTIFS(O2:O63,A77,C2:C63,G73)</f>
        <v>0</v>
      </c>
      <c r="H77" s="605">
        <f>SUM(C77:G77)</f>
        <v>0</v>
      </c>
      <c r="I77" s="40"/>
      <c r="J77" s="1010"/>
      <c r="K77" s="1011" t="s">
        <v>17438</v>
      </c>
      <c r="L77" s="1011">
        <v>2024</v>
      </c>
      <c r="M77" s="1011" t="s">
        <v>17444</v>
      </c>
      <c r="N77" s="40"/>
      <c r="O77" s="1010"/>
      <c r="P77" s="1309" t="s">
        <v>17438</v>
      </c>
      <c r="Q77" s="1011">
        <v>2024</v>
      </c>
      <c r="R77" s="1013" t="s">
        <v>17444</v>
      </c>
      <c r="S77" s="40"/>
      <c r="T77" s="40"/>
      <c r="U77" s="40"/>
      <c r="V77" s="40"/>
      <c r="W77" s="40"/>
      <c r="X77" s="40"/>
      <c r="Y77" s="320"/>
      <c r="Z77" s="320"/>
      <c r="AA77" s="43"/>
      <c r="AB77" s="43"/>
      <c r="AC77" s="40"/>
      <c r="AD77" s="43"/>
      <c r="AE77" s="40"/>
      <c r="AF77" s="43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1"/>
      <c r="AV77" s="1866"/>
    </row>
    <row r="78" spans="1:48" ht="13.5" customHeight="1" thickBot="1">
      <c r="A78" s="1899" t="s">
        <v>141</v>
      </c>
      <c r="B78" s="1900"/>
      <c r="C78" s="72">
        <f t="shared" ref="C78:H78" si="13">SUM(C74:C77)</f>
        <v>8</v>
      </c>
      <c r="D78" s="72">
        <f t="shared" si="13"/>
        <v>39</v>
      </c>
      <c r="E78" s="72">
        <f t="shared" si="13"/>
        <v>13</v>
      </c>
      <c r="F78" s="72">
        <f t="shared" si="13"/>
        <v>1</v>
      </c>
      <c r="G78" s="72">
        <f t="shared" si="13"/>
        <v>1</v>
      </c>
      <c r="H78" s="73">
        <f t="shared" si="13"/>
        <v>62</v>
      </c>
      <c r="I78" s="40"/>
      <c r="J78" s="31" t="s">
        <v>17439</v>
      </c>
      <c r="K78" s="129" cm="1">
        <f t="array" ref="K78">COUNTIFS(O2:O63,CPCV,AF2:AF63,J78)</f>
        <v>0</v>
      </c>
      <c r="L78" s="129">
        <f>COUNTIFS(Y2:Y63,"&gt;="&amp;DATE(2024,1,1),Y2:Y63,"&lt;="&amp;DATE(2024,12,31),AF2:AF63,J78)</f>
        <v>0</v>
      </c>
      <c r="M78" s="343" t="e">
        <f>K78/(K78+K79+K80)</f>
        <v>#DIV/0!</v>
      </c>
      <c r="N78" s="40"/>
      <c r="O78" s="34" t="s">
        <v>265</v>
      </c>
      <c r="P78" s="1499">
        <f>COUNTIFS($O$2:$O$63,O63,$AN$2:$AN$63,O78)</f>
        <v>24</v>
      </c>
      <c r="Q78" s="1499">
        <f>COUNTIFS(Y2:Y63,"&gt;="&amp;DATE(2024,1,1),Y2:Y63,"&lt;="&amp;DATE(2024,12,31),AN2:AN63,O78)</f>
        <v>8</v>
      </c>
      <c r="R78" s="1014">
        <f>P78/($P$78+$P$79+$P$80+$P$81+$P$82+$P$83+$P$84)</f>
        <v>0.54545454545454541</v>
      </c>
      <c r="S78" s="40"/>
      <c r="T78" s="40"/>
      <c r="U78" s="40"/>
      <c r="V78" s="40"/>
      <c r="W78" s="40"/>
      <c r="X78" s="40"/>
      <c r="Y78" s="320"/>
      <c r="Z78" s="320"/>
      <c r="AA78" s="43"/>
      <c r="AB78" s="43"/>
      <c r="AC78" s="40"/>
      <c r="AD78" s="43"/>
      <c r="AE78" s="40"/>
      <c r="AF78" s="43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1"/>
      <c r="AV78" s="1866"/>
    </row>
    <row r="79" spans="1:48">
      <c r="A79" s="107"/>
      <c r="B79" s="107"/>
      <c r="C79" s="74"/>
      <c r="D79" s="74"/>
      <c r="E79" s="74"/>
      <c r="F79" s="74"/>
      <c r="G79" s="74"/>
      <c r="H79" s="74"/>
      <c r="I79" s="40"/>
      <c r="J79" s="665" t="s">
        <v>17440</v>
      </c>
      <c r="K79" s="129" cm="1">
        <f t="array" ref="K79">COUNTIFS(O2:O63,CPCV,AF2:AF63,J79)</f>
        <v>0</v>
      </c>
      <c r="L79" s="129">
        <f>COUNTIFS(Y2:Y63,"&gt;="&amp;DATE(2024,1,1),Y2:Y63,"&lt;="&amp;DATE(2024,12,31),AF2:AF63,J79)</f>
        <v>4</v>
      </c>
      <c r="M79" s="343" t="e">
        <f>K79/(K78+K79+K80)</f>
        <v>#DIV/0!</v>
      </c>
      <c r="N79" s="40"/>
      <c r="O79" s="34" t="s">
        <v>517</v>
      </c>
      <c r="P79" s="1499">
        <f>COUNTIFS($O$2:$O$63,O61,$AN$2:$AN$63,O79)</f>
        <v>5</v>
      </c>
      <c r="Q79" s="1499">
        <f>COUNTIFS(Y2:Y63,"&gt;="&amp;DATE(2024,1,1),Y2:Y63,"&lt;="&amp;DATE(2024,12,31),AN2:AN63,O79)</f>
        <v>4</v>
      </c>
      <c r="R79" s="1014">
        <f t="shared" ref="R79:R84" si="14">P79/($P$78+$P$79+$P$80+$P$81+$P$82+$P$83+$P$84)</f>
        <v>0.11363636363636363</v>
      </c>
      <c r="S79" s="40"/>
      <c r="T79" s="40"/>
      <c r="U79" s="40"/>
      <c r="V79" s="40"/>
      <c r="W79" s="40"/>
      <c r="X79" s="40"/>
      <c r="Y79" s="320"/>
      <c r="Z79" s="320"/>
      <c r="AA79" s="43"/>
      <c r="AB79" s="43"/>
      <c r="AC79" s="40"/>
      <c r="AD79" s="43"/>
      <c r="AE79" s="40"/>
      <c r="AF79" s="43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1"/>
      <c r="AV79" s="1866"/>
    </row>
    <row r="80" spans="1:48" ht="13.5" thickBot="1">
      <c r="A80" s="107"/>
      <c r="B80" s="107"/>
      <c r="C80" s="107"/>
      <c r="D80" s="107"/>
      <c r="E80" s="107"/>
      <c r="F80" s="107"/>
      <c r="G80" s="107"/>
      <c r="H80" s="40"/>
      <c r="I80" s="40"/>
      <c r="J80" s="665" t="s">
        <v>222</v>
      </c>
      <c r="K80" s="129" cm="1">
        <f t="array" ref="K80">COUNTIFS(O2:O63,CPCV,AF2:AF63,J80)</f>
        <v>0</v>
      </c>
      <c r="L80" s="129">
        <f>COUNTIFS(Y2:Y63,"&gt;="&amp;DATE(2024,1,1),Y2:Y63,"&lt;="&amp;DATE(2024,12,31),AF2:AF63,J80)</f>
        <v>4</v>
      </c>
      <c r="M80" s="343" t="e">
        <f>K80/K78+K79+K80</f>
        <v>#DIV/0!</v>
      </c>
      <c r="N80" s="40"/>
      <c r="O80" s="34" t="s">
        <v>565</v>
      </c>
      <c r="P80" s="1499">
        <f>COUNTIFS($O$2:$O$63,O61,$AN$2:$AN$63,O80)</f>
        <v>11</v>
      </c>
      <c r="Q80" s="1499">
        <f>COUNTIFS(Y2:Y63,"&gt;="&amp;DATE(2024,1,1),Y2:Y63,"&lt;="&amp;DATE(2024,12,31),AN2:AN63,O80)</f>
        <v>2</v>
      </c>
      <c r="R80" s="1014">
        <f t="shared" si="14"/>
        <v>0.25</v>
      </c>
      <c r="S80" s="40"/>
      <c r="T80" s="40"/>
      <c r="U80" s="40"/>
      <c r="V80" s="40"/>
      <c r="W80" s="40"/>
      <c r="X80" s="40"/>
      <c r="Y80" s="320"/>
      <c r="Z80" s="320"/>
      <c r="AA80" s="43"/>
      <c r="AB80" s="43"/>
      <c r="AC80" s="40"/>
      <c r="AD80" s="43"/>
      <c r="AE80" s="40"/>
      <c r="AF80" s="43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1"/>
      <c r="AV80" s="1866"/>
    </row>
    <row r="81" spans="1:48">
      <c r="A81" s="1901" t="s">
        <v>142</v>
      </c>
      <c r="B81" s="1902"/>
      <c r="C81" s="62" t="s">
        <v>90</v>
      </c>
      <c r="D81" s="62" t="s">
        <v>91</v>
      </c>
      <c r="E81" s="62" t="s">
        <v>89</v>
      </c>
      <c r="F81" s="172" t="s">
        <v>93</v>
      </c>
      <c r="G81" s="172" t="s">
        <v>213</v>
      </c>
      <c r="H81" s="49" t="s">
        <v>141</v>
      </c>
      <c r="I81" s="40"/>
      <c r="J81" s="40"/>
      <c r="K81" s="40"/>
      <c r="L81" s="40"/>
      <c r="M81" s="40"/>
      <c r="N81" s="40"/>
      <c r="O81" s="22" t="s">
        <v>563</v>
      </c>
      <c r="P81" s="1499">
        <f>COUNTIFS($O$2:$O$63,O61,$AN$2:$AN$63,O81)</f>
        <v>2</v>
      </c>
      <c r="Q81" s="1500">
        <f>COUNTIFS(Y2:Y63,"&gt;="&amp;DATE(2024,1,1),Y2:Y63,"&lt;="&amp;DATE(2024,12,31),AN2:AN63,O81)</f>
        <v>0</v>
      </c>
      <c r="R81" s="1014">
        <f t="shared" si="14"/>
        <v>4.5454545454545456E-2</v>
      </c>
      <c r="S81" s="40"/>
      <c r="T81" s="40"/>
      <c r="U81" s="40"/>
      <c r="V81" s="40"/>
      <c r="W81" s="40"/>
      <c r="X81" s="40"/>
      <c r="Y81" s="320"/>
      <c r="Z81" s="320"/>
      <c r="AA81" s="43"/>
      <c r="AB81" s="43"/>
      <c r="AC81" s="40"/>
      <c r="AD81" s="43"/>
      <c r="AE81" s="40"/>
      <c r="AF81" s="43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1"/>
      <c r="AV81" s="1866"/>
    </row>
    <row r="82" spans="1:48">
      <c r="A82" s="1903" t="s">
        <v>258</v>
      </c>
      <c r="B82" s="1904"/>
      <c r="C82" s="51">
        <f>AVERAGEIFS(T2:T63,O2:O63,A82,C2:C63,C81)</f>
        <v>4338.7178166490858</v>
      </c>
      <c r="D82" s="51">
        <f>AVERAGEIFS(T2:T63,O2:O63,A82,C2:C63,D81)</f>
        <v>4368.9866383127119</v>
      </c>
      <c r="E82" s="51">
        <f>AVERAGEIFS($T$2:$T$63,$O$2:$O$63,$A$82,$C$2:$C$63,E81)</f>
        <v>5162.5780127837334</v>
      </c>
      <c r="F82" s="51">
        <f>AVERAGEIFS($T$2:$T$63,$O$2:$O$63,$A$82,$C$2:$C$63,F81)</f>
        <v>5668.1658554617707</v>
      </c>
      <c r="G82" s="51">
        <f>AVERAGEIFS($T$2:$T$63,$O$2:$O$63,$A$82,$C$2:$C$63,G81)</f>
        <v>6548.5627628041639</v>
      </c>
      <c r="H82" s="76">
        <f>AVERAGEIF(O2:O63,A82,T2:T63)</f>
        <v>4540.1533483859212</v>
      </c>
      <c r="I82" s="40"/>
      <c r="J82" s="40"/>
      <c r="K82" s="40"/>
      <c r="L82" s="40"/>
      <c r="M82" s="40"/>
      <c r="N82" s="40"/>
      <c r="O82" s="130" t="s">
        <v>17693</v>
      </c>
      <c r="P82" s="1499">
        <f>COUNTIFS($O$2:$O$63,O62,$AN$2:$AN$63,O82)</f>
        <v>1</v>
      </c>
      <c r="Q82" s="1500">
        <f>COUNTIFS(Y2:Y63,"&gt;="&amp;DATE(2024,1,1),Y2:Y63,"&lt;="&amp;DATE(2024,12,31),AN2:AN63,O82)</f>
        <v>1</v>
      </c>
      <c r="R82" s="1014">
        <f t="shared" si="14"/>
        <v>2.2727272727272728E-2</v>
      </c>
      <c r="S82" s="40"/>
      <c r="T82" s="40"/>
      <c r="U82" s="40"/>
      <c r="V82" s="40"/>
      <c r="W82" s="40"/>
      <c r="X82" s="40"/>
      <c r="Y82" s="320"/>
      <c r="Z82" s="320"/>
      <c r="AA82" s="43"/>
      <c r="AB82" s="43"/>
      <c r="AC82" s="40"/>
      <c r="AD82" s="43"/>
      <c r="AE82" s="40"/>
      <c r="AF82" s="43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1"/>
      <c r="AV82" s="1866"/>
    </row>
    <row r="83" spans="1:48">
      <c r="A83" s="1905" t="s">
        <v>102</v>
      </c>
      <c r="B83" s="1906"/>
      <c r="C83" s="54" t="e">
        <f>AVERAGEIFS(U2:U63,O2:O63,A83,C2:C63,C81)</f>
        <v>#DIV/0!</v>
      </c>
      <c r="D83" s="54" t="e">
        <f>AVERAGEIFS(U2:U63,O2:O63,A83,C2:C63,D81)</f>
        <v>#DIV/0!</v>
      </c>
      <c r="E83" s="54" t="e">
        <f>AVERAGEIFS($U$2:$U$63,$O$2:$O$63,$A$83,$C$2:$C$63,E81)</f>
        <v>#DIV/0!</v>
      </c>
      <c r="F83" s="54" t="e">
        <f>AVERAGEIFS($U$2:$U$63,$O$2:$O$63,$A$83,$C$2:$C$63,F81)</f>
        <v>#DIV/0!</v>
      </c>
      <c r="G83" s="54" t="e">
        <f>AVERAGEIFS($U$2:$U$63,$O$2:$O$63,$A$83,$C$2:$C$63,G81)</f>
        <v>#DIV/0!</v>
      </c>
      <c r="H83" s="78" t="e">
        <f>AVERAGEIF(O2:O63,A83,U2:U63)</f>
        <v>#DIV/0!</v>
      </c>
      <c r="I83" s="40"/>
      <c r="J83" s="40"/>
      <c r="K83" s="40"/>
      <c r="L83" s="40"/>
      <c r="M83" s="40"/>
      <c r="N83" s="40"/>
      <c r="O83" s="5" t="s">
        <v>17691</v>
      </c>
      <c r="P83" s="1499">
        <f>COUNTIFS($O$2:$O$63,O62,$AN$2:$AN$63,O83)</f>
        <v>1</v>
      </c>
      <c r="Q83" s="1500">
        <f>COUNTIFS(Y2:Y63,"&gt;="&amp;DATE(2024,1,1),Y2:Y63,"&lt;="&amp;DATE(2024,12,31),AN2:AN63,O83)</f>
        <v>1</v>
      </c>
      <c r="R83" s="1014">
        <f t="shared" si="14"/>
        <v>2.2727272727272728E-2</v>
      </c>
      <c r="S83" s="40"/>
      <c r="T83" s="40"/>
      <c r="U83" s="40"/>
      <c r="V83" s="40"/>
      <c r="W83" s="40"/>
      <c r="X83" s="40"/>
      <c r="Y83" s="320"/>
      <c r="Z83" s="320"/>
      <c r="AA83" s="43"/>
      <c r="AB83" s="43"/>
      <c r="AC83" s="40"/>
      <c r="AD83" s="43"/>
      <c r="AE83" s="40"/>
      <c r="AF83" s="43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1"/>
      <c r="AV83" s="1866"/>
    </row>
    <row r="84" spans="1:48">
      <c r="A84" s="1909" t="s">
        <v>138</v>
      </c>
      <c r="B84" s="1910"/>
      <c r="C84" s="80" t="e">
        <f>AVERAGEIFS(U2:U63,O2:O63,"",C2:C63,C81)</f>
        <v>#DIV/0!</v>
      </c>
      <c r="D84" s="80">
        <f>AVERAGEIFS(U2:U63,O2:O63,"",C2:C63,D81)</f>
        <v>4727.9279279279281</v>
      </c>
      <c r="E84" s="80">
        <f>AVERAGEIFS($U$2:$U$63,$O$2:$O$63,"",$C$2:$C$63,E81)</f>
        <v>4803.6512641713871</v>
      </c>
      <c r="F84" s="80" t="e">
        <f>AVERAGEIFS($U$2:$U$63,$O$2:$O$63,"",$C$2:$C$63,F81)</f>
        <v>#DIV/0!</v>
      </c>
      <c r="G84" s="80" t="e">
        <f>AVERAGEIFS($U$2:$U$63,$O$2:$O$63,"",$C$2:$C$63,G81)</f>
        <v>#DIV/0!</v>
      </c>
      <c r="H84" s="81">
        <f>AVERAGEIF(O2:O63,"",U2:U63)</f>
        <v>4791.0307081308101</v>
      </c>
      <c r="I84" s="40"/>
      <c r="J84" s="40"/>
      <c r="K84" s="40"/>
      <c r="L84" s="40"/>
      <c r="M84" s="40"/>
      <c r="N84" s="40"/>
      <c r="O84" s="5" t="s">
        <v>17421</v>
      </c>
      <c r="P84" s="1499" cm="1">
        <f t="array" ref="P84">COUNTIFS($O$2:$O$63,CPCV,$AN$2:$AN$63,O84)</f>
        <v>0</v>
      </c>
      <c r="Q84" s="1500">
        <f>COUNTIFS(Y2:Y63,"&gt;="&amp;DATE(2024,1,1),Y2:Y63,"&lt;="&amp;DATE(2024,12,31),AN2:AN63,O84)</f>
        <v>0</v>
      </c>
      <c r="R84" s="1014">
        <f t="shared" si="14"/>
        <v>0</v>
      </c>
      <c r="S84" s="40"/>
      <c r="T84" s="40"/>
      <c r="U84" s="40"/>
      <c r="V84" s="40"/>
      <c r="W84" s="40"/>
      <c r="X84" s="40"/>
      <c r="Y84" s="320"/>
      <c r="Z84" s="320"/>
      <c r="AA84" s="43"/>
      <c r="AB84" s="43"/>
      <c r="AC84" s="40"/>
      <c r="AD84" s="43"/>
      <c r="AE84" s="40"/>
      <c r="AF84" s="43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1"/>
      <c r="AV84" s="1866"/>
    </row>
    <row r="85" spans="1:48" ht="13.5" thickBot="1">
      <c r="A85" s="1897" t="s">
        <v>210</v>
      </c>
      <c r="B85" s="1898"/>
      <c r="C85" s="60" t="e">
        <f>AVERAGEIFS(T2:T63,O2:O63,A85,C2:C63,C81)</f>
        <v>#DIV/0!</v>
      </c>
      <c r="D85" s="60" t="e">
        <f>AVERAGEIFS(T2:T63,O2:O63,A85,C2:C63,D81)</f>
        <v>#DIV/0!</v>
      </c>
      <c r="E85" s="60" t="e">
        <f>AVERAGEIFS($T$2:$T$63,$O$2:$O$63,$A$85,$C$2:$C$63,E81)</f>
        <v>#DIV/0!</v>
      </c>
      <c r="F85" s="60" t="e">
        <f>AVERAGEIFS($T$2:$T$63,$O$2:$O$63,$A$85,$C$2:$C$63,F81)</f>
        <v>#DIV/0!</v>
      </c>
      <c r="G85" s="60" t="e">
        <f>AVERAGEIFS($T$2:$T$63,$O$2:$O$63,$A$85,$C$2:$C$63,G81)</f>
        <v>#DIV/0!</v>
      </c>
      <c r="H85" s="83" t="e">
        <f>AVERAGEIF(O2:O63,A85,T2:T63)</f>
        <v>#DIV/0!</v>
      </c>
      <c r="I85" s="40"/>
      <c r="J85" s="123"/>
      <c r="K85" s="122"/>
      <c r="L85" s="40"/>
      <c r="M85" s="40"/>
      <c r="N85" s="40"/>
      <c r="O85" s="40"/>
      <c r="P85" s="41"/>
      <c r="Q85" s="41"/>
      <c r="R85" s="40"/>
      <c r="S85" s="41"/>
      <c r="T85" s="40"/>
      <c r="U85" s="40"/>
      <c r="V85" s="40"/>
      <c r="W85" s="40"/>
      <c r="X85" s="40"/>
      <c r="Y85" s="320"/>
      <c r="Z85" s="320"/>
      <c r="AA85" s="43"/>
      <c r="AB85" s="43"/>
      <c r="AC85" s="40"/>
      <c r="AD85" s="43"/>
      <c r="AE85" s="40"/>
      <c r="AF85" s="43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1"/>
      <c r="AV85" s="1866"/>
    </row>
    <row r="86" spans="1:48" ht="13.5" thickBot="1">
      <c r="A86" s="40"/>
      <c r="B86" s="40"/>
      <c r="C86" s="40"/>
      <c r="D86" s="40"/>
      <c r="E86" s="40"/>
      <c r="F86" s="40"/>
      <c r="G86" s="40"/>
      <c r="H86" s="40"/>
      <c r="I86" s="40"/>
      <c r="J86" s="123"/>
      <c r="K86" s="122"/>
      <c r="L86" s="40"/>
      <c r="M86" s="40"/>
      <c r="N86" s="40"/>
      <c r="O86" s="40"/>
      <c r="P86" s="41"/>
      <c r="Q86" s="41"/>
      <c r="R86" s="40"/>
      <c r="S86" s="41"/>
      <c r="T86" s="40"/>
      <c r="U86" s="40"/>
      <c r="V86" s="40"/>
      <c r="W86" s="40"/>
      <c r="X86" s="40"/>
      <c r="Y86" s="320"/>
      <c r="Z86" s="320"/>
      <c r="AA86" s="43"/>
      <c r="AB86" s="43"/>
      <c r="AC86" s="40"/>
      <c r="AD86" s="43"/>
      <c r="AE86" s="40"/>
      <c r="AF86" s="43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1"/>
      <c r="AV86" s="1866"/>
    </row>
    <row r="87" spans="1:48">
      <c r="A87" s="1901" t="s">
        <v>192</v>
      </c>
      <c r="B87" s="1902"/>
      <c r="C87" s="62" t="s">
        <v>90</v>
      </c>
      <c r="D87" s="62" t="s">
        <v>91</v>
      </c>
      <c r="E87" s="62" t="s">
        <v>89</v>
      </c>
      <c r="F87" s="172" t="s">
        <v>93</v>
      </c>
      <c r="G87" s="172" t="s">
        <v>213</v>
      </c>
      <c r="H87" s="49" t="s">
        <v>141</v>
      </c>
      <c r="I87" s="40"/>
      <c r="J87" s="123"/>
      <c r="K87" s="122"/>
      <c r="L87" s="40"/>
      <c r="M87" s="40"/>
      <c r="N87" s="40"/>
      <c r="O87" s="40"/>
      <c r="P87" s="41"/>
      <c r="Q87" s="41"/>
      <c r="R87" s="40"/>
      <c r="S87" s="41"/>
      <c r="T87" s="40"/>
      <c r="U87" s="40"/>
      <c r="V87" s="40"/>
      <c r="W87" s="40"/>
      <c r="X87" s="40"/>
      <c r="Y87" s="320"/>
      <c r="Z87" s="320"/>
      <c r="AA87" s="43"/>
      <c r="AB87" s="43"/>
      <c r="AC87" s="40"/>
      <c r="AD87" s="43"/>
      <c r="AE87" s="40"/>
      <c r="AF87" s="43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1"/>
      <c r="AV87" s="1866"/>
    </row>
    <row r="88" spans="1:48">
      <c r="A88" s="1903" t="s">
        <v>258</v>
      </c>
      <c r="B88" s="1904"/>
      <c r="C88" s="51">
        <f>AVERAGEIFS(P2:P63,O2:O63,A88,C2:C63,C87)</f>
        <v>312600</v>
      </c>
      <c r="D88" s="51">
        <f>AVERAGEIFS(P2:P63,O2:O63,A88,C2:C63,D87)</f>
        <v>435791.57894736843</v>
      </c>
      <c r="E88" s="51">
        <f>AVERAGEIFS($P$2:$P$63,$O$2:$O$63,$A$88,$C$2:$C$63,E87)</f>
        <v>773550</v>
      </c>
      <c r="F88" s="51">
        <f>AVERAGEIFS($P$2:$P$63,$O$2:$O$63,$A$88,$C$2:$C$63,F87)</f>
        <v>1104000</v>
      </c>
      <c r="G88" s="51">
        <f>AVERAGEIFS($P$2:$P$63,$O$2:$O$63,$A$88,$C$2:$C$63,G87)</f>
        <v>1900000</v>
      </c>
      <c r="H88" s="76">
        <f>AVERAGEIF(O2:O63,A88,P2:P63)</f>
        <v>504522.85714285716</v>
      </c>
      <c r="I88" s="40"/>
      <c r="J88" s="40"/>
      <c r="K88" s="122"/>
      <c r="L88" s="40"/>
      <c r="M88" s="40"/>
      <c r="N88" s="40"/>
      <c r="O88" s="40"/>
      <c r="P88" s="292"/>
      <c r="Q88" s="292"/>
      <c r="R88" s="106"/>
      <c r="S88" s="41"/>
      <c r="T88" s="40"/>
      <c r="U88" s="40"/>
      <c r="V88" s="40"/>
      <c r="W88" s="40"/>
      <c r="X88" s="40"/>
      <c r="Y88" s="320"/>
      <c r="Z88" s="320"/>
      <c r="AA88" s="43"/>
      <c r="AB88" s="43"/>
      <c r="AC88" s="40"/>
      <c r="AD88" s="43"/>
      <c r="AE88" s="40"/>
      <c r="AF88" s="43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1"/>
      <c r="AV88" s="1866"/>
    </row>
    <row r="89" spans="1:48">
      <c r="A89" s="1905" t="s">
        <v>102</v>
      </c>
      <c r="B89" s="1906"/>
      <c r="C89" s="54" t="e">
        <f>AVERAGEIFS(Q2:Q63,O2:O63,A89,C2:C63,C87)</f>
        <v>#DIV/0!</v>
      </c>
      <c r="D89" s="54" t="e">
        <f>AVERAGEIFS(Q2:Q63,O2:O63,A89,C2:C63,D87)</f>
        <v>#DIV/0!</v>
      </c>
      <c r="E89" s="54" t="e">
        <f>AVERAGEIFS($Q$2:$Q$63,$O$2:$O$63,$A$89,$C$2:$C$63,E87)</f>
        <v>#DIV/0!</v>
      </c>
      <c r="F89" s="54" t="e">
        <f>AVERAGEIFS($Q$2:$Q$63,$O$2:$O$63,$A$89,$C$2:$C$63,F87)</f>
        <v>#DIV/0!</v>
      </c>
      <c r="G89" s="54" t="e">
        <f>AVERAGEIFS($Q$2:$Q$63,$O$2:$O$63,$A$89,$C$2:$C$63,G87)</f>
        <v>#DIV/0!</v>
      </c>
      <c r="H89" s="78" t="e">
        <f>AVERAGEIF(O2:O63,A89,#REF!)</f>
        <v>#REF!</v>
      </c>
      <c r="I89" s="40"/>
      <c r="J89" s="106"/>
      <c r="K89" s="123"/>
      <c r="L89" s="106"/>
      <c r="M89" s="106"/>
      <c r="N89" s="106"/>
      <c r="O89" s="106"/>
      <c r="P89" s="292"/>
      <c r="Q89" s="292"/>
      <c r="R89" s="106"/>
      <c r="S89" s="106"/>
      <c r="T89" s="106"/>
      <c r="U89" s="106"/>
      <c r="V89" s="40"/>
      <c r="W89" s="40"/>
      <c r="X89" s="40"/>
      <c r="Y89" s="320"/>
      <c r="Z89" s="320"/>
      <c r="AA89" s="43"/>
      <c r="AB89" s="43"/>
      <c r="AC89" s="40"/>
      <c r="AD89" s="43"/>
      <c r="AE89" s="40"/>
      <c r="AF89" s="43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1"/>
      <c r="AV89" s="1866"/>
    </row>
    <row r="90" spans="1:48" ht="13.5" thickBot="1">
      <c r="A90" s="1907" t="s">
        <v>138</v>
      </c>
      <c r="B90" s="1908"/>
      <c r="C90" s="85" t="e">
        <f>AVERAGEIFS(Q2:Q63,O2:O63,"",C2:C63,C87)</f>
        <v>#DIV/0!</v>
      </c>
      <c r="D90" s="85">
        <f>AVERAGEIFS(Q2:Q63,O2:O63,"",C2:C63,D87)</f>
        <v>393600</v>
      </c>
      <c r="E90" s="85">
        <f>AVERAGEIFS(Q2:Q63,O2:O63,"",C2:C63,E87)</f>
        <v>770880</v>
      </c>
      <c r="F90" s="230" t="e">
        <f>AVERAGEIFS(Q2:Q63,O2:O63,"",C2:C63,F87)</f>
        <v>#DIV/0!</v>
      </c>
      <c r="G90" s="230" t="e">
        <f>AVERAGEIFS(Q2:Q63,O2:O63,"",C2:C63,G87)</f>
        <v>#DIV/0!</v>
      </c>
      <c r="H90" s="86" t="e">
        <f>AVERAGEIF(O2:O63,"",#REF!)</f>
        <v>#REF!</v>
      </c>
      <c r="I90" s="40"/>
      <c r="J90" s="106"/>
      <c r="K90" s="123"/>
      <c r="L90" s="106"/>
      <c r="M90" s="106"/>
      <c r="N90" s="106"/>
      <c r="O90" s="106"/>
      <c r="P90" s="292"/>
      <c r="Q90" s="292"/>
      <c r="R90" s="106"/>
      <c r="S90" s="106"/>
      <c r="T90" s="106"/>
      <c r="U90" s="106"/>
      <c r="V90" s="40"/>
      <c r="W90" s="40"/>
      <c r="X90" s="40"/>
      <c r="Y90" s="320"/>
      <c r="Z90" s="320"/>
      <c r="AA90" s="43"/>
      <c r="AB90" s="43"/>
      <c r="AC90" s="40"/>
      <c r="AD90" s="43"/>
      <c r="AE90" s="40"/>
      <c r="AF90" s="43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1"/>
      <c r="AV90" s="1866"/>
    </row>
    <row r="91" spans="1:48" ht="13.5" thickBot="1">
      <c r="A91" s="1897" t="s">
        <v>210</v>
      </c>
      <c r="B91" s="1898"/>
      <c r="C91" s="60" t="e">
        <f>AVERAGEIFS(P2:P63,O2:O63,A91,C2:C63,C87)</f>
        <v>#DIV/0!</v>
      </c>
      <c r="D91" s="60" t="e">
        <f>AVERAGEIFS(P2:P63,O2:O63,A91,C2:C63,D87)</f>
        <v>#DIV/0!</v>
      </c>
      <c r="E91" s="60" t="e">
        <f>AVERAGEIFS(P2:P63,O2:O63,A91,C2:C63,E87)</f>
        <v>#DIV/0!</v>
      </c>
      <c r="F91" s="219" t="e">
        <f>AVERAGEIFS(P2:P63,O2:O63,A91,C2:C63,F87)</f>
        <v>#DIV/0!</v>
      </c>
      <c r="G91" s="219" t="e">
        <f>AVERAGEIFS(P2:P63,O2:O63,A91,C2:C63,G87)</f>
        <v>#DIV/0!</v>
      </c>
      <c r="H91" s="83" t="e">
        <f>AVERAGEIF(O2:O63,"",P2:P63)</f>
        <v>#DIV/0!</v>
      </c>
      <c r="I91" s="106"/>
      <c r="J91" s="106"/>
      <c r="K91" s="123"/>
      <c r="L91" s="106"/>
      <c r="M91" s="106"/>
      <c r="N91" s="106"/>
      <c r="O91" s="106"/>
      <c r="P91" s="292"/>
      <c r="Q91" s="292"/>
      <c r="R91" s="106"/>
      <c r="S91" s="106"/>
      <c r="T91" s="106"/>
      <c r="U91" s="106"/>
      <c r="V91" s="106"/>
      <c r="W91" s="106"/>
      <c r="X91" s="106"/>
      <c r="Y91" s="552"/>
      <c r="Z91" s="552"/>
      <c r="AA91" s="328"/>
      <c r="AB91" s="328"/>
      <c r="AC91" s="106"/>
      <c r="AD91" s="328"/>
      <c r="AE91" s="106"/>
      <c r="AF91" s="328"/>
      <c r="AG91" s="106"/>
      <c r="AH91" s="106"/>
      <c r="AI91" s="106"/>
      <c r="AJ91" s="106"/>
      <c r="AK91" s="106"/>
      <c r="AL91" s="106"/>
      <c r="AM91" s="106"/>
      <c r="AN91" s="106"/>
      <c r="AO91" s="106"/>
      <c r="AP91" s="106"/>
      <c r="AQ91" s="106"/>
      <c r="AR91" s="40"/>
      <c r="AS91" s="106"/>
      <c r="AT91" s="106"/>
      <c r="AU91" s="292"/>
      <c r="AV91" s="1865"/>
    </row>
    <row r="92" spans="1:48" ht="13.5" thickBot="1">
      <c r="A92" s="106"/>
      <c r="B92" s="106"/>
      <c r="C92" s="106"/>
      <c r="D92" s="106"/>
      <c r="E92" s="106"/>
      <c r="F92" s="106"/>
      <c r="G92" s="106"/>
      <c r="H92" s="106"/>
      <c r="I92" s="106"/>
      <c r="J92" s="123"/>
      <c r="K92" s="123"/>
      <c r="L92" s="106"/>
      <c r="M92" s="106"/>
      <c r="N92" s="106"/>
      <c r="O92" s="106"/>
      <c r="P92" s="292"/>
      <c r="Q92" s="292"/>
      <c r="R92" s="106"/>
      <c r="S92" s="106"/>
      <c r="T92" s="106"/>
      <c r="U92" s="106"/>
      <c r="V92" s="106"/>
      <c r="W92" s="106"/>
      <c r="X92" s="106"/>
      <c r="Y92" s="552"/>
      <c r="Z92" s="552"/>
      <c r="AA92" s="328"/>
      <c r="AB92" s="328"/>
      <c r="AC92" s="106"/>
      <c r="AD92" s="328"/>
      <c r="AE92" s="106"/>
      <c r="AF92" s="328"/>
      <c r="AG92" s="106"/>
      <c r="AH92" s="106"/>
      <c r="AI92" s="106"/>
      <c r="AJ92" s="106"/>
      <c r="AK92" s="106"/>
      <c r="AL92" s="106"/>
      <c r="AM92" s="106"/>
      <c r="AN92" s="106"/>
      <c r="AO92" s="106"/>
      <c r="AP92" s="106"/>
      <c r="AQ92" s="106"/>
      <c r="AR92" s="40"/>
      <c r="AS92" s="106"/>
      <c r="AT92" s="106"/>
      <c r="AU92" s="292"/>
      <c r="AV92" s="1865"/>
    </row>
    <row r="93" spans="1:48" ht="13.5" thickBot="1">
      <c r="A93" s="1893" t="s">
        <v>299</v>
      </c>
      <c r="B93" s="1894"/>
      <c r="C93" s="62" t="s">
        <v>90</v>
      </c>
      <c r="D93" s="62" t="s">
        <v>91</v>
      </c>
      <c r="E93" s="49" t="s">
        <v>89</v>
      </c>
      <c r="F93" s="172" t="s">
        <v>93</v>
      </c>
      <c r="G93" s="172" t="s">
        <v>213</v>
      </c>
      <c r="H93" s="49" t="s">
        <v>141</v>
      </c>
      <c r="I93" s="106"/>
      <c r="J93" s="123"/>
      <c r="K93" s="123"/>
      <c r="L93" s="106"/>
      <c r="M93" s="106"/>
      <c r="N93" s="106"/>
      <c r="O93" s="106"/>
      <c r="P93" s="292"/>
      <c r="Q93" s="292"/>
      <c r="R93" s="106"/>
      <c r="S93" s="106"/>
      <c r="T93" s="106"/>
      <c r="U93" s="106"/>
      <c r="V93" s="106"/>
      <c r="W93" s="106"/>
      <c r="X93" s="106"/>
      <c r="Y93" s="552"/>
      <c r="Z93" s="552"/>
      <c r="AA93" s="328"/>
      <c r="AB93" s="328"/>
      <c r="AC93" s="106"/>
      <c r="AD93" s="328"/>
      <c r="AE93" s="106"/>
      <c r="AF93" s="328"/>
      <c r="AG93" s="106"/>
      <c r="AH93" s="106"/>
      <c r="AI93" s="106"/>
      <c r="AJ93" s="106"/>
      <c r="AK93" s="106"/>
      <c r="AL93" s="106"/>
      <c r="AM93" s="106"/>
      <c r="AN93" s="106"/>
      <c r="AO93" s="106"/>
      <c r="AP93" s="106"/>
      <c r="AQ93" s="106"/>
      <c r="AR93" s="40"/>
      <c r="AS93" s="106"/>
      <c r="AT93" s="106"/>
      <c r="AU93" s="292"/>
      <c r="AV93" s="1865"/>
    </row>
    <row r="94" spans="1:48">
      <c r="A94" s="1903" t="s">
        <v>258</v>
      </c>
      <c r="B94" s="1904"/>
      <c r="C94" s="236">
        <f>AVERAGEIFS(J2:J63,C2:C63,C93,O2:O63,A94)</f>
        <v>72.03887499999999</v>
      </c>
      <c r="D94" s="236">
        <f>AVERAGEIFS(J2:J63,C2:C63,D93,O2:O63,A94)</f>
        <v>100.33939473684205</v>
      </c>
      <c r="E94" s="242">
        <f>AVERAGEIFS($J$2:$J$63,$C$2:$C$63,E93,$O$2:$O$63,$A$94)</f>
        <v>149.74900000000002</v>
      </c>
      <c r="F94" s="242">
        <f>AVERAGEIFS($J$2:$J$63,$C$2:$C$63,F93,$O$2:$O$63,$A$94)</f>
        <v>194.77199999999999</v>
      </c>
      <c r="G94" s="242">
        <f>AVERAGEIFS($J$2:$J$63,$C$2:$C$63,G93,$O$2:$O$63,$A$94)</f>
        <v>290.14</v>
      </c>
      <c r="H94" s="76">
        <f>AVERAGEIF(O8:O65,A94,P8:P65)</f>
        <v>505973.07692307694</v>
      </c>
      <c r="I94" s="106"/>
      <c r="J94" s="123"/>
      <c r="K94" s="123"/>
      <c r="L94" s="106"/>
      <c r="M94" s="106"/>
      <c r="N94" s="106"/>
      <c r="O94" s="106"/>
      <c r="P94" s="292"/>
      <c r="Q94" s="292"/>
      <c r="R94" s="106"/>
      <c r="S94" s="106"/>
      <c r="T94" s="106"/>
      <c r="U94" s="106"/>
      <c r="V94" s="106"/>
      <c r="W94" s="106"/>
      <c r="X94" s="106"/>
      <c r="Y94" s="552"/>
      <c r="Z94" s="552"/>
      <c r="AA94" s="328"/>
      <c r="AB94" s="328"/>
      <c r="AC94" s="106"/>
      <c r="AD94" s="328"/>
      <c r="AE94" s="106"/>
      <c r="AF94" s="328"/>
      <c r="AG94" s="106"/>
      <c r="AH94" s="106"/>
      <c r="AI94" s="106"/>
      <c r="AJ94" s="106"/>
      <c r="AK94" s="106"/>
      <c r="AL94" s="106"/>
      <c r="AM94" s="106"/>
      <c r="AN94" s="106"/>
      <c r="AO94" s="106"/>
      <c r="AP94" s="106"/>
      <c r="AQ94" s="106"/>
      <c r="AR94" s="40"/>
      <c r="AS94" s="106"/>
      <c r="AT94" s="106"/>
      <c r="AU94" s="292"/>
      <c r="AV94" s="1865"/>
    </row>
    <row r="95" spans="1:48">
      <c r="A95" s="1905" t="s">
        <v>102</v>
      </c>
      <c r="B95" s="1911"/>
      <c r="C95" s="237" t="e">
        <f>AVERAGEIFS(J2:J63,C2:C63,C93,O2:O63,A95)</f>
        <v>#DIV/0!</v>
      </c>
      <c r="D95" s="237" t="e">
        <f>AVERAGEIFS(J2:J63,C2:C63,D93,O2:O63,A95)</f>
        <v>#DIV/0!</v>
      </c>
      <c r="E95" s="243" t="e">
        <f>AVERAGEIFS($J$2:$J$63,$C$2:$C$63,E93,$O$2:$O$63,$A$95)</f>
        <v>#DIV/0!</v>
      </c>
      <c r="F95" s="243" t="e">
        <f>AVERAGEIFS($J$2:$J$63,$C$2:$C$63,F93,$O$2:$O$63,$A$95)</f>
        <v>#DIV/0!</v>
      </c>
      <c r="G95" s="243" t="e">
        <f>AVERAGEIFS($J$2:$J$63,$C$2:$C$63,G93,$O$2:$O$63,$A$95)</f>
        <v>#DIV/0!</v>
      </c>
      <c r="H95" s="78" t="e">
        <f>AVERAGEIF(O8:O65,A95,#REF!)</f>
        <v>#REF!</v>
      </c>
      <c r="I95" s="106"/>
      <c r="J95" s="106"/>
      <c r="K95" s="123"/>
      <c r="L95" s="106"/>
      <c r="M95" s="106"/>
      <c r="N95" s="106"/>
      <c r="O95" s="106"/>
      <c r="P95" s="292"/>
      <c r="Q95" s="292"/>
      <c r="R95" s="106"/>
      <c r="S95" s="106"/>
      <c r="T95" s="106"/>
      <c r="U95" s="106"/>
      <c r="V95" s="106"/>
      <c r="W95" s="106"/>
      <c r="X95" s="106"/>
      <c r="Y95" s="552"/>
      <c r="Z95" s="552"/>
      <c r="AA95" s="328"/>
      <c r="AB95" s="328"/>
      <c r="AC95" s="106"/>
      <c r="AD95" s="328"/>
      <c r="AE95" s="106"/>
      <c r="AF95" s="328"/>
      <c r="AG95" s="106"/>
      <c r="AH95" s="106"/>
      <c r="AI95" s="106"/>
      <c r="AJ95" s="106"/>
      <c r="AK95" s="106"/>
      <c r="AL95" s="106"/>
      <c r="AM95" s="106"/>
      <c r="AN95" s="106"/>
      <c r="AO95" s="106"/>
      <c r="AP95" s="106"/>
      <c r="AQ95" s="106"/>
      <c r="AR95" s="40"/>
      <c r="AS95" s="106"/>
      <c r="AT95" s="106"/>
      <c r="AU95" s="292"/>
      <c r="AV95" s="1865"/>
    </row>
    <row r="96" spans="1:48" ht="13.5" thickBot="1">
      <c r="A96" s="1907" t="s">
        <v>138</v>
      </c>
      <c r="B96" s="1912"/>
      <c r="C96" s="238" t="e">
        <f>AVERAGEIFS(J2:J63,C2:C63,C93,O2:O63,"")</f>
        <v>#DIV/0!</v>
      </c>
      <c r="D96" s="238">
        <f>AVERAGEIFS(J2:J63,C2:C63,D93,O2:O63,"")</f>
        <v>83.25</v>
      </c>
      <c r="E96" s="244">
        <f>AVERAGEIFS($J$2:$J$63,$C$2:$C$63,E93,$O$2:$O$63,"")</f>
        <v>161.52280000000002</v>
      </c>
      <c r="F96" s="244" t="e">
        <f>AVERAGEIFS($J$2:$J$63,$C$2:$C$63,F93,$O$2:$O$63,"")</f>
        <v>#DIV/0!</v>
      </c>
      <c r="G96" s="244" t="e">
        <f>AVERAGEIFS($J$2:$J$63,$C$2:$C$63,G93,$O$2:$O$63,"")</f>
        <v>#DIV/0!</v>
      </c>
      <c r="H96" s="86" t="e">
        <f>AVERAGEIF(O8:O65,"",#REF!)</f>
        <v>#REF!</v>
      </c>
      <c r="I96" s="106"/>
      <c r="J96" s="106"/>
      <c r="K96" s="106"/>
      <c r="L96" s="106"/>
      <c r="M96" s="123"/>
      <c r="N96" s="106"/>
      <c r="O96" s="106"/>
      <c r="P96" s="292"/>
      <c r="Q96" s="106"/>
      <c r="R96" s="106"/>
      <c r="S96" s="292"/>
      <c r="T96" s="106"/>
      <c r="U96" s="106"/>
      <c r="V96" s="106"/>
      <c r="W96" s="106"/>
      <c r="X96" s="106"/>
      <c r="Y96" s="552"/>
      <c r="Z96" s="552"/>
      <c r="AA96" s="328"/>
      <c r="AB96" s="328"/>
      <c r="AC96" s="106"/>
      <c r="AD96" s="328"/>
      <c r="AE96" s="106"/>
      <c r="AF96" s="328"/>
      <c r="AG96" s="106"/>
      <c r="AH96" s="106"/>
      <c r="AI96" s="106"/>
      <c r="AJ96" s="106"/>
      <c r="AK96" s="106"/>
      <c r="AL96" s="106"/>
      <c r="AM96" s="106"/>
      <c r="AN96" s="106"/>
      <c r="AO96" s="106"/>
      <c r="AP96" s="106"/>
      <c r="AQ96" s="106"/>
      <c r="AR96" s="40"/>
      <c r="AS96" s="106"/>
      <c r="AT96" s="106"/>
      <c r="AU96" s="292"/>
      <c r="AV96" s="1865"/>
    </row>
    <row r="97" spans="1:50" ht="13.5" thickBot="1">
      <c r="A97" s="2035" t="s">
        <v>210</v>
      </c>
      <c r="B97" s="2036"/>
      <c r="C97" s="239" t="e">
        <f>AVERAGEIFS(J2:J63,C2:C63,C93,O2:O63,A97)</f>
        <v>#DIV/0!</v>
      </c>
      <c r="D97" s="239" t="e">
        <f>AVERAGEIFS(J2:J63,C2:C63,D93,O2:O63,A97)</f>
        <v>#DIV/0!</v>
      </c>
      <c r="E97" s="245" t="e">
        <f>AVERAGEIFS($J$2:$J$63,$C$2:$C$63,E93,$O$2:$O$63,$A$97)</f>
        <v>#DIV/0!</v>
      </c>
      <c r="F97" s="245" t="e">
        <f>AVERAGEIFS($J$2:$J$63,$C$2:$C$63,F93,$O$2:$O$63,$A$97)</f>
        <v>#DIV/0!</v>
      </c>
      <c r="G97" s="245" t="e">
        <f>AVERAGEIFS($J$2:$J$63,$C$2:$C$63,G93,$O$2:$O$63,$A$97)</f>
        <v>#DIV/0!</v>
      </c>
      <c r="H97" s="204" t="e">
        <f>AVERAGEIF(O8:O65,"",P8:P65)</f>
        <v>#DIV/0!</v>
      </c>
      <c r="I97" s="106"/>
      <c r="J97" s="1"/>
      <c r="K97" s="124"/>
      <c r="Q97" s="304"/>
      <c r="V97" s="106"/>
      <c r="W97" s="106"/>
      <c r="X97" s="106"/>
      <c r="Y97" s="552"/>
      <c r="Z97" s="552"/>
      <c r="AA97" s="328"/>
      <c r="AB97" s="328"/>
      <c r="AC97" s="106"/>
      <c r="AD97" s="328"/>
      <c r="AE97" s="106"/>
      <c r="AF97" s="328"/>
      <c r="AG97" s="106"/>
      <c r="AH97" s="106"/>
      <c r="AI97" s="106"/>
      <c r="AJ97" s="106"/>
      <c r="AK97" s="106"/>
      <c r="AL97" s="106"/>
      <c r="AM97" s="106"/>
      <c r="AN97" s="106"/>
      <c r="AO97" s="106"/>
      <c r="AP97" s="106"/>
      <c r="AQ97" s="106"/>
      <c r="AR97" s="40"/>
      <c r="AS97" s="106"/>
      <c r="AT97" s="106"/>
      <c r="AU97" s="292"/>
      <c r="AV97" s="1865"/>
    </row>
    <row r="98" spans="1:50" ht="13.5" thickBot="1">
      <c r="A98" s="2037" t="s">
        <v>141</v>
      </c>
      <c r="B98" s="2038"/>
      <c r="C98" s="737">
        <f>AVERAGEIFS(J2:J63,C2:C63,C93)</f>
        <v>72.03887499999999</v>
      </c>
      <c r="D98" s="737">
        <f>AVERAGEIFS(J2:J63,C2:C63,D93)</f>
        <v>99.901205128205078</v>
      </c>
      <c r="E98" s="737">
        <f>AVERAGEIFS($J$2:$J$63,$C$2:$C$63,E93)</f>
        <v>154.27738461538459</v>
      </c>
      <c r="F98" s="737">
        <f>AVERAGEIFS($J$2:$J$63,$C$2:$C$63,F93)</f>
        <v>194.77199999999999</v>
      </c>
      <c r="G98" s="737">
        <f>AVERAGEIFS($J$2:$J$63,$C$2:$C$63,G93)</f>
        <v>290.14</v>
      </c>
      <c r="H98" s="738"/>
      <c r="I98" s="609"/>
      <c r="V98" s="106"/>
      <c r="W98" s="106"/>
      <c r="X98" s="106"/>
      <c r="Y98" s="106"/>
      <c r="Z98" s="552"/>
      <c r="AA98" s="552"/>
      <c r="AB98" s="552"/>
      <c r="AC98" s="328"/>
      <c r="AD98" s="328"/>
      <c r="AE98" s="106"/>
      <c r="AF98" s="328"/>
      <c r="AG98" s="106"/>
      <c r="AH98" s="328"/>
      <c r="AI98" s="106"/>
      <c r="AJ98" s="106"/>
      <c r="AK98" s="106"/>
      <c r="AL98" s="106"/>
      <c r="AM98" s="106"/>
      <c r="AN98" s="106"/>
      <c r="AO98" s="106"/>
      <c r="AP98" s="106"/>
      <c r="AQ98" s="106"/>
      <c r="AR98" s="106"/>
      <c r="AS98" s="106"/>
      <c r="AT98" s="40"/>
      <c r="AU98" s="106"/>
      <c r="AV98" s="1865"/>
      <c r="AW98" s="292"/>
      <c r="AX98" s="292"/>
    </row>
    <row r="99" spans="1:50">
      <c r="A99" s="106"/>
      <c r="B99" s="106"/>
      <c r="C99" s="106"/>
      <c r="D99" s="106"/>
      <c r="E99" s="106"/>
      <c r="F99" s="106"/>
      <c r="G99" s="106"/>
      <c r="H99" s="106"/>
      <c r="X99" s="1"/>
      <c r="Z99" s="553"/>
      <c r="AB99" s="329"/>
      <c r="AC99" s="1"/>
      <c r="AD99" s="329"/>
      <c r="AE99" s="1"/>
      <c r="AF99" s="329"/>
      <c r="AN99" s="1"/>
      <c r="AO99" s="1"/>
      <c r="AP99" s="1"/>
      <c r="AQ99" s="1"/>
      <c r="AR99" s="125"/>
      <c r="AT99" s="1"/>
    </row>
  </sheetData>
  <autoFilter ref="A1:BT64" xr:uid="{DE733613-ED4E-4262-9D4D-2ABD3811B5A5}">
    <filterColumn colId="1">
      <filters>
        <filter val="N"/>
        <filter val="O"/>
        <filter val="Z"/>
      </filters>
    </filterColumn>
  </autoFilter>
  <mergeCells count="34">
    <mergeCell ref="J67:U67"/>
    <mergeCell ref="J76:M76"/>
    <mergeCell ref="O76:R76"/>
    <mergeCell ref="A95:B95"/>
    <mergeCell ref="A96:B96"/>
    <mergeCell ref="A76:B76"/>
    <mergeCell ref="A77:B77"/>
    <mergeCell ref="A78:B78"/>
    <mergeCell ref="A75:B75"/>
    <mergeCell ref="A73:B73"/>
    <mergeCell ref="A74:B74"/>
    <mergeCell ref="J70:U70"/>
    <mergeCell ref="A71:B71"/>
    <mergeCell ref="A70:B70"/>
    <mergeCell ref="A87:B87"/>
    <mergeCell ref="A81:B81"/>
    <mergeCell ref="A97:B97"/>
    <mergeCell ref="A98:B98"/>
    <mergeCell ref="A88:B88"/>
    <mergeCell ref="A89:B89"/>
    <mergeCell ref="A90:B90"/>
    <mergeCell ref="A91:B91"/>
    <mergeCell ref="A93:B93"/>
    <mergeCell ref="A94:B94"/>
    <mergeCell ref="A82:B82"/>
    <mergeCell ref="A83:B83"/>
    <mergeCell ref="A84:B84"/>
    <mergeCell ref="A85:B85"/>
    <mergeCell ref="H30:I30"/>
    <mergeCell ref="G66:H66"/>
    <mergeCell ref="A67:B67"/>
    <mergeCell ref="A68:B68"/>
    <mergeCell ref="A69:B69"/>
    <mergeCell ref="A64:E64"/>
  </mergeCells>
  <conditionalFormatting sqref="X1:X72 Y73:Y97 Z98 Y99 X100:X1048576">
    <cfRule type="cellIs" dxfId="10" priority="1" operator="lessThan">
      <formula>TODAY()-15</formula>
    </cfRule>
  </conditionalFormatting>
  <hyperlinks>
    <hyperlink ref="AP2" r:id="rId1" xr:uid="{8E3EFFCB-63A3-4FB6-8ACB-CBB3967903BA}"/>
    <hyperlink ref="AP3" r:id="rId2" xr:uid="{D66E5A30-24EE-4EEB-A59D-5EB2DD25D9B2}"/>
    <hyperlink ref="AP14" r:id="rId3" xr:uid="{3039B20B-234E-44C7-8C42-33804B7F17F2}"/>
    <hyperlink ref="AP26" r:id="rId4" xr:uid="{44CDC363-594C-4B00-826B-56046BD5FC1C}"/>
    <hyperlink ref="AP32" r:id="rId5" xr:uid="{AD0AF49D-29ED-4717-92E4-DFC050FB3DE2}"/>
    <hyperlink ref="AP39" r:id="rId6" xr:uid="{9CE12AA3-452D-4A82-ACE3-2A2F13DFBBA6}"/>
    <hyperlink ref="AP44" r:id="rId7" display="oscarbrandao@sapo.pt" xr:uid="{04F4803E-C8D1-4936-806F-73E3604D6E51}"/>
    <hyperlink ref="AP51" r:id="rId8" display="haim.k.nadlan@gmail.com" xr:uid="{754BDCA1-E8C0-4054-9F00-AF096A281B54}"/>
    <hyperlink ref="AP53" r:id="rId9" xr:uid="{F08EF6AB-4E78-4292-8436-E6E422C52218}"/>
    <hyperlink ref="AP12" r:id="rId10" xr:uid="{53178D34-2518-4DB2-BE0F-E7481171E6F2}"/>
    <hyperlink ref="AP57" r:id="rId11" xr:uid="{9E62AF76-BD35-4435-B096-4D2FC862D09A}"/>
    <hyperlink ref="AP52" r:id="rId12" display="jffininha@gmail.com " xr:uid="{6399289B-9F2E-4F81-BE9F-63F0D9A08AD2}"/>
    <hyperlink ref="AP40" r:id="rId13" xr:uid="{C3D1841C-48E6-4900-9982-C8499CD4F329}"/>
    <hyperlink ref="AP58" r:id="rId14" xr:uid="{4AF72D74-72E5-45E7-9745-E73D86EDA885}"/>
    <hyperlink ref="AP10" r:id="rId15" xr:uid="{81A4E339-7239-4906-9FB5-221131DF4B43}"/>
    <hyperlink ref="AP27" r:id="rId16" xr:uid="{675779A5-393C-4EED-A1AB-0AA12C2DB035}"/>
    <hyperlink ref="AP19" r:id="rId17" xr:uid="{8AD028D7-6A40-446F-A72D-E7CA6A542A93}"/>
    <hyperlink ref="AP37" r:id="rId18" xr:uid="{8D035B5C-F4BE-42C4-B3E9-8285A8B24BAD}"/>
    <hyperlink ref="AP31" r:id="rId19" xr:uid="{C23D06C0-0A77-46E8-B87E-601AB9092D14}"/>
    <hyperlink ref="AP25" r:id="rId20" xr:uid="{BEDF95AB-3A1E-4553-94ED-EB64B000DDEC}"/>
    <hyperlink ref="AP16" r:id="rId21" xr:uid="{09AEC565-C669-4E9C-AAED-FCE65C3897A5}"/>
    <hyperlink ref="AP13" r:id="rId22" xr:uid="{60BDB659-C971-4714-8481-91B6FECAF646}"/>
    <hyperlink ref="AP28" r:id="rId23" xr:uid="{CFA21AD6-4A6B-4AF7-AFD6-74A1EE00EF85}"/>
  </hyperlinks>
  <pageMargins left="0.7" right="0.7" top="0.75" bottom="0.75" header="0.3" footer="0.3"/>
  <pageSetup paperSize="9" orientation="portrait" r:id="rId24"/>
  <legacyDrawing r:id="rId2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B7DD0-B195-4132-9E07-84F642D31E3C}">
  <sheetPr>
    <tabColor rgb="FF0070C0"/>
  </sheetPr>
  <dimension ref="A1:AU76"/>
  <sheetViews>
    <sheetView workbookViewId="0">
      <selection activeCell="Q2" sqref="Q2:Q23"/>
    </sheetView>
  </sheetViews>
  <sheetFormatPr defaultRowHeight="15"/>
  <cols>
    <col min="4" max="4" width="11.7109375" bestFit="1" customWidth="1"/>
    <col min="5" max="5" width="13.42578125" bestFit="1" customWidth="1"/>
    <col min="6" max="7" width="10.28515625" bestFit="1" customWidth="1"/>
    <col min="13" max="13" width="11.7109375" bestFit="1" customWidth="1"/>
    <col min="17" max="17" width="10.85546875" bestFit="1" customWidth="1"/>
    <col min="18" max="18" width="11.42578125" customWidth="1"/>
    <col min="21" max="21" width="13.7109375" bestFit="1" customWidth="1"/>
    <col min="22" max="22" width="10.7109375" bestFit="1" customWidth="1"/>
  </cols>
  <sheetData>
    <row r="1" spans="1:47" ht="39" thickBot="1">
      <c r="A1" s="6" t="s">
        <v>23</v>
      </c>
      <c r="B1" s="6" t="s">
        <v>5</v>
      </c>
      <c r="C1" s="6" t="s">
        <v>1</v>
      </c>
      <c r="D1" s="20" t="s">
        <v>0</v>
      </c>
      <c r="E1" s="20" t="s">
        <v>3</v>
      </c>
      <c r="F1" s="6" t="s">
        <v>6</v>
      </c>
      <c r="G1" s="6" t="s">
        <v>2</v>
      </c>
      <c r="H1" s="6" t="s">
        <v>212</v>
      </c>
      <c r="I1" s="6" t="s">
        <v>7</v>
      </c>
      <c r="J1" s="120" t="s">
        <v>11</v>
      </c>
      <c r="K1" s="6" t="s">
        <v>17330</v>
      </c>
      <c r="L1" s="6" t="s">
        <v>17323</v>
      </c>
      <c r="M1" s="6" t="s">
        <v>17324</v>
      </c>
      <c r="N1" s="6" t="s">
        <v>22</v>
      </c>
      <c r="O1" s="6" t="s">
        <v>12</v>
      </c>
      <c r="P1" s="21" t="s">
        <v>221</v>
      </c>
      <c r="Q1" s="6" t="s">
        <v>14</v>
      </c>
      <c r="R1" s="21" t="s">
        <v>17266</v>
      </c>
      <c r="S1" s="6" t="s">
        <v>16</v>
      </c>
      <c r="T1" s="6" t="s">
        <v>227</v>
      </c>
      <c r="U1" s="6" t="s">
        <v>550</v>
      </c>
      <c r="V1" s="6" t="s">
        <v>228</v>
      </c>
      <c r="W1" s="6" t="s">
        <v>214</v>
      </c>
      <c r="X1" s="281" t="s">
        <v>300</v>
      </c>
      <c r="Y1" s="281" t="s">
        <v>4</v>
      </c>
      <c r="Z1" s="281"/>
      <c r="AA1" s="310" t="s">
        <v>545</v>
      </c>
      <c r="AB1" s="310" t="s">
        <v>546</v>
      </c>
      <c r="AC1" s="281" t="s">
        <v>553</v>
      </c>
      <c r="AD1" s="310" t="s">
        <v>547</v>
      </c>
      <c r="AE1" s="281" t="s">
        <v>554</v>
      </c>
      <c r="AF1" s="310" t="s">
        <v>548</v>
      </c>
      <c r="AG1" s="6" t="s">
        <v>8</v>
      </c>
      <c r="AH1" s="6" t="s">
        <v>718</v>
      </c>
      <c r="AI1" s="6" t="s">
        <v>18</v>
      </c>
      <c r="AJ1" s="6" t="s">
        <v>542</v>
      </c>
      <c r="AK1" s="6" t="s">
        <v>543</v>
      </c>
      <c r="AL1" s="6" t="s">
        <v>542</v>
      </c>
      <c r="AM1" s="6" t="s">
        <v>543</v>
      </c>
      <c r="AN1" s="6" t="s">
        <v>19</v>
      </c>
      <c r="AO1" s="6" t="s">
        <v>261</v>
      </c>
      <c r="AP1" s="6" t="s">
        <v>17602</v>
      </c>
      <c r="AQ1" s="6" t="s">
        <v>17601</v>
      </c>
      <c r="AR1" s="6" t="s">
        <v>262</v>
      </c>
      <c r="AS1" s="6" t="s">
        <v>263</v>
      </c>
      <c r="AT1" s="21" t="s">
        <v>20</v>
      </c>
      <c r="AU1" s="21" t="s">
        <v>21</v>
      </c>
    </row>
    <row r="2" spans="1:47" s="740" customFormat="1">
      <c r="A2" s="610">
        <v>1</v>
      </c>
      <c r="B2" s="611" t="s">
        <v>24</v>
      </c>
      <c r="C2" s="612" t="s">
        <v>90</v>
      </c>
      <c r="D2" s="612">
        <v>1</v>
      </c>
      <c r="E2" s="612" t="s">
        <v>17360</v>
      </c>
      <c r="F2" s="613">
        <v>51.12</v>
      </c>
      <c r="G2" s="614"/>
      <c r="H2" s="614">
        <v>45.47</v>
      </c>
      <c r="I2" s="614"/>
      <c r="J2" s="615">
        <f>F2+0.5*G2+0.3*H2+0.3*I2</f>
        <v>64.760999999999996</v>
      </c>
      <c r="K2" s="616">
        <v>1</v>
      </c>
      <c r="L2" s="610">
        <v>-2</v>
      </c>
      <c r="M2" s="610" t="s">
        <v>17329</v>
      </c>
      <c r="N2" s="610"/>
      <c r="O2" s="610"/>
      <c r="P2" s="618"/>
      <c r="Q2" s="626">
        <f>0.96*R2</f>
        <v>307200</v>
      </c>
      <c r="R2" s="618">
        <v>320000</v>
      </c>
      <c r="S2" s="619">
        <f t="shared" ref="S2:S25" si="0">(Q2/R2)-1</f>
        <v>-4.0000000000000036E-2</v>
      </c>
      <c r="T2" s="620">
        <f t="shared" ref="T2:T25" si="1">P2/J2</f>
        <v>0</v>
      </c>
      <c r="U2" s="620">
        <f t="shared" ref="U2:U25" si="2">Q2/J2</f>
        <v>4743.5956825867424</v>
      </c>
      <c r="V2" s="620">
        <f t="shared" ref="V2:V25" si="3">R2/J2</f>
        <v>4941.2455026945236</v>
      </c>
      <c r="W2" s="620"/>
      <c r="X2" s="621"/>
      <c r="Y2" s="622"/>
      <c r="Z2" s="622"/>
      <c r="AA2" s="623"/>
      <c r="AB2" s="623"/>
      <c r="AC2" s="622"/>
      <c r="AD2" s="623"/>
      <c r="AE2" s="622"/>
      <c r="AF2" s="623"/>
      <c r="AG2" s="610"/>
      <c r="AH2" s="610"/>
      <c r="AI2" s="624"/>
      <c r="AJ2" s="624"/>
      <c r="AK2" s="624"/>
      <c r="AL2" s="624"/>
      <c r="AM2" s="610"/>
      <c r="AN2" s="625"/>
      <c r="AO2" s="625"/>
      <c r="AP2" s="625"/>
      <c r="AQ2" s="625"/>
      <c r="AR2" s="625"/>
      <c r="AS2" s="625"/>
      <c r="AT2" s="626"/>
      <c r="AU2" s="626"/>
    </row>
    <row r="3" spans="1:47" s="740" customFormat="1">
      <c r="A3" s="610">
        <v>2</v>
      </c>
      <c r="B3" s="611" t="s">
        <v>25</v>
      </c>
      <c r="C3" s="612" t="s">
        <v>90</v>
      </c>
      <c r="D3" s="612">
        <v>1</v>
      </c>
      <c r="E3" s="612" t="s">
        <v>17269</v>
      </c>
      <c r="F3" s="628">
        <v>58.72</v>
      </c>
      <c r="G3" s="629"/>
      <c r="H3" s="629">
        <v>62.81</v>
      </c>
      <c r="I3" s="629"/>
      <c r="J3" s="615">
        <f t="shared" ref="J3:J25" si="4">F3+0.5*G3+0.3*H3+0.3*I3</f>
        <v>77.563000000000002</v>
      </c>
      <c r="K3" s="630">
        <v>1</v>
      </c>
      <c r="L3" s="610">
        <v>-1</v>
      </c>
      <c r="M3" s="610" t="s">
        <v>17329</v>
      </c>
      <c r="N3" s="610"/>
      <c r="O3" s="610"/>
      <c r="P3" s="618"/>
      <c r="Q3" s="626">
        <f t="shared" ref="Q3:Q25" si="5">0.96*R3</f>
        <v>345600</v>
      </c>
      <c r="R3" s="618">
        <v>360000</v>
      </c>
      <c r="S3" s="619">
        <f t="shared" si="0"/>
        <v>-4.0000000000000036E-2</v>
      </c>
      <c r="T3" s="620">
        <f t="shared" si="1"/>
        <v>0</v>
      </c>
      <c r="U3" s="620">
        <f t="shared" si="2"/>
        <v>4455.7327591764115</v>
      </c>
      <c r="V3" s="620">
        <f t="shared" si="3"/>
        <v>4641.3882908087617</v>
      </c>
      <c r="W3" s="620"/>
      <c r="X3" s="621"/>
      <c r="Y3" s="622"/>
      <c r="Z3" s="622"/>
      <c r="AA3" s="623"/>
      <c r="AB3" s="623"/>
      <c r="AC3" s="622"/>
      <c r="AD3" s="623"/>
      <c r="AE3" s="622"/>
      <c r="AF3" s="623"/>
      <c r="AG3" s="610"/>
      <c r="AH3" s="610"/>
      <c r="AI3" s="624"/>
      <c r="AJ3" s="624"/>
      <c r="AK3" s="624"/>
      <c r="AL3" s="624"/>
      <c r="AM3" s="610"/>
      <c r="AN3" s="625"/>
      <c r="AO3" s="625"/>
      <c r="AP3" s="625"/>
      <c r="AQ3" s="625"/>
      <c r="AR3" s="632"/>
      <c r="AS3" s="632"/>
      <c r="AT3" s="626"/>
      <c r="AU3" s="626"/>
    </row>
    <row r="4" spans="1:47" s="740" customFormat="1">
      <c r="A4" s="610">
        <v>3</v>
      </c>
      <c r="B4" s="633" t="s">
        <v>26</v>
      </c>
      <c r="C4" s="612" t="s">
        <v>91</v>
      </c>
      <c r="D4" s="612">
        <v>1</v>
      </c>
      <c r="E4" s="612" t="s">
        <v>46</v>
      </c>
      <c r="F4" s="628">
        <v>121.32</v>
      </c>
      <c r="G4" s="629"/>
      <c r="H4" s="629">
        <v>49.07</v>
      </c>
      <c r="I4" s="629"/>
      <c r="J4" s="615">
        <f t="shared" si="4"/>
        <v>136.041</v>
      </c>
      <c r="K4" s="630">
        <v>2</v>
      </c>
      <c r="L4" s="610">
        <v>-1</v>
      </c>
      <c r="M4" s="610" t="s">
        <v>17329</v>
      </c>
      <c r="N4" s="610"/>
      <c r="O4" s="610"/>
      <c r="P4" s="618"/>
      <c r="Q4" s="626">
        <f t="shared" si="5"/>
        <v>580800</v>
      </c>
      <c r="R4" s="618">
        <v>605000</v>
      </c>
      <c r="S4" s="619">
        <f t="shared" si="0"/>
        <v>-4.0000000000000036E-2</v>
      </c>
      <c r="T4" s="620">
        <f t="shared" si="1"/>
        <v>0</v>
      </c>
      <c r="U4" s="620">
        <f t="shared" si="2"/>
        <v>4269.3011665600816</v>
      </c>
      <c r="V4" s="620">
        <f t="shared" si="3"/>
        <v>4447.1887151667515</v>
      </c>
      <c r="W4" s="620"/>
      <c r="X4" s="621"/>
      <c r="Y4" s="622"/>
      <c r="Z4" s="622"/>
      <c r="AA4" s="623"/>
      <c r="AB4" s="623"/>
      <c r="AC4" s="622"/>
      <c r="AD4" s="623"/>
      <c r="AE4" s="622"/>
      <c r="AF4" s="623"/>
      <c r="AG4" s="610"/>
      <c r="AH4" s="610"/>
      <c r="AI4" s="624"/>
      <c r="AJ4" s="624"/>
      <c r="AK4" s="624"/>
      <c r="AL4" s="624"/>
      <c r="AM4" s="610"/>
      <c r="AN4" s="625"/>
      <c r="AO4" s="625"/>
      <c r="AP4" s="625"/>
      <c r="AQ4" s="625"/>
      <c r="AR4" s="625"/>
      <c r="AS4" s="625"/>
      <c r="AT4" s="626"/>
      <c r="AU4" s="626"/>
    </row>
    <row r="5" spans="1:47" s="740" customFormat="1">
      <c r="A5" s="610">
        <v>4</v>
      </c>
      <c r="B5" s="633" t="s">
        <v>27</v>
      </c>
      <c r="C5" s="612" t="s">
        <v>90</v>
      </c>
      <c r="D5" s="612">
        <v>1</v>
      </c>
      <c r="E5" s="612" t="s">
        <v>46</v>
      </c>
      <c r="F5" s="628">
        <v>56.7</v>
      </c>
      <c r="G5" s="629"/>
      <c r="H5" s="629">
        <v>22.59</v>
      </c>
      <c r="I5" s="629"/>
      <c r="J5" s="615">
        <f t="shared" si="4"/>
        <v>63.477000000000004</v>
      </c>
      <c r="K5" s="630">
        <v>1</v>
      </c>
      <c r="L5" s="610">
        <v>-1</v>
      </c>
      <c r="M5" s="610" t="s">
        <v>17329</v>
      </c>
      <c r="N5" s="610"/>
      <c r="O5" s="610"/>
      <c r="P5" s="618"/>
      <c r="Q5" s="626">
        <f t="shared" si="5"/>
        <v>307200</v>
      </c>
      <c r="R5" s="618">
        <v>320000</v>
      </c>
      <c r="S5" s="619">
        <f t="shared" si="0"/>
        <v>-4.0000000000000036E-2</v>
      </c>
      <c r="T5" s="620">
        <f t="shared" si="1"/>
        <v>0</v>
      </c>
      <c r="U5" s="620">
        <f t="shared" si="2"/>
        <v>4839.5481828063703</v>
      </c>
      <c r="V5" s="620">
        <f t="shared" si="3"/>
        <v>5041.1960237566364</v>
      </c>
      <c r="W5" s="620"/>
      <c r="X5" s="621"/>
      <c r="Y5" s="622"/>
      <c r="Z5" s="622"/>
      <c r="AA5" s="623"/>
      <c r="AB5" s="623"/>
      <c r="AC5" s="622"/>
      <c r="AD5" s="623"/>
      <c r="AE5" s="622"/>
      <c r="AF5" s="623"/>
      <c r="AG5" s="610"/>
      <c r="AH5" s="610"/>
      <c r="AI5" s="624"/>
      <c r="AJ5" s="624"/>
      <c r="AK5" s="624"/>
      <c r="AL5" s="624"/>
      <c r="AM5" s="624"/>
      <c r="AN5" s="625"/>
      <c r="AO5" s="625"/>
      <c r="AP5" s="625"/>
      <c r="AQ5" s="625"/>
      <c r="AR5" s="625"/>
      <c r="AS5" s="625"/>
      <c r="AT5" s="626"/>
      <c r="AU5" s="626"/>
    </row>
    <row r="6" spans="1:47" s="740" customFormat="1">
      <c r="A6" s="610">
        <v>5</v>
      </c>
      <c r="B6" s="633" t="s">
        <v>28</v>
      </c>
      <c r="C6" s="612" t="s">
        <v>90</v>
      </c>
      <c r="D6" s="612">
        <v>1</v>
      </c>
      <c r="E6" s="612" t="s">
        <v>46</v>
      </c>
      <c r="F6" s="628">
        <v>58.54</v>
      </c>
      <c r="G6" s="629"/>
      <c r="H6" s="629">
        <v>19.920000000000002</v>
      </c>
      <c r="I6" s="629"/>
      <c r="J6" s="615">
        <f t="shared" si="4"/>
        <v>64.516000000000005</v>
      </c>
      <c r="K6" s="630">
        <v>1</v>
      </c>
      <c r="L6" s="630">
        <v>-2</v>
      </c>
      <c r="M6" s="610" t="s">
        <v>17329</v>
      </c>
      <c r="N6" s="610"/>
      <c r="O6" s="610"/>
      <c r="P6" s="618"/>
      <c r="Q6" s="626">
        <f t="shared" si="5"/>
        <v>297600</v>
      </c>
      <c r="R6" s="618">
        <v>310000</v>
      </c>
      <c r="S6" s="619">
        <f>(Q6/R6)-1</f>
        <v>-4.0000000000000036E-2</v>
      </c>
      <c r="T6" s="620">
        <f t="shared" si="1"/>
        <v>0</v>
      </c>
      <c r="U6" s="620">
        <f t="shared" si="2"/>
        <v>4612.8092256184509</v>
      </c>
      <c r="V6" s="620">
        <f t="shared" si="3"/>
        <v>4805.0096100192195</v>
      </c>
      <c r="W6" s="620"/>
      <c r="X6" s="621"/>
      <c r="Y6" s="622"/>
      <c r="Z6" s="622"/>
      <c r="AA6" s="623"/>
      <c r="AB6" s="623"/>
      <c r="AC6" s="622"/>
      <c r="AD6" s="623"/>
      <c r="AE6" s="622"/>
      <c r="AF6" s="623"/>
      <c r="AG6" s="610"/>
      <c r="AH6" s="610"/>
      <c r="AI6" s="624"/>
      <c r="AJ6" s="624"/>
      <c r="AK6" s="624"/>
      <c r="AL6" s="624"/>
      <c r="AM6" s="610"/>
      <c r="AN6" s="625"/>
      <c r="AO6" s="625"/>
      <c r="AP6" s="625"/>
      <c r="AQ6" s="625"/>
      <c r="AR6" s="625"/>
      <c r="AS6" s="625"/>
      <c r="AT6" s="626"/>
      <c r="AU6" s="626"/>
    </row>
    <row r="7" spans="1:47" s="740" customFormat="1">
      <c r="A7" s="610">
        <v>6</v>
      </c>
      <c r="B7" s="633" t="s">
        <v>29</v>
      </c>
      <c r="C7" s="612" t="s">
        <v>91</v>
      </c>
      <c r="D7" s="612">
        <v>1</v>
      </c>
      <c r="E7" s="612" t="s">
        <v>753</v>
      </c>
      <c r="F7" s="628">
        <v>118.32</v>
      </c>
      <c r="G7" s="629">
        <v>9.2100000000000009</v>
      </c>
      <c r="H7" s="629">
        <v>16.8</v>
      </c>
      <c r="I7" s="629"/>
      <c r="J7" s="615">
        <f t="shared" si="4"/>
        <v>127.965</v>
      </c>
      <c r="K7" s="630">
        <v>2</v>
      </c>
      <c r="L7" s="610">
        <v>-2</v>
      </c>
      <c r="M7" s="610" t="s">
        <v>17329</v>
      </c>
      <c r="N7" s="610"/>
      <c r="O7" s="610"/>
      <c r="P7" s="618"/>
      <c r="Q7" s="626">
        <f t="shared" si="5"/>
        <v>508800</v>
      </c>
      <c r="R7" s="618">
        <v>530000</v>
      </c>
      <c r="S7" s="619">
        <f t="shared" si="0"/>
        <v>-4.0000000000000036E-2</v>
      </c>
      <c r="T7" s="620">
        <f t="shared" si="1"/>
        <v>0</v>
      </c>
      <c r="U7" s="620">
        <f t="shared" si="2"/>
        <v>3976.0872113468527</v>
      </c>
      <c r="V7" s="620">
        <f t="shared" si="3"/>
        <v>4141.7575118196382</v>
      </c>
      <c r="W7" s="620"/>
      <c r="X7" s="621"/>
      <c r="Y7" s="634"/>
      <c r="Z7" s="634"/>
      <c r="AA7" s="635"/>
      <c r="AB7" s="635"/>
      <c r="AC7" s="634"/>
      <c r="AD7" s="635"/>
      <c r="AE7" s="634"/>
      <c r="AF7" s="635"/>
      <c r="AG7" s="610"/>
      <c r="AH7" s="610"/>
      <c r="AI7" s="624"/>
      <c r="AJ7" s="624"/>
      <c r="AK7" s="624"/>
      <c r="AL7" s="624"/>
      <c r="AM7" s="624"/>
      <c r="AN7" s="610"/>
      <c r="AO7" s="610"/>
      <c r="AP7" s="610"/>
      <c r="AQ7" s="610"/>
      <c r="AR7" s="610"/>
      <c r="AS7" s="610"/>
      <c r="AT7" s="626"/>
      <c r="AU7" s="626"/>
    </row>
    <row r="8" spans="1:47" s="289" customFormat="1">
      <c r="A8" s="31">
        <v>7</v>
      </c>
      <c r="B8" s="87" t="s">
        <v>30</v>
      </c>
      <c r="C8" s="88" t="s">
        <v>89</v>
      </c>
      <c r="D8" s="88">
        <v>2</v>
      </c>
      <c r="E8" s="88" t="s">
        <v>17361</v>
      </c>
      <c r="F8" s="90">
        <v>135.16</v>
      </c>
      <c r="G8" s="24">
        <v>16.8</v>
      </c>
      <c r="H8" s="24"/>
      <c r="I8" s="24"/>
      <c r="J8" s="615">
        <f t="shared" si="4"/>
        <v>143.56</v>
      </c>
      <c r="K8" s="375">
        <v>2</v>
      </c>
      <c r="L8" s="31">
        <v>-1</v>
      </c>
      <c r="M8" s="31" t="s">
        <v>17329</v>
      </c>
      <c r="N8" s="31"/>
      <c r="O8" s="31"/>
      <c r="P8" s="89"/>
      <c r="Q8" s="39">
        <f t="shared" si="5"/>
        <v>806400</v>
      </c>
      <c r="R8" s="89">
        <v>840000</v>
      </c>
      <c r="S8" s="37">
        <f t="shared" si="0"/>
        <v>-4.0000000000000036E-2</v>
      </c>
      <c r="T8" s="32">
        <f t="shared" si="1"/>
        <v>0</v>
      </c>
      <c r="U8" s="32">
        <f t="shared" si="2"/>
        <v>5617.163555307885</v>
      </c>
      <c r="V8" s="32">
        <f t="shared" si="3"/>
        <v>5851.2120367790467</v>
      </c>
      <c r="W8" s="32"/>
      <c r="X8" s="278"/>
      <c r="Y8" s="35"/>
      <c r="Z8" s="35"/>
      <c r="AA8" s="93"/>
      <c r="AB8" s="93"/>
      <c r="AC8" s="35"/>
      <c r="AD8" s="93"/>
      <c r="AE8" s="35"/>
      <c r="AF8" s="93"/>
      <c r="AG8" s="31"/>
      <c r="AH8" s="31"/>
      <c r="AI8" s="307"/>
      <c r="AJ8" s="307"/>
      <c r="AK8" s="307"/>
      <c r="AL8" s="307"/>
      <c r="AM8" s="31"/>
      <c r="AN8" s="31"/>
      <c r="AO8" s="31"/>
      <c r="AP8" s="31"/>
      <c r="AQ8" s="31"/>
      <c r="AR8" s="31"/>
      <c r="AS8" s="31"/>
      <c r="AT8" s="39"/>
      <c r="AU8" s="39"/>
    </row>
    <row r="9" spans="1:47" s="289" customFormat="1">
      <c r="A9" s="31">
        <v>8</v>
      </c>
      <c r="B9" s="87" t="s">
        <v>31</v>
      </c>
      <c r="C9" s="88" t="s">
        <v>91</v>
      </c>
      <c r="D9" s="88">
        <v>2</v>
      </c>
      <c r="E9" s="88" t="s">
        <v>17362</v>
      </c>
      <c r="F9" s="90">
        <v>119.3</v>
      </c>
      <c r="G9" s="24">
        <v>16.8</v>
      </c>
      <c r="H9" s="24"/>
      <c r="I9" s="24"/>
      <c r="J9" s="615">
        <f t="shared" si="4"/>
        <v>127.7</v>
      </c>
      <c r="K9" s="375">
        <v>2</v>
      </c>
      <c r="L9" s="31">
        <v>-2</v>
      </c>
      <c r="M9" s="31" t="s">
        <v>17329</v>
      </c>
      <c r="N9" s="31"/>
      <c r="O9" s="31"/>
      <c r="P9" s="89"/>
      <c r="Q9" s="39">
        <f t="shared" si="5"/>
        <v>614400</v>
      </c>
      <c r="R9" s="89">
        <v>640000</v>
      </c>
      <c r="S9" s="37">
        <f t="shared" si="0"/>
        <v>-4.0000000000000036E-2</v>
      </c>
      <c r="T9" s="32">
        <f t="shared" si="1"/>
        <v>0</v>
      </c>
      <c r="U9" s="32">
        <f t="shared" si="2"/>
        <v>4811.2764291307749</v>
      </c>
      <c r="V9" s="32">
        <f t="shared" si="3"/>
        <v>5011.7462803445578</v>
      </c>
      <c r="W9" s="32"/>
      <c r="X9" s="278"/>
      <c r="Y9" s="319"/>
      <c r="Z9" s="319"/>
      <c r="AA9" s="316"/>
      <c r="AB9" s="316"/>
      <c r="AC9" s="319"/>
      <c r="AD9" s="316"/>
      <c r="AE9" s="319"/>
      <c r="AF9" s="316"/>
      <c r="AG9" s="31"/>
      <c r="AH9" s="31"/>
      <c r="AI9" s="307"/>
      <c r="AJ9" s="307"/>
      <c r="AK9" s="307"/>
      <c r="AL9" s="307"/>
      <c r="AM9" s="31"/>
      <c r="AN9" s="131"/>
      <c r="AO9" s="131"/>
      <c r="AP9" s="131"/>
      <c r="AQ9" s="131"/>
      <c r="AR9" s="131"/>
      <c r="AS9" s="131"/>
      <c r="AT9" s="39"/>
      <c r="AU9" s="39"/>
    </row>
    <row r="10" spans="1:47" s="289" customFormat="1">
      <c r="A10" s="31">
        <v>9</v>
      </c>
      <c r="B10" s="87" t="s">
        <v>32</v>
      </c>
      <c r="C10" s="88" t="s">
        <v>89</v>
      </c>
      <c r="D10" s="88">
        <v>2</v>
      </c>
      <c r="E10" s="88" t="s">
        <v>17362</v>
      </c>
      <c r="F10" s="90">
        <v>134.51</v>
      </c>
      <c r="G10" s="24">
        <v>16.8</v>
      </c>
      <c r="H10" s="24"/>
      <c r="I10" s="24"/>
      <c r="J10" s="615">
        <f t="shared" si="4"/>
        <v>142.91</v>
      </c>
      <c r="K10" s="375">
        <v>2</v>
      </c>
      <c r="L10" s="31">
        <v>-2</v>
      </c>
      <c r="M10" s="31" t="s">
        <v>17329</v>
      </c>
      <c r="N10" s="31"/>
      <c r="O10" s="31"/>
      <c r="P10" s="89"/>
      <c r="Q10" s="39">
        <f t="shared" si="5"/>
        <v>696000</v>
      </c>
      <c r="R10" s="89">
        <v>725000</v>
      </c>
      <c r="S10" s="37">
        <f t="shared" si="0"/>
        <v>-4.0000000000000036E-2</v>
      </c>
      <c r="T10" s="32">
        <f t="shared" si="1"/>
        <v>0</v>
      </c>
      <c r="U10" s="32">
        <f t="shared" si="2"/>
        <v>4870.1980267301096</v>
      </c>
      <c r="V10" s="32">
        <f t="shared" si="3"/>
        <v>5073.1229445105309</v>
      </c>
      <c r="W10" s="32"/>
      <c r="X10" s="278"/>
      <c r="Y10" s="33"/>
      <c r="Z10" s="33"/>
      <c r="AA10" s="311"/>
      <c r="AB10" s="311"/>
      <c r="AC10" s="33"/>
      <c r="AD10" s="311"/>
      <c r="AE10" s="33"/>
      <c r="AF10" s="311"/>
      <c r="AG10" s="31"/>
      <c r="AH10" s="31"/>
      <c r="AI10" s="307"/>
      <c r="AJ10" s="307"/>
      <c r="AK10" s="307"/>
      <c r="AL10" s="307"/>
      <c r="AM10" s="31"/>
      <c r="AN10" s="34"/>
      <c r="AO10" s="131"/>
      <c r="AP10" s="131"/>
      <c r="AQ10" s="131"/>
      <c r="AR10" s="34"/>
      <c r="AS10" s="34"/>
      <c r="AT10" s="39"/>
      <c r="AU10" s="39"/>
    </row>
    <row r="11" spans="1:47" s="289" customFormat="1">
      <c r="A11" s="31">
        <v>10</v>
      </c>
      <c r="B11" s="87" t="s">
        <v>33</v>
      </c>
      <c r="C11" s="88" t="s">
        <v>90</v>
      </c>
      <c r="D11" s="88">
        <v>2</v>
      </c>
      <c r="E11" s="88" t="s">
        <v>46</v>
      </c>
      <c r="F11" s="90">
        <v>58.02</v>
      </c>
      <c r="G11" s="24">
        <v>16.8</v>
      </c>
      <c r="H11" s="24"/>
      <c r="I11" s="24"/>
      <c r="J11" s="615">
        <f t="shared" si="4"/>
        <v>66.42</v>
      </c>
      <c r="K11" s="375">
        <v>1</v>
      </c>
      <c r="L11" s="31">
        <v>-1</v>
      </c>
      <c r="M11" s="31" t="s">
        <v>17329</v>
      </c>
      <c r="N11" s="31"/>
      <c r="O11" s="31"/>
      <c r="P11" s="89"/>
      <c r="Q11" s="39">
        <f t="shared" si="5"/>
        <v>316800</v>
      </c>
      <c r="R11" s="89">
        <v>330000</v>
      </c>
      <c r="S11" s="37">
        <f t="shared" si="0"/>
        <v>-4.0000000000000036E-2</v>
      </c>
      <c r="T11" s="32">
        <f t="shared" si="1"/>
        <v>0</v>
      </c>
      <c r="U11" s="32">
        <f t="shared" si="2"/>
        <v>4769.6476964769645</v>
      </c>
      <c r="V11" s="32">
        <f t="shared" si="3"/>
        <v>4968.3830171635045</v>
      </c>
      <c r="W11" s="32"/>
      <c r="X11" s="278"/>
      <c r="Y11" s="33"/>
      <c r="Z11" s="33"/>
      <c r="AA11" s="311"/>
      <c r="AB11" s="311"/>
      <c r="AC11" s="33"/>
      <c r="AD11" s="311"/>
      <c r="AE11" s="33"/>
      <c r="AF11" s="311"/>
      <c r="AG11" s="31"/>
      <c r="AH11" s="31"/>
      <c r="AI11" s="307"/>
      <c r="AJ11" s="307"/>
      <c r="AK11" s="307"/>
      <c r="AL11" s="307"/>
      <c r="AM11" s="307"/>
      <c r="AN11" s="36"/>
      <c r="AO11" s="36"/>
      <c r="AP11" s="36"/>
      <c r="AQ11" s="36"/>
      <c r="AR11" s="36"/>
      <c r="AS11" s="36"/>
      <c r="AT11" s="39"/>
      <c r="AU11" s="39"/>
    </row>
    <row r="12" spans="1:47" s="289" customFormat="1">
      <c r="A12" s="31">
        <v>11</v>
      </c>
      <c r="B12" s="87" t="s">
        <v>34</v>
      </c>
      <c r="C12" s="88" t="s">
        <v>91</v>
      </c>
      <c r="D12" s="88">
        <v>2</v>
      </c>
      <c r="E12" s="88" t="s">
        <v>17261</v>
      </c>
      <c r="F12" s="90">
        <v>86.27</v>
      </c>
      <c r="G12" s="24">
        <v>16.8</v>
      </c>
      <c r="H12" s="24"/>
      <c r="I12" s="24"/>
      <c r="J12" s="615">
        <f t="shared" si="4"/>
        <v>94.67</v>
      </c>
      <c r="K12" s="375">
        <v>1</v>
      </c>
      <c r="L12" s="31">
        <v>-1</v>
      </c>
      <c r="M12" s="31" t="s">
        <v>17329</v>
      </c>
      <c r="N12" s="31"/>
      <c r="O12" s="31"/>
      <c r="P12" s="89"/>
      <c r="Q12" s="39">
        <f t="shared" si="5"/>
        <v>556800</v>
      </c>
      <c r="R12" s="89">
        <v>580000</v>
      </c>
      <c r="S12" s="37">
        <f t="shared" si="0"/>
        <v>-4.0000000000000036E-2</v>
      </c>
      <c r="T12" s="32">
        <f t="shared" si="1"/>
        <v>0</v>
      </c>
      <c r="U12" s="32">
        <f t="shared" si="2"/>
        <v>5881.4830463716062</v>
      </c>
      <c r="V12" s="32">
        <f t="shared" si="3"/>
        <v>6126.5448399704237</v>
      </c>
      <c r="W12" s="32"/>
      <c r="X12" s="278"/>
      <c r="Y12" s="33"/>
      <c r="Z12" s="33"/>
      <c r="AA12" s="311"/>
      <c r="AB12" s="311"/>
      <c r="AC12" s="33"/>
      <c r="AD12" s="311"/>
      <c r="AE12" s="33"/>
      <c r="AF12" s="311"/>
      <c r="AG12" s="31"/>
      <c r="AH12" s="31"/>
      <c r="AI12" s="307"/>
      <c r="AJ12" s="307"/>
      <c r="AK12" s="307"/>
      <c r="AL12" s="307"/>
      <c r="AM12" s="307"/>
      <c r="AN12" s="36"/>
      <c r="AO12" s="36"/>
      <c r="AP12" s="36"/>
      <c r="AQ12" s="36"/>
      <c r="AR12" s="36"/>
      <c r="AS12" s="36"/>
      <c r="AT12" s="39"/>
      <c r="AU12" s="39"/>
    </row>
    <row r="13" spans="1:47" s="289" customFormat="1">
      <c r="A13" s="31">
        <v>12</v>
      </c>
      <c r="B13" s="87" t="s">
        <v>35</v>
      </c>
      <c r="C13" s="88" t="s">
        <v>91</v>
      </c>
      <c r="D13" s="88">
        <v>2</v>
      </c>
      <c r="E13" s="88" t="s">
        <v>753</v>
      </c>
      <c r="F13" s="90">
        <v>84.95</v>
      </c>
      <c r="G13" s="24">
        <v>21.87</v>
      </c>
      <c r="H13" s="24"/>
      <c r="I13" s="24"/>
      <c r="J13" s="615">
        <f t="shared" si="4"/>
        <v>95.885000000000005</v>
      </c>
      <c r="K13" s="375">
        <v>1</v>
      </c>
      <c r="L13" s="31">
        <v>-2</v>
      </c>
      <c r="M13" s="31" t="s">
        <v>17329</v>
      </c>
      <c r="N13" s="31"/>
      <c r="O13" s="31"/>
      <c r="P13" s="89"/>
      <c r="Q13" s="39">
        <f t="shared" si="5"/>
        <v>441600</v>
      </c>
      <c r="R13" s="89">
        <v>460000</v>
      </c>
      <c r="S13" s="37">
        <f t="shared" si="0"/>
        <v>-4.0000000000000036E-2</v>
      </c>
      <c r="T13" s="32">
        <f t="shared" si="1"/>
        <v>0</v>
      </c>
      <c r="U13" s="32">
        <f t="shared" si="2"/>
        <v>4605.5170256035872</v>
      </c>
      <c r="V13" s="32">
        <f t="shared" si="3"/>
        <v>4797.4135683370705</v>
      </c>
      <c r="W13" s="32"/>
      <c r="X13" s="278"/>
      <c r="Y13" s="33"/>
      <c r="Z13" s="33"/>
      <c r="AA13" s="311"/>
      <c r="AB13" s="311"/>
      <c r="AC13" s="33"/>
      <c r="AD13" s="311"/>
      <c r="AE13" s="33"/>
      <c r="AF13" s="311"/>
      <c r="AG13" s="31"/>
      <c r="AH13" s="31"/>
      <c r="AI13" s="307"/>
      <c r="AJ13" s="307"/>
      <c r="AK13" s="307"/>
      <c r="AL13" s="307"/>
      <c r="AM13" s="307"/>
      <c r="AN13" s="34"/>
      <c r="AO13" s="34"/>
      <c r="AP13" s="34"/>
      <c r="AQ13" s="34"/>
      <c r="AR13" s="34"/>
      <c r="AS13" s="34"/>
      <c r="AT13" s="39"/>
      <c r="AU13" s="39"/>
    </row>
    <row r="14" spans="1:47" s="740" customFormat="1">
      <c r="A14" s="610">
        <v>13</v>
      </c>
      <c r="B14" s="633" t="s">
        <v>36</v>
      </c>
      <c r="C14" s="612" t="s">
        <v>89</v>
      </c>
      <c r="D14" s="612">
        <v>3</v>
      </c>
      <c r="E14" s="612" t="s">
        <v>17362</v>
      </c>
      <c r="F14" s="628">
        <v>135.16</v>
      </c>
      <c r="G14" s="629">
        <v>16.8</v>
      </c>
      <c r="H14" s="629"/>
      <c r="I14" s="629"/>
      <c r="J14" s="615">
        <f t="shared" si="4"/>
        <v>143.56</v>
      </c>
      <c r="K14" s="630">
        <v>2</v>
      </c>
      <c r="L14" s="610">
        <v>-2</v>
      </c>
      <c r="M14" s="610" t="s">
        <v>17321</v>
      </c>
      <c r="N14" s="610"/>
      <c r="O14" s="610"/>
      <c r="P14" s="618"/>
      <c r="Q14" s="626">
        <f t="shared" si="5"/>
        <v>883200</v>
      </c>
      <c r="R14" s="618">
        <v>920000</v>
      </c>
      <c r="S14" s="619">
        <f t="shared" si="0"/>
        <v>-4.0000000000000036E-2</v>
      </c>
      <c r="T14" s="620">
        <f t="shared" si="1"/>
        <v>0</v>
      </c>
      <c r="U14" s="620">
        <f t="shared" si="2"/>
        <v>6152.1315129562554</v>
      </c>
      <c r="V14" s="620">
        <f t="shared" si="3"/>
        <v>6408.4703259960988</v>
      </c>
      <c r="W14" s="620"/>
      <c r="X14" s="621"/>
      <c r="Y14" s="622"/>
      <c r="Z14" s="622"/>
      <c r="AA14" s="623"/>
      <c r="AB14" s="623"/>
      <c r="AC14" s="622"/>
      <c r="AD14" s="623"/>
      <c r="AE14" s="622"/>
      <c r="AF14" s="623"/>
      <c r="AG14" s="610"/>
      <c r="AH14" s="610"/>
      <c r="AI14" s="624"/>
      <c r="AJ14" s="624"/>
      <c r="AK14" s="624"/>
      <c r="AL14" s="624"/>
      <c r="AM14" s="624"/>
      <c r="AN14" s="625"/>
      <c r="AO14" s="625"/>
      <c r="AP14" s="625"/>
      <c r="AQ14" s="625"/>
      <c r="AR14" s="625"/>
      <c r="AS14" s="625"/>
      <c r="AT14" s="626"/>
      <c r="AU14" s="626"/>
    </row>
    <row r="15" spans="1:47" s="740" customFormat="1" ht="15.75" thickBot="1">
      <c r="A15" s="610">
        <v>14</v>
      </c>
      <c r="B15" s="633" t="s">
        <v>37</v>
      </c>
      <c r="C15" s="612" t="s">
        <v>89</v>
      </c>
      <c r="D15" s="612">
        <v>3</v>
      </c>
      <c r="E15" s="612" t="s">
        <v>17362</v>
      </c>
      <c r="F15" s="639">
        <v>134.63999999999999</v>
      </c>
      <c r="G15" s="629">
        <v>16.829999999999998</v>
      </c>
      <c r="H15" s="629"/>
      <c r="I15" s="629"/>
      <c r="J15" s="615">
        <f t="shared" si="4"/>
        <v>143.05499999999998</v>
      </c>
      <c r="K15" s="630">
        <v>2</v>
      </c>
      <c r="L15" s="610">
        <v>-2</v>
      </c>
      <c r="M15" s="610" t="s">
        <v>17321</v>
      </c>
      <c r="N15" s="610"/>
      <c r="O15" s="610"/>
      <c r="P15" s="618"/>
      <c r="Q15" s="626">
        <f t="shared" si="5"/>
        <v>883200</v>
      </c>
      <c r="R15" s="618">
        <v>920000</v>
      </c>
      <c r="S15" s="619">
        <f t="shared" si="0"/>
        <v>-4.0000000000000036E-2</v>
      </c>
      <c r="T15" s="620">
        <f t="shared" si="1"/>
        <v>0</v>
      </c>
      <c r="U15" s="620">
        <f t="shared" si="2"/>
        <v>6173.8492188319187</v>
      </c>
      <c r="V15" s="620">
        <f t="shared" si="3"/>
        <v>6431.0929362832485</v>
      </c>
      <c r="W15" s="620"/>
      <c r="X15" s="621"/>
      <c r="Y15" s="622"/>
      <c r="Z15" s="622"/>
      <c r="AA15" s="623"/>
      <c r="AB15" s="623"/>
      <c r="AC15" s="622"/>
      <c r="AD15" s="623"/>
      <c r="AE15" s="622"/>
      <c r="AF15" s="623"/>
      <c r="AG15" s="610"/>
      <c r="AH15" s="610"/>
      <c r="AI15" s="624"/>
      <c r="AJ15" s="624"/>
      <c r="AK15" s="624"/>
      <c r="AL15" s="624"/>
      <c r="AM15" s="610"/>
      <c r="AN15" s="625"/>
      <c r="AO15" s="625"/>
      <c r="AP15" s="625"/>
      <c r="AQ15" s="625"/>
      <c r="AR15" s="625"/>
      <c r="AS15" s="625"/>
      <c r="AT15" s="626"/>
      <c r="AU15" s="626"/>
    </row>
    <row r="16" spans="1:47" s="740" customFormat="1">
      <c r="A16" s="610">
        <v>15</v>
      </c>
      <c r="B16" s="633" t="s">
        <v>38</v>
      </c>
      <c r="C16" s="612" t="s">
        <v>89</v>
      </c>
      <c r="D16" s="612">
        <v>3</v>
      </c>
      <c r="E16" s="612" t="s">
        <v>17362</v>
      </c>
      <c r="F16" s="613">
        <v>134.51</v>
      </c>
      <c r="G16" s="629">
        <v>16.8</v>
      </c>
      <c r="H16" s="629"/>
      <c r="I16" s="629"/>
      <c r="J16" s="615">
        <f t="shared" si="4"/>
        <v>142.91</v>
      </c>
      <c r="K16" s="616">
        <v>2</v>
      </c>
      <c r="L16" s="610">
        <v>-1</v>
      </c>
      <c r="M16" s="610" t="s">
        <v>17329</v>
      </c>
      <c r="N16" s="610"/>
      <c r="O16" s="610"/>
      <c r="P16" s="618"/>
      <c r="Q16" s="626">
        <f t="shared" si="5"/>
        <v>864000</v>
      </c>
      <c r="R16" s="618">
        <v>900000</v>
      </c>
      <c r="S16" s="619">
        <f t="shared" si="0"/>
        <v>-4.0000000000000036E-2</v>
      </c>
      <c r="T16" s="620">
        <f t="shared" si="1"/>
        <v>0</v>
      </c>
      <c r="U16" s="620">
        <f t="shared" si="2"/>
        <v>6045.7630676649642</v>
      </c>
      <c r="V16" s="620">
        <f t="shared" si="3"/>
        <v>6297.6698621510041</v>
      </c>
      <c r="W16" s="620"/>
      <c r="X16" s="621"/>
      <c r="Y16" s="622"/>
      <c r="Z16" s="622"/>
      <c r="AA16" s="623"/>
      <c r="AB16" s="623"/>
      <c r="AC16" s="622"/>
      <c r="AD16" s="623"/>
      <c r="AE16" s="622"/>
      <c r="AF16" s="623"/>
      <c r="AG16" s="610"/>
      <c r="AH16" s="610"/>
      <c r="AI16" s="624"/>
      <c r="AJ16" s="624"/>
      <c r="AK16" s="624"/>
      <c r="AL16" s="624"/>
      <c r="AM16" s="610"/>
      <c r="AN16" s="625"/>
      <c r="AO16" s="625"/>
      <c r="AP16" s="625"/>
      <c r="AQ16" s="625"/>
      <c r="AR16" s="625"/>
      <c r="AS16" s="625"/>
      <c r="AT16" s="626"/>
      <c r="AU16" s="626"/>
    </row>
    <row r="17" spans="1:47" s="740" customFormat="1">
      <c r="A17" s="610">
        <v>16</v>
      </c>
      <c r="B17" s="633" t="s">
        <v>39</v>
      </c>
      <c r="C17" s="612" t="s">
        <v>89</v>
      </c>
      <c r="D17" s="612">
        <v>3</v>
      </c>
      <c r="E17" s="612" t="s">
        <v>146</v>
      </c>
      <c r="F17" s="628">
        <v>141.72</v>
      </c>
      <c r="G17" s="629">
        <v>39.19</v>
      </c>
      <c r="H17" s="629"/>
      <c r="I17" s="629"/>
      <c r="J17" s="615">
        <f t="shared" si="4"/>
        <v>161.315</v>
      </c>
      <c r="K17" s="630">
        <v>2</v>
      </c>
      <c r="L17" s="610">
        <v>-1</v>
      </c>
      <c r="M17" s="610" t="s">
        <v>17321</v>
      </c>
      <c r="N17" s="610"/>
      <c r="O17" s="610"/>
      <c r="P17" s="618"/>
      <c r="Q17" s="626">
        <f t="shared" si="5"/>
        <v>1104000</v>
      </c>
      <c r="R17" s="618">
        <v>1150000</v>
      </c>
      <c r="S17" s="619">
        <f t="shared" si="0"/>
        <v>-4.0000000000000036E-2</v>
      </c>
      <c r="T17" s="620">
        <f t="shared" si="1"/>
        <v>0</v>
      </c>
      <c r="U17" s="620">
        <f t="shared" si="2"/>
        <v>6843.7529058054115</v>
      </c>
      <c r="V17" s="620">
        <f t="shared" si="3"/>
        <v>7128.9092768806377</v>
      </c>
      <c r="W17" s="620"/>
      <c r="X17" s="621"/>
      <c r="Y17" s="622"/>
      <c r="Z17" s="622"/>
      <c r="AA17" s="623"/>
      <c r="AB17" s="623"/>
      <c r="AC17" s="622"/>
      <c r="AD17" s="623"/>
      <c r="AE17" s="622"/>
      <c r="AF17" s="623"/>
      <c r="AG17" s="610"/>
      <c r="AH17" s="610"/>
      <c r="AI17" s="624"/>
      <c r="AJ17" s="624"/>
      <c r="AK17" s="624"/>
      <c r="AL17" s="624"/>
      <c r="AM17" s="624"/>
      <c r="AN17" s="625"/>
      <c r="AO17" s="625"/>
      <c r="AP17" s="625"/>
      <c r="AQ17" s="625"/>
      <c r="AR17" s="625"/>
      <c r="AS17" s="625"/>
      <c r="AT17" s="626"/>
      <c r="AU17" s="626"/>
    </row>
    <row r="18" spans="1:47" s="740" customFormat="1">
      <c r="A18" s="610">
        <v>17</v>
      </c>
      <c r="B18" s="633" t="s">
        <v>40</v>
      </c>
      <c r="C18" s="612" t="s">
        <v>91</v>
      </c>
      <c r="D18" s="612">
        <v>3</v>
      </c>
      <c r="E18" s="612" t="s">
        <v>753</v>
      </c>
      <c r="F18" s="628">
        <v>85.26</v>
      </c>
      <c r="G18" s="629">
        <v>21.87</v>
      </c>
      <c r="H18" s="629"/>
      <c r="I18" s="629"/>
      <c r="J18" s="615">
        <f t="shared" si="4"/>
        <v>96.195000000000007</v>
      </c>
      <c r="K18" s="630">
        <v>1</v>
      </c>
      <c r="L18" s="610">
        <v>-2</v>
      </c>
      <c r="M18" s="610" t="s">
        <v>17329</v>
      </c>
      <c r="N18" s="610"/>
      <c r="O18" s="610"/>
      <c r="P18" s="618"/>
      <c r="Q18" s="626">
        <f t="shared" si="5"/>
        <v>451200</v>
      </c>
      <c r="R18" s="618">
        <v>470000</v>
      </c>
      <c r="S18" s="619">
        <f t="shared" si="0"/>
        <v>-4.0000000000000036E-2</v>
      </c>
      <c r="T18" s="620">
        <f t="shared" si="1"/>
        <v>0</v>
      </c>
      <c r="U18" s="620">
        <f t="shared" si="2"/>
        <v>4690.47247777951</v>
      </c>
      <c r="V18" s="620">
        <f t="shared" si="3"/>
        <v>4885.9088310203233</v>
      </c>
      <c r="W18" s="620"/>
      <c r="X18" s="621"/>
      <c r="Y18" s="634"/>
      <c r="Z18" s="634"/>
      <c r="AA18" s="635"/>
      <c r="AB18" s="635"/>
      <c r="AC18" s="634"/>
      <c r="AD18" s="635"/>
      <c r="AE18" s="634"/>
      <c r="AF18" s="635"/>
      <c r="AG18" s="610"/>
      <c r="AH18" s="610"/>
      <c r="AI18" s="624"/>
      <c r="AJ18" s="624"/>
      <c r="AK18" s="624"/>
      <c r="AL18" s="624"/>
      <c r="AM18" s="610"/>
      <c r="AN18" s="610"/>
      <c r="AO18" s="610"/>
      <c r="AP18" s="610"/>
      <c r="AQ18" s="610"/>
      <c r="AR18" s="610"/>
      <c r="AS18" s="610"/>
      <c r="AT18" s="626"/>
      <c r="AU18" s="626"/>
    </row>
    <row r="19" spans="1:47" s="289" customFormat="1">
      <c r="A19" s="31">
        <v>18</v>
      </c>
      <c r="B19" s="87" t="s">
        <v>41</v>
      </c>
      <c r="C19" s="88" t="s">
        <v>89</v>
      </c>
      <c r="D19" s="88">
        <v>4</v>
      </c>
      <c r="E19" s="88" t="s">
        <v>17362</v>
      </c>
      <c r="F19" s="90">
        <v>135</v>
      </c>
      <c r="G19" s="24">
        <v>16.8</v>
      </c>
      <c r="H19" s="24"/>
      <c r="I19" s="24"/>
      <c r="J19" s="615">
        <f t="shared" si="4"/>
        <v>143.4</v>
      </c>
      <c r="K19" s="375">
        <v>2</v>
      </c>
      <c r="L19" s="31">
        <v>-1</v>
      </c>
      <c r="M19" s="31" t="s">
        <v>17321</v>
      </c>
      <c r="N19" s="31"/>
      <c r="O19" s="31"/>
      <c r="P19" s="89"/>
      <c r="Q19" s="39">
        <f t="shared" si="5"/>
        <v>902400</v>
      </c>
      <c r="R19" s="89">
        <v>940000</v>
      </c>
      <c r="S19" s="37">
        <f t="shared" si="0"/>
        <v>-4.0000000000000036E-2</v>
      </c>
      <c r="T19" s="32">
        <f t="shared" si="1"/>
        <v>0</v>
      </c>
      <c r="U19" s="32">
        <f t="shared" si="2"/>
        <v>6292.8870292887023</v>
      </c>
      <c r="V19" s="32">
        <f t="shared" si="3"/>
        <v>6555.0906555090651</v>
      </c>
      <c r="W19" s="32"/>
      <c r="X19" s="278"/>
      <c r="Y19" s="33"/>
      <c r="Z19" s="33"/>
      <c r="AA19" s="311"/>
      <c r="AB19" s="311"/>
      <c r="AC19" s="33"/>
      <c r="AD19" s="311"/>
      <c r="AE19" s="33"/>
      <c r="AF19" s="311"/>
      <c r="AG19" s="31"/>
      <c r="AH19" s="31"/>
      <c r="AI19" s="307"/>
      <c r="AJ19" s="307"/>
      <c r="AK19" s="307"/>
      <c r="AL19" s="307"/>
      <c r="AM19" s="31"/>
      <c r="AN19" s="34"/>
      <c r="AO19" s="34"/>
      <c r="AP19" s="34"/>
      <c r="AQ19" s="34"/>
      <c r="AR19" s="34"/>
      <c r="AS19" s="34"/>
      <c r="AT19" s="39"/>
      <c r="AU19" s="39"/>
    </row>
    <row r="20" spans="1:47" s="289" customFormat="1">
      <c r="A20" s="31">
        <v>19</v>
      </c>
      <c r="B20" s="87" t="s">
        <v>42</v>
      </c>
      <c r="C20" s="88" t="s">
        <v>89</v>
      </c>
      <c r="D20" s="88">
        <v>4</v>
      </c>
      <c r="E20" s="88" t="s">
        <v>17362</v>
      </c>
      <c r="F20" s="90">
        <v>134.63999999999999</v>
      </c>
      <c r="G20" s="24">
        <v>16.829999999999998</v>
      </c>
      <c r="H20" s="24"/>
      <c r="I20" s="24"/>
      <c r="J20" s="615">
        <f t="shared" si="4"/>
        <v>143.05499999999998</v>
      </c>
      <c r="K20" s="375">
        <v>2</v>
      </c>
      <c r="L20" s="31">
        <v>-2</v>
      </c>
      <c r="M20" s="31" t="s">
        <v>17321</v>
      </c>
      <c r="N20" s="31"/>
      <c r="O20" s="31"/>
      <c r="P20" s="89"/>
      <c r="Q20" s="39">
        <f t="shared" si="5"/>
        <v>902400</v>
      </c>
      <c r="R20" s="89">
        <v>940000</v>
      </c>
      <c r="S20" s="37">
        <f t="shared" si="0"/>
        <v>-4.0000000000000036E-2</v>
      </c>
      <c r="T20" s="32">
        <f t="shared" si="1"/>
        <v>0</v>
      </c>
      <c r="U20" s="32">
        <f t="shared" si="2"/>
        <v>6308.0633322847862</v>
      </c>
      <c r="V20" s="32">
        <f t="shared" si="3"/>
        <v>6570.8993044633189</v>
      </c>
      <c r="W20" s="32"/>
      <c r="X20" s="278"/>
      <c r="Y20" s="33"/>
      <c r="Z20" s="33"/>
      <c r="AA20" s="311"/>
      <c r="AB20" s="311"/>
      <c r="AC20" s="36"/>
      <c r="AD20" s="311"/>
      <c r="AE20" s="36"/>
      <c r="AF20" s="311"/>
      <c r="AG20" s="31"/>
      <c r="AH20" s="31"/>
      <c r="AI20" s="307"/>
      <c r="AJ20" s="307"/>
      <c r="AK20" s="307"/>
      <c r="AL20" s="307"/>
      <c r="AM20" s="31"/>
      <c r="AN20" s="303"/>
      <c r="AO20" s="34"/>
      <c r="AP20" s="34"/>
      <c r="AQ20" s="34"/>
      <c r="AR20" s="303"/>
      <c r="AS20" s="303"/>
      <c r="AT20" s="39"/>
      <c r="AU20" s="39"/>
    </row>
    <row r="21" spans="1:47" s="289" customFormat="1">
      <c r="A21" s="31">
        <v>20</v>
      </c>
      <c r="B21" s="87" t="s">
        <v>43</v>
      </c>
      <c r="C21" s="88" t="s">
        <v>89</v>
      </c>
      <c r="D21" s="88">
        <v>4</v>
      </c>
      <c r="E21" s="88" t="s">
        <v>17362</v>
      </c>
      <c r="F21" s="90">
        <v>134.51</v>
      </c>
      <c r="G21" s="24">
        <v>16.8</v>
      </c>
      <c r="H21" s="24"/>
      <c r="I21" s="24"/>
      <c r="J21" s="615">
        <f t="shared" si="4"/>
        <v>142.91</v>
      </c>
      <c r="K21" s="375">
        <v>2</v>
      </c>
      <c r="L21" s="31">
        <v>-1</v>
      </c>
      <c r="M21" s="31" t="s">
        <v>17321</v>
      </c>
      <c r="N21" s="31"/>
      <c r="O21" s="31"/>
      <c r="P21" s="89"/>
      <c r="Q21" s="39">
        <f t="shared" si="5"/>
        <v>902400</v>
      </c>
      <c r="R21" s="89">
        <v>940000</v>
      </c>
      <c r="S21" s="37">
        <f t="shared" si="0"/>
        <v>-4.0000000000000036E-2</v>
      </c>
      <c r="T21" s="32">
        <f t="shared" si="1"/>
        <v>0</v>
      </c>
      <c r="U21" s="32">
        <f t="shared" si="2"/>
        <v>6314.4636484500734</v>
      </c>
      <c r="V21" s="32">
        <f t="shared" si="3"/>
        <v>6577.5663004688267</v>
      </c>
      <c r="W21" s="32"/>
      <c r="X21" s="278"/>
      <c r="Y21" s="33"/>
      <c r="Z21" s="33"/>
      <c r="AA21" s="311"/>
      <c r="AB21" s="311"/>
      <c r="AC21" s="33"/>
      <c r="AD21" s="311"/>
      <c r="AE21" s="33"/>
      <c r="AF21" s="311"/>
      <c r="AG21" s="31"/>
      <c r="AH21" s="31"/>
      <c r="AI21" s="307"/>
      <c r="AJ21" s="307"/>
      <c r="AK21" s="307"/>
      <c r="AL21" s="307"/>
      <c r="AM21" s="31"/>
      <c r="AN21" s="34"/>
      <c r="AO21" s="34"/>
      <c r="AP21" s="34"/>
      <c r="AQ21" s="34"/>
      <c r="AR21" s="34"/>
      <c r="AS21" s="34"/>
      <c r="AT21" s="39"/>
      <c r="AU21" s="39"/>
    </row>
    <row r="22" spans="1:47" s="289" customFormat="1">
      <c r="A22" s="31">
        <v>21</v>
      </c>
      <c r="B22" s="87" t="s">
        <v>44</v>
      </c>
      <c r="C22" s="88" t="s">
        <v>93</v>
      </c>
      <c r="D22" s="88">
        <v>4</v>
      </c>
      <c r="E22" s="88" t="s">
        <v>17363</v>
      </c>
      <c r="F22" s="90">
        <v>185.85</v>
      </c>
      <c r="G22" s="24">
        <f>39.19+21.87</f>
        <v>61.06</v>
      </c>
      <c r="H22" s="24"/>
      <c r="I22" s="24"/>
      <c r="J22" s="615">
        <f t="shared" si="4"/>
        <v>216.38</v>
      </c>
      <c r="K22" s="375">
        <v>3</v>
      </c>
      <c r="L22" s="31">
        <v>-1</v>
      </c>
      <c r="M22" s="31" t="s">
        <v>17364</v>
      </c>
      <c r="N22" s="31"/>
      <c r="O22" s="31"/>
      <c r="P22" s="89"/>
      <c r="Q22" s="39">
        <f t="shared" si="5"/>
        <v>1200000</v>
      </c>
      <c r="R22" s="89">
        <v>1250000</v>
      </c>
      <c r="S22" s="37">
        <f t="shared" si="0"/>
        <v>-4.0000000000000036E-2</v>
      </c>
      <c r="T22" s="32">
        <f t="shared" si="1"/>
        <v>0</v>
      </c>
      <c r="U22" s="32">
        <f t="shared" si="2"/>
        <v>5545.7990572141607</v>
      </c>
      <c r="V22" s="32">
        <f t="shared" si="3"/>
        <v>5776.8740179314173</v>
      </c>
      <c r="W22" s="32"/>
      <c r="X22" s="278"/>
      <c r="Y22" s="33"/>
      <c r="Z22" s="33"/>
      <c r="AA22" s="311"/>
      <c r="AB22" s="311"/>
      <c r="AC22" s="33"/>
      <c r="AD22" s="311"/>
      <c r="AE22" s="33"/>
      <c r="AF22" s="311"/>
      <c r="AG22" s="31"/>
      <c r="AH22" s="31"/>
      <c r="AI22" s="307"/>
      <c r="AJ22" s="307"/>
      <c r="AK22" s="307"/>
      <c r="AL22" s="307"/>
      <c r="AM22" s="31"/>
      <c r="AN22" s="34"/>
      <c r="AO22" s="34"/>
      <c r="AP22" s="34"/>
      <c r="AQ22" s="34"/>
      <c r="AR22" s="34"/>
      <c r="AS22" s="34"/>
      <c r="AT22" s="39"/>
      <c r="AU22" s="39"/>
    </row>
    <row r="23" spans="1:47" s="289" customFormat="1">
      <c r="A23" s="31">
        <v>22</v>
      </c>
      <c r="B23" s="87" t="s">
        <v>45</v>
      </c>
      <c r="C23" s="88" t="s">
        <v>90</v>
      </c>
      <c r="D23" s="88">
        <v>4</v>
      </c>
      <c r="E23" s="88" t="s">
        <v>753</v>
      </c>
      <c r="F23" s="90">
        <v>51.94</v>
      </c>
      <c r="G23" s="24"/>
      <c r="H23" s="24"/>
      <c r="I23" s="24"/>
      <c r="J23" s="615">
        <f t="shared" si="4"/>
        <v>51.94</v>
      </c>
      <c r="K23" s="375">
        <v>1</v>
      </c>
      <c r="L23" s="31">
        <v>-2</v>
      </c>
      <c r="M23" s="31" t="s">
        <v>17329</v>
      </c>
      <c r="N23" s="31"/>
      <c r="O23" s="31"/>
      <c r="P23" s="89"/>
      <c r="Q23" s="39">
        <f t="shared" si="5"/>
        <v>288000</v>
      </c>
      <c r="R23" s="89">
        <v>300000</v>
      </c>
      <c r="S23" s="37">
        <f t="shared" si="0"/>
        <v>-4.0000000000000036E-2</v>
      </c>
      <c r="T23" s="32">
        <f t="shared" si="1"/>
        <v>0</v>
      </c>
      <c r="U23" s="32">
        <f t="shared" si="2"/>
        <v>5544.8594532152483</v>
      </c>
      <c r="V23" s="32">
        <f t="shared" si="3"/>
        <v>5775.895263765884</v>
      </c>
      <c r="W23" s="32"/>
      <c r="X23" s="278"/>
      <c r="Y23" s="33"/>
      <c r="Z23" s="33"/>
      <c r="AA23" s="311"/>
      <c r="AB23" s="311"/>
      <c r="AC23" s="33"/>
      <c r="AD23" s="311"/>
      <c r="AE23" s="33"/>
      <c r="AF23" s="311"/>
      <c r="AG23" s="31"/>
      <c r="AH23" s="31"/>
      <c r="AI23" s="307"/>
      <c r="AJ23" s="307"/>
      <c r="AK23" s="307"/>
      <c r="AL23" s="307"/>
      <c r="AM23" s="31"/>
      <c r="AN23" s="34"/>
      <c r="AO23" s="34"/>
      <c r="AP23" s="34"/>
      <c r="AQ23" s="34"/>
      <c r="AR23" s="34"/>
      <c r="AS23" s="34"/>
      <c r="AT23" s="39"/>
      <c r="AU23" s="39"/>
    </row>
    <row r="24" spans="1:47" s="740" customFormat="1">
      <c r="A24" s="610">
        <v>23</v>
      </c>
      <c r="B24" s="633" t="s">
        <v>47</v>
      </c>
      <c r="C24" s="612" t="s">
        <v>213</v>
      </c>
      <c r="D24" s="612">
        <v>5</v>
      </c>
      <c r="E24" s="612" t="s">
        <v>17361</v>
      </c>
      <c r="F24" s="628">
        <v>249.25</v>
      </c>
      <c r="G24" s="629"/>
      <c r="H24" s="629">
        <v>156.74</v>
      </c>
      <c r="I24" s="629"/>
      <c r="J24" s="615">
        <f t="shared" si="4"/>
        <v>296.27199999999999</v>
      </c>
      <c r="K24" s="630">
        <v>3</v>
      </c>
      <c r="L24" s="610">
        <v>-1</v>
      </c>
      <c r="M24" s="610" t="s">
        <v>17364</v>
      </c>
      <c r="N24" s="610"/>
      <c r="O24" s="610"/>
      <c r="P24" s="618"/>
      <c r="Q24" s="626">
        <f t="shared" si="5"/>
        <v>2400000</v>
      </c>
      <c r="R24" s="618">
        <v>2500000</v>
      </c>
      <c r="S24" s="619">
        <f t="shared" si="0"/>
        <v>-4.0000000000000036E-2</v>
      </c>
      <c r="T24" s="620">
        <f t="shared" si="1"/>
        <v>0</v>
      </c>
      <c r="U24" s="620">
        <f t="shared" si="2"/>
        <v>8100.6642544688666</v>
      </c>
      <c r="V24" s="620">
        <f t="shared" si="3"/>
        <v>8438.1919317384036</v>
      </c>
      <c r="W24" s="620"/>
      <c r="X24" s="621"/>
      <c r="Y24" s="622"/>
      <c r="Z24" s="622"/>
      <c r="AA24" s="623"/>
      <c r="AB24" s="623"/>
      <c r="AC24" s="622"/>
      <c r="AD24" s="623"/>
      <c r="AE24" s="622"/>
      <c r="AF24" s="623"/>
      <c r="AG24" s="610"/>
      <c r="AH24" s="610"/>
      <c r="AI24" s="624"/>
      <c r="AJ24" s="624"/>
      <c r="AK24" s="624"/>
      <c r="AL24" s="624"/>
      <c r="AM24" s="610"/>
      <c r="AN24" s="625"/>
      <c r="AO24" s="625"/>
      <c r="AP24" s="625"/>
      <c r="AQ24" s="625"/>
      <c r="AR24" s="625"/>
      <c r="AS24" s="625"/>
      <c r="AT24" s="626"/>
      <c r="AU24" s="626"/>
    </row>
    <row r="25" spans="1:47" s="740" customFormat="1" ht="15.75" thickBot="1">
      <c r="A25" s="610">
        <v>24</v>
      </c>
      <c r="B25" s="633" t="s">
        <v>46</v>
      </c>
      <c r="C25" s="612" t="s">
        <v>93</v>
      </c>
      <c r="D25" s="612">
        <v>5</v>
      </c>
      <c r="E25" s="612" t="s">
        <v>17363</v>
      </c>
      <c r="F25" s="628">
        <v>210.56</v>
      </c>
      <c r="G25" s="629"/>
      <c r="H25" s="629">
        <v>50.43</v>
      </c>
      <c r="I25" s="629"/>
      <c r="J25" s="615">
        <f t="shared" si="4"/>
        <v>225.68899999999999</v>
      </c>
      <c r="K25" s="630">
        <v>3</v>
      </c>
      <c r="L25" s="610">
        <v>-1</v>
      </c>
      <c r="M25" s="610" t="s">
        <v>17364</v>
      </c>
      <c r="N25" s="610"/>
      <c r="O25" s="610"/>
      <c r="P25" s="618"/>
      <c r="Q25" s="626">
        <f t="shared" si="5"/>
        <v>1728000</v>
      </c>
      <c r="R25" s="618">
        <v>1800000</v>
      </c>
      <c r="S25" s="619">
        <f t="shared" si="0"/>
        <v>-4.0000000000000036E-2</v>
      </c>
      <c r="T25" s="620">
        <f t="shared" si="1"/>
        <v>0</v>
      </c>
      <c r="U25" s="620">
        <f t="shared" si="2"/>
        <v>7656.5539304086597</v>
      </c>
      <c r="V25" s="620">
        <f t="shared" si="3"/>
        <v>7975.577010842354</v>
      </c>
      <c r="W25" s="620"/>
      <c r="X25" s="621"/>
      <c r="Y25" s="622"/>
      <c r="Z25" s="622"/>
      <c r="AA25" s="623"/>
      <c r="AB25" s="623"/>
      <c r="AC25" s="622"/>
      <c r="AD25" s="623"/>
      <c r="AE25" s="622"/>
      <c r="AF25" s="623"/>
      <c r="AG25" s="610"/>
      <c r="AH25" s="610"/>
      <c r="AI25" s="624"/>
      <c r="AJ25" s="624"/>
      <c r="AK25" s="624"/>
      <c r="AL25" s="624"/>
      <c r="AM25" s="610"/>
      <c r="AN25" s="636"/>
      <c r="AO25" s="636"/>
      <c r="AP25" s="636"/>
      <c r="AQ25" s="636"/>
      <c r="AR25" s="636"/>
      <c r="AS25" s="636"/>
      <c r="AT25" s="626"/>
      <c r="AU25" s="626"/>
    </row>
    <row r="26" spans="1:47" ht="15.75" thickBot="1">
      <c r="A26" s="2019" t="s">
        <v>298</v>
      </c>
      <c r="B26" s="2020"/>
      <c r="C26" s="2020"/>
      <c r="D26" s="2020"/>
      <c r="E26" s="2020"/>
      <c r="F26" s="235">
        <f>SUM(F2:F25)</f>
        <v>2815.97</v>
      </c>
      <c r="G26" s="235">
        <f>SUM(G2:G25)</f>
        <v>338.06</v>
      </c>
      <c r="H26" s="235">
        <f>SUM(H2:H25)</f>
        <v>423.83000000000004</v>
      </c>
      <c r="I26" s="235">
        <f>SUM(I2:I25)</f>
        <v>0</v>
      </c>
      <c r="J26" s="235">
        <f>SUM(J2:J25)</f>
        <v>3112.1489999999999</v>
      </c>
      <c r="K26" s="40"/>
      <c r="L26" s="40"/>
      <c r="M26" s="40"/>
      <c r="N26" s="40"/>
      <c r="O26" s="40"/>
      <c r="P26" s="41"/>
      <c r="Q26" s="40"/>
      <c r="R26" s="42"/>
      <c r="S26" s="40"/>
      <c r="T26" s="43"/>
      <c r="U26" s="43"/>
      <c r="V26" s="43"/>
      <c r="W26" s="43"/>
      <c r="X26" s="320"/>
      <c r="Y26" s="44"/>
      <c r="Z26" s="44"/>
      <c r="AA26" s="317"/>
      <c r="AB26" s="317"/>
      <c r="AC26" s="44"/>
      <c r="AD26" s="317"/>
      <c r="AE26" s="44"/>
      <c r="AF26" s="317"/>
      <c r="AG26" s="40"/>
      <c r="AH26" s="40"/>
      <c r="AI26" s="40"/>
      <c r="AJ26" s="40"/>
      <c r="AK26" s="40"/>
      <c r="AL26" s="40"/>
      <c r="AM26" s="40"/>
      <c r="AN26" s="45"/>
      <c r="AO26" s="45"/>
      <c r="AP26" s="45"/>
      <c r="AQ26" s="45"/>
      <c r="AR26" s="45"/>
      <c r="AS26" s="45"/>
      <c r="AT26" s="41"/>
      <c r="AU26" s="41"/>
    </row>
    <row r="27" spans="1:47" ht="15.75" thickBot="1">
      <c r="A27" s="40"/>
      <c r="B27" s="40"/>
      <c r="C27" s="40"/>
      <c r="D27" s="40"/>
      <c r="E27" s="40"/>
      <c r="F27" s="40"/>
      <c r="G27" s="40"/>
      <c r="H27" s="40"/>
      <c r="I27" s="40"/>
      <c r="J27" s="122"/>
      <c r="K27" s="40"/>
      <c r="L27" s="40"/>
      <c r="M27" s="40"/>
      <c r="N27" s="40"/>
      <c r="O27" s="40"/>
      <c r="P27" s="41"/>
      <c r="Q27" s="40"/>
      <c r="R27" s="41"/>
      <c r="S27" s="40"/>
      <c r="T27" s="40"/>
      <c r="U27" s="40"/>
      <c r="V27" s="40"/>
      <c r="W27" s="40"/>
      <c r="X27" s="320"/>
      <c r="Y27" s="320"/>
      <c r="Z27" s="320"/>
      <c r="AA27" s="43"/>
      <c r="AB27" s="43"/>
      <c r="AC27" s="40"/>
      <c r="AD27" s="43"/>
      <c r="AE27" s="40"/>
      <c r="AF27" s="43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1"/>
      <c r="AU27" s="41"/>
    </row>
    <row r="28" spans="1:47">
      <c r="A28" s="46"/>
      <c r="B28" s="47"/>
      <c r="C28" s="48" t="s">
        <v>139</v>
      </c>
      <c r="D28" s="48" t="s">
        <v>140</v>
      </c>
      <c r="E28" s="49" t="s">
        <v>17</v>
      </c>
      <c r="F28" s="107"/>
      <c r="G28" s="1915" t="s">
        <v>289</v>
      </c>
      <c r="H28" s="1916"/>
      <c r="I28" s="107"/>
      <c r="J28" s="122"/>
      <c r="K28" s="40"/>
      <c r="L28" s="40"/>
      <c r="M28" s="40"/>
      <c r="N28" s="40"/>
      <c r="O28" s="40"/>
      <c r="P28" s="41"/>
      <c r="Q28" s="40"/>
      <c r="R28" s="234"/>
      <c r="S28" s="40"/>
      <c r="T28" s="40"/>
      <c r="U28" s="40"/>
      <c r="V28" s="40"/>
      <c r="W28" s="40"/>
      <c r="X28" s="320"/>
      <c r="Y28" s="320"/>
      <c r="Z28" s="320"/>
      <c r="AA28" s="43"/>
      <c r="AB28" s="43"/>
      <c r="AC28" s="40"/>
      <c r="AD28" s="43"/>
      <c r="AE28" s="40"/>
      <c r="AF28" s="43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1"/>
      <c r="AU28" s="41"/>
    </row>
    <row r="29" spans="1:47">
      <c r="A29" s="1903" t="s">
        <v>258</v>
      </c>
      <c r="B29" s="1904"/>
      <c r="C29" s="50">
        <f>COUNTIF(O2:O25,A29)</f>
        <v>0</v>
      </c>
      <c r="D29" s="51">
        <f>SUMIF(O2:O25,A29,P2:P25)</f>
        <v>0</v>
      </c>
      <c r="E29" s="52" t="e">
        <f>AVERAGEIF(O2:O25,A29,T2:T25)</f>
        <v>#DIV/0!</v>
      </c>
      <c r="F29" s="107"/>
      <c r="G29" s="225">
        <v>2024</v>
      </c>
      <c r="H29" s="227">
        <f>COUNTIFS(Y2:Y25,"&gt;="&amp;DATE(2024,1,1),Y2:Y25,"&lt;="&amp;DATE(2024,12,31))</f>
        <v>0</v>
      </c>
      <c r="I29" s="107"/>
      <c r="J29" s="122"/>
      <c r="K29" s="40"/>
      <c r="L29" s="40"/>
      <c r="M29" s="40"/>
      <c r="N29" s="40"/>
      <c r="O29" s="40"/>
      <c r="P29" s="41"/>
      <c r="Q29" s="40"/>
      <c r="R29" s="41"/>
      <c r="S29" s="40"/>
      <c r="T29" s="40"/>
      <c r="U29" s="40"/>
      <c r="V29" s="40"/>
      <c r="W29" s="40"/>
      <c r="X29" s="320"/>
      <c r="Y29" s="320"/>
      <c r="Z29" s="320"/>
      <c r="AA29" s="43"/>
      <c r="AB29" s="43"/>
      <c r="AC29" s="40"/>
      <c r="AD29" s="43"/>
      <c r="AE29" s="40"/>
      <c r="AF29" s="43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1"/>
      <c r="AU29" s="41"/>
    </row>
    <row r="30" spans="1:47">
      <c r="A30" s="1905" t="s">
        <v>102</v>
      </c>
      <c r="B30" s="1906"/>
      <c r="C30" s="53">
        <f>COUNTIF(O2:O25,A30)</f>
        <v>0</v>
      </c>
      <c r="D30" s="54">
        <f>SUMIF(O2:O25,A30,Q2:Q25)</f>
        <v>0</v>
      </c>
      <c r="E30" s="55" t="e">
        <f>AVERAGEIF(O2:O25,A30,U2:U25)</f>
        <v>#DIV/0!</v>
      </c>
      <c r="F30" s="107"/>
      <c r="G30" s="225">
        <v>2025</v>
      </c>
      <c r="H30" s="227">
        <f>COUNTIFS(Y2:Y25,"&gt;="&amp;DATE(2025,1,1),Y2:Y25,"&lt;="&amp;DATE(2025,12,31))</f>
        <v>0</v>
      </c>
      <c r="I30" s="107"/>
      <c r="J30" s="122"/>
      <c r="K30" s="40"/>
      <c r="L30" s="40"/>
      <c r="M30" s="40"/>
      <c r="N30" s="40"/>
      <c r="O30" s="40"/>
      <c r="P30" s="41"/>
      <c r="Q30" s="40"/>
      <c r="R30" s="41"/>
      <c r="S30" s="40"/>
      <c r="T30" s="40"/>
      <c r="U30" s="40"/>
      <c r="V30" s="40"/>
      <c r="W30" s="40"/>
      <c r="X30" s="320"/>
      <c r="Y30" s="320"/>
      <c r="Z30" s="320"/>
      <c r="AA30" s="43"/>
      <c r="AB30" s="43"/>
      <c r="AC30" s="40"/>
      <c r="AD30" s="43"/>
      <c r="AE30" s="40"/>
      <c r="AF30" s="43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1"/>
      <c r="AU30" s="41"/>
    </row>
    <row r="31" spans="1:47" ht="15.75" thickBot="1">
      <c r="A31" s="1907" t="s">
        <v>138</v>
      </c>
      <c r="B31" s="1908"/>
      <c r="C31" s="56">
        <f>COUNTIF(O2:O25,"")</f>
        <v>24</v>
      </c>
      <c r="D31" s="57">
        <f>SUMIF(O2:O25,"",Q2:Q25)</f>
        <v>18288000</v>
      </c>
      <c r="E31" s="568">
        <f>AVERAGEIF(O2:O25,"",U2:U25)</f>
        <v>5546.7341623368493</v>
      </c>
      <c r="F31" s="107"/>
      <c r="G31" s="226">
        <v>2026</v>
      </c>
      <c r="H31" s="216">
        <f>COUNTIFS(Y2:Y25,"&gt;="&amp;DATE(2026,1,1),Y2:Y25,"&lt;="&amp;DATE(2026,12,31))</f>
        <v>0</v>
      </c>
      <c r="I31" s="107"/>
      <c r="J31" s="122"/>
      <c r="K31" s="40"/>
      <c r="L31" s="40"/>
      <c r="M31" s="40"/>
      <c r="N31" s="40"/>
      <c r="O31" s="40"/>
      <c r="P31" s="41"/>
      <c r="Q31" s="40"/>
      <c r="R31" s="41"/>
      <c r="S31" s="40"/>
      <c r="T31" s="40"/>
      <c r="U31" s="40"/>
      <c r="V31" s="40"/>
      <c r="W31" s="40"/>
      <c r="X31" s="320"/>
      <c r="Y31" s="320"/>
      <c r="Z31" s="320"/>
      <c r="AA31" s="43"/>
      <c r="AB31" s="43"/>
      <c r="AC31" s="40"/>
      <c r="AD31" s="43"/>
      <c r="AE31" s="40"/>
      <c r="AF31" s="43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1"/>
      <c r="AU31" s="41"/>
    </row>
    <row r="32" spans="1:47" ht="15.75" thickBot="1">
      <c r="A32" s="1897" t="s">
        <v>210</v>
      </c>
      <c r="B32" s="1898"/>
      <c r="C32" s="59">
        <f>COUNTIF(O2:O25,A32)</f>
        <v>0</v>
      </c>
      <c r="D32" s="60">
        <f>SUMIF(O2:O25,A32,P2:P25)</f>
        <v>0</v>
      </c>
      <c r="E32" s="61" t="e">
        <f>AVERAGEIF(O2:O25,A32,T2:T25)</f>
        <v>#DIV/0!</v>
      </c>
      <c r="F32" s="107"/>
      <c r="G32" s="107"/>
      <c r="H32" s="107"/>
      <c r="I32" s="107"/>
      <c r="J32" s="122"/>
      <c r="K32" s="40"/>
      <c r="L32" s="40"/>
      <c r="M32" s="40"/>
      <c r="N32" s="40"/>
      <c r="O32" s="40"/>
      <c r="P32" s="41"/>
      <c r="Q32" s="40"/>
      <c r="R32" s="41"/>
      <c r="S32" s="40"/>
      <c r="T32" s="40"/>
      <c r="U32" s="40"/>
      <c r="V32" s="40"/>
      <c r="W32" s="40"/>
      <c r="X32" s="320"/>
      <c r="Y32" s="320"/>
      <c r="Z32" s="320"/>
      <c r="AA32" s="43"/>
      <c r="AB32" s="43"/>
      <c r="AC32" s="40"/>
      <c r="AD32" s="43"/>
      <c r="AE32" s="40"/>
      <c r="AF32" s="43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1"/>
      <c r="AU32" s="41"/>
    </row>
    <row r="33" spans="1:47" ht="26.25" thickBot="1">
      <c r="A33" s="1895" t="s">
        <v>269</v>
      </c>
      <c r="B33" s="1896"/>
      <c r="C33" s="205">
        <f>SUBTOTAL(9,C29:C32)</f>
        <v>24</v>
      </c>
      <c r="D33" s="206">
        <f>SUM(D29:D32)</f>
        <v>18288000</v>
      </c>
      <c r="E33" s="207">
        <f>D33/J26</f>
        <v>5876.3253301818131</v>
      </c>
      <c r="F33" s="323"/>
      <c r="G33" s="308" t="s">
        <v>544</v>
      </c>
      <c r="H33" s="309">
        <f>C29/C33</f>
        <v>0</v>
      </c>
      <c r="I33" s="107"/>
      <c r="J33" s="122"/>
      <c r="K33" s="40"/>
      <c r="L33" s="40"/>
      <c r="M33" s="40"/>
      <c r="N33" s="40"/>
      <c r="O33" s="40"/>
      <c r="P33" s="41"/>
      <c r="Q33" s="40"/>
      <c r="R33" s="41"/>
      <c r="S33" s="40"/>
      <c r="T33" s="40"/>
      <c r="U33" s="40"/>
      <c r="V33" s="40"/>
      <c r="W33" s="40"/>
      <c r="X33" s="320"/>
      <c r="Y33" s="320"/>
      <c r="Z33" s="320"/>
      <c r="AA33" s="43"/>
      <c r="AB33" s="43"/>
      <c r="AC33" s="40"/>
      <c r="AD33" s="43"/>
      <c r="AE33" s="40"/>
      <c r="AF33" s="43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1"/>
      <c r="AU33" s="41"/>
    </row>
    <row r="34" spans="1:47" ht="15.75" thickBot="1">
      <c r="A34" s="3"/>
      <c r="B34" s="3"/>
      <c r="C34" s="3"/>
      <c r="D34" s="3"/>
      <c r="E34" s="107"/>
      <c r="F34" s="107"/>
      <c r="G34" s="107"/>
      <c r="H34" s="107"/>
      <c r="I34" s="122"/>
      <c r="J34" s="40"/>
      <c r="K34" s="40"/>
      <c r="L34" s="40"/>
      <c r="M34" s="40"/>
      <c r="N34" s="40"/>
      <c r="O34" s="41"/>
      <c r="P34" s="40"/>
      <c r="Q34" s="41"/>
      <c r="R34" s="40"/>
      <c r="S34" s="40"/>
      <c r="T34" s="40"/>
      <c r="U34" s="40"/>
      <c r="V34" s="40"/>
      <c r="W34" s="320"/>
      <c r="X34" s="320"/>
      <c r="Y34" s="320"/>
      <c r="Z34" s="43"/>
      <c r="AA34" s="43"/>
      <c r="AB34" s="40"/>
      <c r="AC34" s="43"/>
      <c r="AD34" s="40"/>
      <c r="AE34" s="43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1"/>
      <c r="AT34" s="41"/>
    </row>
    <row r="35" spans="1:47" ht="15.75" customHeight="1" thickBot="1">
      <c r="A35" s="1893" t="s">
        <v>139</v>
      </c>
      <c r="B35" s="1894"/>
      <c r="C35" s="62" t="s">
        <v>90</v>
      </c>
      <c r="D35" s="62" t="s">
        <v>91</v>
      </c>
      <c r="E35" s="62" t="s">
        <v>89</v>
      </c>
      <c r="F35" s="172" t="s">
        <v>93</v>
      </c>
      <c r="G35" s="172" t="s">
        <v>213</v>
      </c>
      <c r="H35" s="49" t="s">
        <v>141</v>
      </c>
      <c r="I35" s="40"/>
      <c r="J35" s="2018" t="s">
        <v>17315</v>
      </c>
      <c r="K35" s="2018"/>
      <c r="L35" s="2018"/>
      <c r="M35" s="2018"/>
      <c r="N35" s="2018"/>
      <c r="O35" s="2018"/>
      <c r="P35" s="2018"/>
      <c r="Q35" s="2018"/>
      <c r="R35" s="2018"/>
      <c r="S35" s="2018"/>
      <c r="T35" s="2018"/>
      <c r="U35" s="2018"/>
      <c r="V35" s="40"/>
      <c r="W35" s="40"/>
      <c r="X35" s="40"/>
      <c r="Y35" s="320"/>
      <c r="Z35" s="320"/>
      <c r="AA35" s="320"/>
      <c r="AB35" s="43"/>
      <c r="AC35" s="43"/>
      <c r="AD35" s="40"/>
      <c r="AE35" s="43"/>
      <c r="AF35" s="40"/>
      <c r="AG35" s="43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</row>
    <row r="36" spans="1:47">
      <c r="A36" s="1903" t="s">
        <v>258</v>
      </c>
      <c r="B36" s="1904"/>
      <c r="C36" s="63">
        <f>COUNTIFS(O2:O25,A36,C2:C25,C35)</f>
        <v>0</v>
      </c>
      <c r="D36" s="63">
        <f>COUNTIFS(O2:O25,A36,C2:C25,D35)</f>
        <v>0</v>
      </c>
      <c r="E36" s="63">
        <f>COUNTIFS(O2:O25,A36,C2:C25,E35)</f>
        <v>0</v>
      </c>
      <c r="F36" s="176">
        <f>COUNTIFS(O2:O25,A36,C2:C25,F35)</f>
        <v>0</v>
      </c>
      <c r="G36" s="176">
        <f>COUNTIFS(O2:O25,A36,C2:C25,G35)</f>
        <v>0</v>
      </c>
      <c r="H36" s="64">
        <f>SUM(C36:E36)</f>
        <v>0</v>
      </c>
      <c r="I36" s="40"/>
      <c r="J36" s="691" t="s">
        <v>17303</v>
      </c>
      <c r="K36" s="691" t="s">
        <v>17304</v>
      </c>
      <c r="L36" s="692" t="s">
        <v>17305</v>
      </c>
      <c r="M36" s="693" t="s">
        <v>17306</v>
      </c>
      <c r="N36" s="693" t="s">
        <v>17307</v>
      </c>
      <c r="O36" s="693" t="s">
        <v>17308</v>
      </c>
      <c r="P36" s="694" t="s">
        <v>17309</v>
      </c>
      <c r="Q36" s="694" t="s">
        <v>17310</v>
      </c>
      <c r="R36" s="694" t="s">
        <v>17311</v>
      </c>
      <c r="S36" s="694" t="s">
        <v>17312</v>
      </c>
      <c r="T36" s="694" t="s">
        <v>17313</v>
      </c>
      <c r="U36" s="694" t="s">
        <v>17314</v>
      </c>
      <c r="V36" s="40"/>
      <c r="W36" s="40"/>
      <c r="X36" s="40"/>
      <c r="Y36" s="320"/>
      <c r="Z36" s="320"/>
      <c r="AA36" s="320"/>
      <c r="AB36" s="43"/>
      <c r="AC36" s="43"/>
      <c r="AD36" s="40"/>
      <c r="AE36" s="43"/>
      <c r="AF36" s="40"/>
      <c r="AG36" s="43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</row>
    <row r="37" spans="1:47">
      <c r="A37" s="1905" t="s">
        <v>102</v>
      </c>
      <c r="B37" s="1911"/>
      <c r="C37" s="65">
        <f>COUNTIFS(O2:O25,A37,C2:C25,C35)</f>
        <v>0</v>
      </c>
      <c r="D37" s="65">
        <f>COUNTIFS(O2:O25,A37,C2:C25,D35)</f>
        <v>0</v>
      </c>
      <c r="E37" s="65">
        <f>COUNTIFS(O2:O25,A37,C2:C25,E35)</f>
        <v>0</v>
      </c>
      <c r="F37" s="173">
        <f>COUNTIFS(O2:O25,A37,C2:C25,F35)</f>
        <v>0</v>
      </c>
      <c r="G37" s="173">
        <f>COUNTIFS(O2:O25,A37,C2:C25,G35)</f>
        <v>0</v>
      </c>
      <c r="H37" s="66">
        <f>SUM(C37:E37)</f>
        <v>0</v>
      </c>
      <c r="I37" s="40"/>
      <c r="J37" s="695">
        <f>COUNTIFS(Y2:Y25,"&gt;="&amp;DATE(2024,1,1),Y2:Y25,"&lt;="&amp;DATE(2024,1,31))</f>
        <v>0</v>
      </c>
      <c r="K37" s="695">
        <f>COUNTIFS(Y2:Y25,"&gt;="&amp;DATE(2024,2,1),Y2:Y25,"&lt;="&amp;DATE(2024,2,31))</f>
        <v>0</v>
      </c>
      <c r="L37" s="695">
        <f>COUNTIFS(Y2:Y25,"&gt;="&amp;DATE(2024,3,1),Y2:Y25,"&lt;="&amp;DATE(2024,3,31))</f>
        <v>0</v>
      </c>
      <c r="M37" s="695">
        <f>COUNTIFS(Y2:Y25,"&gt;="&amp;DATE(2024,4,1),Y2:Y25,"&lt;="&amp;DATE(2024,4,31))</f>
        <v>0</v>
      </c>
      <c r="N37" s="695">
        <f>COUNTIFS(Y2:Y25,"&gt;="&amp;DATE(2024,5,1),Y2:Y25,"&lt;="&amp;DATE(2024,5,31))</f>
        <v>0</v>
      </c>
      <c r="O37" s="695">
        <f>COUNTIFS(Y2:Y25,"&gt;="&amp;DATE(2024,6,1),Y2:Y25,"&lt;="&amp;DATE(2024,6,31))</f>
        <v>0</v>
      </c>
      <c r="P37" s="695">
        <f>COUNTIFS(Y2:Y25,"&gt;="&amp;DATE(2024,7,1),Y2:Y25,"&lt;="&amp;DATE(2024,7,31))</f>
        <v>0</v>
      </c>
      <c r="Q37" s="695">
        <f>COUNTIFS(Y2:Y25,"&gt;="&amp;DATE(2024,8,1),Y2:Y25,"&lt;="&amp;DATE(2024,8,31))</f>
        <v>0</v>
      </c>
      <c r="R37" s="695">
        <f>COUNTIFS(Y2:Y25,"&gt;="&amp;DATE(2024,9,1),Y2:Y25,"&lt;="&amp;DATE(2024,9,31))</f>
        <v>0</v>
      </c>
      <c r="S37" s="695">
        <f>COUNTIFS(Y2:Y25,"&gt;="&amp;DATE(2024,10,1),Y2:Y25,"&lt;="&amp;DATE(2024,10,31))</f>
        <v>0</v>
      </c>
      <c r="T37" s="695">
        <f>COUNTIFS(Y2:Y25,"&gt;="&amp;DATE(2024,11,1),Y2:Y25,"&lt;="&amp;DATE(2024,11,31))</f>
        <v>0</v>
      </c>
      <c r="U37" s="695">
        <f>COUNTIFS(Y2:Y25,"&gt;="&amp;DATE(2024,12,1),Y2:Y25,"&lt;="&amp;DATE(2024,12,31))</f>
        <v>0</v>
      </c>
      <c r="V37" s="40"/>
      <c r="W37" s="40"/>
      <c r="X37" s="40"/>
      <c r="Y37" s="320"/>
      <c r="Z37" s="320"/>
      <c r="AA37" s="320"/>
      <c r="AB37" s="43"/>
      <c r="AC37" s="43"/>
      <c r="AD37" s="40"/>
      <c r="AE37" s="43"/>
      <c r="AF37" s="40"/>
      <c r="AG37" s="43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</row>
    <row r="38" spans="1:47" ht="15.75" thickBot="1">
      <c r="A38" s="1907" t="s">
        <v>138</v>
      </c>
      <c r="B38" s="1912"/>
      <c r="C38" s="67">
        <f>COUNTIFS(O2:O25,"",C2:C25,C35)</f>
        <v>6</v>
      </c>
      <c r="D38" s="67">
        <f>COUNTIFS(O2:O25,"",C2:C25,D35)</f>
        <v>6</v>
      </c>
      <c r="E38" s="67">
        <f>COUNTIFS(O2:O25,"",C2:C25,E35)</f>
        <v>9</v>
      </c>
      <c r="F38" s="174">
        <f>COUNTIFS(O2:O25,"",C2:C25,F35)</f>
        <v>2</v>
      </c>
      <c r="G38" s="174">
        <f>COUNTIFS(O2:O25,"",C2:C25,G35)</f>
        <v>1</v>
      </c>
      <c r="H38" s="68">
        <f>SUM(C38:G38)</f>
        <v>24</v>
      </c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320"/>
      <c r="Z38" s="320"/>
      <c r="AA38" s="320"/>
      <c r="AB38" s="43"/>
      <c r="AC38" s="43"/>
      <c r="AD38" s="40"/>
      <c r="AE38" s="43"/>
      <c r="AF38" s="40"/>
      <c r="AG38" s="43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</row>
    <row r="39" spans="1:47" ht="15.75" thickBot="1">
      <c r="A39" s="1913" t="s">
        <v>210</v>
      </c>
      <c r="B39" s="1914"/>
      <c r="C39" s="69">
        <f>COUNTIFS(O2:O25,A39,C2:C25,C35)</f>
        <v>0</v>
      </c>
      <c r="D39" s="69">
        <f>COUNTIFS(O2:O25,A39,C2:C25,D35)</f>
        <v>0</v>
      </c>
      <c r="E39" s="69">
        <f>COUNTIFS(O2:O25,A39,C2:C25,E35)</f>
        <v>0</v>
      </c>
      <c r="F39" s="175">
        <f>COUNTIFS(O2:O25,A39,C2:C25,F35)</f>
        <v>0</v>
      </c>
      <c r="G39" s="175">
        <f>COUNTIFS(O2:O25,A39,C2:C25,G35)</f>
        <v>0</v>
      </c>
      <c r="H39" s="70">
        <f>SUM(C39:E39)</f>
        <v>0</v>
      </c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320"/>
      <c r="Z39" s="320"/>
      <c r="AA39" s="320"/>
      <c r="AB39" s="43"/>
      <c r="AC39" s="43"/>
      <c r="AD39" s="40"/>
      <c r="AE39" s="43"/>
      <c r="AF39" s="40"/>
      <c r="AG39" s="43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</row>
    <row r="40" spans="1:47" ht="15.75" thickBot="1">
      <c r="A40" s="1899" t="s">
        <v>141</v>
      </c>
      <c r="B40" s="1900"/>
      <c r="C40" s="72">
        <f>SUM(C36:C39)</f>
        <v>6</v>
      </c>
      <c r="D40" s="72">
        <f>SUM(D36:D39)</f>
        <v>6</v>
      </c>
      <c r="E40" s="72">
        <f>SUM(E36:E39)</f>
        <v>9</v>
      </c>
      <c r="F40" s="72">
        <f t="shared" ref="F40:G40" si="6">SUM(F36:F39)</f>
        <v>2</v>
      </c>
      <c r="G40" s="72">
        <f t="shared" si="6"/>
        <v>1</v>
      </c>
      <c r="H40" s="73">
        <f>SUM(H36:H39)</f>
        <v>24</v>
      </c>
      <c r="I40" s="40"/>
      <c r="J40" s="1890" t="s">
        <v>17437</v>
      </c>
      <c r="K40" s="1891"/>
      <c r="L40" s="1891"/>
      <c r="M40" s="1892"/>
      <c r="N40" s="40"/>
      <c r="O40" s="1890" t="s">
        <v>17441</v>
      </c>
      <c r="P40" s="1891"/>
      <c r="Q40" s="1891"/>
      <c r="R40" s="1892"/>
      <c r="S40" s="40"/>
      <c r="T40" s="40"/>
      <c r="U40" s="40"/>
      <c r="V40" s="40"/>
      <c r="W40" s="40"/>
      <c r="X40" s="40"/>
      <c r="Y40" s="320"/>
      <c r="Z40" s="320"/>
      <c r="AA40" s="320"/>
      <c r="AB40" s="43"/>
      <c r="AC40" s="43"/>
      <c r="AD40" s="40"/>
      <c r="AE40" s="43"/>
      <c r="AF40" s="40"/>
      <c r="AG40" s="43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</row>
    <row r="41" spans="1:47">
      <c r="A41" s="107"/>
      <c r="B41" s="107"/>
      <c r="C41" s="74"/>
      <c r="D41" s="74"/>
      <c r="E41" s="74"/>
      <c r="F41" s="74"/>
      <c r="G41" s="74"/>
      <c r="H41" s="74"/>
      <c r="I41" s="40"/>
      <c r="J41" s="1010"/>
      <c r="K41" s="1011" t="s">
        <v>17438</v>
      </c>
      <c r="L41" s="1011">
        <v>2024</v>
      </c>
      <c r="M41" s="1011" t="s">
        <v>17444</v>
      </c>
      <c r="N41" s="40"/>
      <c r="O41" s="1010"/>
      <c r="P41" s="1011" t="s">
        <v>17438</v>
      </c>
      <c r="Q41" s="1011">
        <v>2024</v>
      </c>
      <c r="R41" s="1013" t="s">
        <v>17444</v>
      </c>
      <c r="S41" s="40"/>
      <c r="T41" s="40"/>
      <c r="U41" s="40"/>
      <c r="V41" s="40"/>
      <c r="W41" s="40"/>
      <c r="X41" s="40"/>
      <c r="Y41" s="320"/>
      <c r="Z41" s="320"/>
      <c r="AA41" s="320"/>
      <c r="AB41" s="43"/>
      <c r="AC41" s="43"/>
      <c r="AD41" s="40"/>
      <c r="AE41" s="43"/>
      <c r="AF41" s="40"/>
      <c r="AG41" s="43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</row>
    <row r="42" spans="1:47" ht="15.75" thickBot="1">
      <c r="A42" s="107"/>
      <c r="B42" s="107"/>
      <c r="C42" s="107"/>
      <c r="D42" s="107"/>
      <c r="E42" s="107"/>
      <c r="F42" s="107"/>
      <c r="G42" s="107"/>
      <c r="H42" s="40"/>
      <c r="I42" s="40"/>
      <c r="J42" s="31" t="s">
        <v>17439</v>
      </c>
      <c r="K42" s="129" cm="1">
        <f t="array" ref="K42">COUNTIFS(O2:O25,CPCV,AG2:AG25,J42)</f>
        <v>0</v>
      </c>
      <c r="L42" s="129">
        <f>COUNTIFS(Y2:Y25,"&gt;="&amp;DATE(2024,1,1),Y2:Y25,"&lt;="&amp;DATE(2024,12,31),AG2:AG25,J42)</f>
        <v>0</v>
      </c>
      <c r="M42" s="343" t="e">
        <f>K42/K42+K43+K44</f>
        <v>#DIV/0!</v>
      </c>
      <c r="N42" s="40"/>
      <c r="O42" s="34" t="s">
        <v>265</v>
      </c>
      <c r="P42" s="719" cm="1">
        <f t="array" ref="P42">COUNTIFS($O$2:$O$25,CPCV,$AO$2:$AO$25,O42)</f>
        <v>0</v>
      </c>
      <c r="Q42" s="129">
        <f>COUNTIFS(Y2:Y25,"&gt;="&amp;DATE(2024,1,1),Y2:Y25,"&lt;="&amp;DATE(2024,12,31),AO2:AO25,O42)</f>
        <v>0</v>
      </c>
      <c r="R42" s="1014" t="e">
        <f>P42/($P$42+$P$43+$P$44+$P$45+$P$46+$P$47+$P$48)</f>
        <v>#DIV/0!</v>
      </c>
      <c r="S42" s="40"/>
      <c r="T42" s="40"/>
      <c r="U42" s="40"/>
      <c r="V42" s="40"/>
      <c r="W42" s="40"/>
      <c r="X42" s="40"/>
      <c r="Y42" s="320"/>
      <c r="Z42" s="320"/>
      <c r="AA42" s="320"/>
      <c r="AB42" s="43"/>
      <c r="AC42" s="43"/>
      <c r="AD42" s="40"/>
      <c r="AE42" s="43"/>
      <c r="AF42" s="40"/>
      <c r="AG42" s="43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</row>
    <row r="43" spans="1:47">
      <c r="A43" s="1901" t="s">
        <v>142</v>
      </c>
      <c r="B43" s="1902"/>
      <c r="C43" s="62" t="s">
        <v>90</v>
      </c>
      <c r="D43" s="62" t="s">
        <v>91</v>
      </c>
      <c r="E43" s="62" t="s">
        <v>89</v>
      </c>
      <c r="F43" s="172" t="s">
        <v>93</v>
      </c>
      <c r="G43" s="172" t="s">
        <v>213</v>
      </c>
      <c r="H43" s="49" t="s">
        <v>141</v>
      </c>
      <c r="I43" s="40"/>
      <c r="J43" s="665" t="s">
        <v>17440</v>
      </c>
      <c r="K43" s="129" cm="1">
        <f t="array" ref="K43">COUNTIFS(O2:O25,CPCV,AG2:AG25,J43)</f>
        <v>0</v>
      </c>
      <c r="L43" s="129">
        <f>COUNTIFS(Y2:Y25,"&gt;="&amp;DATE(2024,1,1),Y2:Y25,"&lt;="&amp;DATE(2024,12,31),AG2:AG25,J43)</f>
        <v>0</v>
      </c>
      <c r="M43" s="343" t="e">
        <f>K43/K42+K43+K44</f>
        <v>#DIV/0!</v>
      </c>
      <c r="N43" s="40"/>
      <c r="O43" s="34" t="s">
        <v>517</v>
      </c>
      <c r="P43" s="719" cm="1">
        <f t="array" ref="P43">COUNTIFS($O$2:$O$25,CPCV,$AO$2:$AO$25,O43)</f>
        <v>0</v>
      </c>
      <c r="Q43" s="129">
        <f>COUNTIFS(Y2:Y25,"&gt;="&amp;DATE(2024,1,1),Y2:Y25,"&lt;="&amp;DATE(2024,12,31),AO2:AO25,O43)</f>
        <v>0</v>
      </c>
      <c r="R43" s="1014" t="e">
        <f t="shared" ref="R43:R48" si="7">P43/($P$42+$P$43+$P$44+$P$45+$P$46+$P$47+$P$48)</f>
        <v>#DIV/0!</v>
      </c>
      <c r="S43" s="40"/>
      <c r="T43" s="40"/>
      <c r="U43" s="40"/>
      <c r="V43" s="40"/>
      <c r="W43" s="40"/>
      <c r="X43" s="40"/>
      <c r="Y43" s="320"/>
      <c r="Z43" s="320"/>
      <c r="AA43" s="320"/>
      <c r="AB43" s="43"/>
      <c r="AC43" s="43"/>
      <c r="AD43" s="40"/>
      <c r="AE43" s="43"/>
      <c r="AF43" s="40"/>
      <c r="AG43" s="43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</row>
    <row r="44" spans="1:47">
      <c r="A44" s="1903" t="s">
        <v>258</v>
      </c>
      <c r="B44" s="1904"/>
      <c r="C44" s="51" t="e">
        <f>AVERAGEIFS(T2:T25,O2:O25,A44,C2:C25,C43)</f>
        <v>#DIV/0!</v>
      </c>
      <c r="D44" s="51" t="e">
        <f>AVERAGEIFS(T2:T25,O2:O25,A44,C2:C25,D43)</f>
        <v>#DIV/0!</v>
      </c>
      <c r="E44" s="51" t="e">
        <f>AVERAGEIFS(T2:T25,O2:O25,A44,C2:C25,E43)</f>
        <v>#DIV/0!</v>
      </c>
      <c r="F44" s="477" t="e">
        <f>AVERAGEIFS(T2:T25,O2:O25,A44,C2:C25,F43)</f>
        <v>#DIV/0!</v>
      </c>
      <c r="G44" s="477" t="e">
        <f>AVERAGEIFS(T2:T25,O2:O25,A44,C2:C25,G43)</f>
        <v>#DIV/0!</v>
      </c>
      <c r="H44" s="76" t="e">
        <f>AVERAGEIF(O2:O25,A44,T2:T25)</f>
        <v>#DIV/0!</v>
      </c>
      <c r="I44" s="40"/>
      <c r="J44" s="665" t="s">
        <v>222</v>
      </c>
      <c r="K44" s="129" cm="1">
        <f t="array" ref="K44">COUNTIFS(O2:O25,CPCV,AG2:AG25,J44)</f>
        <v>0</v>
      </c>
      <c r="L44" s="129">
        <f>COUNTIFS(Y2:Y25,"&gt;="&amp;DATE(2024,1,1),Y2:Y25,"&lt;="&amp;DATE(2024,12,31),AG2:AG25,J44)</f>
        <v>0</v>
      </c>
      <c r="M44" s="343" t="e">
        <f>K44/K42+K43+K44</f>
        <v>#DIV/0!</v>
      </c>
      <c r="N44" s="40"/>
      <c r="O44" s="34" t="s">
        <v>565</v>
      </c>
      <c r="P44" s="719" cm="1">
        <f t="array" ref="P44">COUNTIFS($O$2:$O$25,CPCV,$AO$2:$AO$25,O44)</f>
        <v>0</v>
      </c>
      <c r="Q44" s="129">
        <f>COUNTIFS(Y2:Y25,"&gt;="&amp;DATE(2024,1,1),Y2:Y25,"&lt;="&amp;DATE(2024,12,31),AO2:AO25,O44)</f>
        <v>0</v>
      </c>
      <c r="R44" s="1014" t="e">
        <f t="shared" si="7"/>
        <v>#DIV/0!</v>
      </c>
      <c r="S44" s="40"/>
      <c r="T44" s="40"/>
      <c r="U44" s="40"/>
      <c r="V44" s="40"/>
      <c r="W44" s="40"/>
      <c r="X44" s="40"/>
      <c r="Y44" s="320"/>
      <c r="Z44" s="320"/>
      <c r="AA44" s="320"/>
      <c r="AB44" s="43"/>
      <c r="AC44" s="43"/>
      <c r="AD44" s="40"/>
      <c r="AE44" s="43"/>
      <c r="AF44" s="40"/>
      <c r="AG44" s="43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</row>
    <row r="45" spans="1:47">
      <c r="A45" s="1905" t="s">
        <v>102</v>
      </c>
      <c r="B45" s="1906"/>
      <c r="C45" s="54" t="e">
        <f>AVERAGEIFS(U2:U25,O2:O25,A45,C2:C25,C43)</f>
        <v>#DIV/0!</v>
      </c>
      <c r="D45" s="54" t="e">
        <f>AVERAGEIFS(U2:U25,O2:O25,A45,C2:C25,D43)</f>
        <v>#DIV/0!</v>
      </c>
      <c r="E45" s="54" t="e">
        <f>AVERAGEIFS(U2:U25,O2:O25,A45,C2:C25,E43)</f>
        <v>#DIV/0!</v>
      </c>
      <c r="F45" s="608" t="e">
        <f>AVERAGEIFS(U2:U25,O2:O25,A45,C2:C25,F43)</f>
        <v>#DIV/0!</v>
      </c>
      <c r="G45" s="608" t="e">
        <f>AVERAGEIFS(U2:U25,O2:O25,A45,C2:C25,G43)</f>
        <v>#DIV/0!</v>
      </c>
      <c r="H45" s="78" t="e">
        <f>AVERAGEIF(O2:O25,A45,U2:U25)</f>
        <v>#DIV/0!</v>
      </c>
      <c r="I45" s="40"/>
      <c r="J45" s="40"/>
      <c r="K45" s="40"/>
      <c r="L45" s="40"/>
      <c r="M45" s="40"/>
      <c r="N45" s="40"/>
      <c r="O45" s="22" t="s">
        <v>563</v>
      </c>
      <c r="P45" s="364" cm="1">
        <f t="array" ref="P45">COUNTIFS($O$2:$O$25,CPCV,$AO$2:$AO$25,O45)</f>
        <v>0</v>
      </c>
      <c r="Q45" s="5">
        <f>COUNTIFS(Y2:Y25,"&gt;="&amp;DATE(2024,1,1),Y2:Y25,"&lt;="&amp;DATE(2024,12,31),AO2:AO25,O45)</f>
        <v>0</v>
      </c>
      <c r="R45" s="1014" t="e">
        <f t="shared" si="7"/>
        <v>#DIV/0!</v>
      </c>
      <c r="S45" s="40"/>
      <c r="T45" s="40"/>
      <c r="U45" s="40"/>
      <c r="V45" s="40"/>
      <c r="W45" s="40"/>
      <c r="X45" s="40"/>
      <c r="Y45" s="320"/>
      <c r="Z45" s="320"/>
      <c r="AA45" s="320"/>
      <c r="AB45" s="43"/>
      <c r="AC45" s="43"/>
      <c r="AD45" s="40"/>
      <c r="AE45" s="43"/>
      <c r="AF45" s="40"/>
      <c r="AG45" s="43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</row>
    <row r="46" spans="1:47">
      <c r="A46" s="1909" t="s">
        <v>138</v>
      </c>
      <c r="B46" s="1910"/>
      <c r="C46" s="80">
        <f>AVERAGEIFS(U2:U25,O2:O25,"",C2:C25,C43)</f>
        <v>4827.698833313365</v>
      </c>
      <c r="D46" s="80">
        <f>AVERAGEIFS(U2:U25,O2:O25,"",C2:C25,D43)</f>
        <v>4705.6895594654025</v>
      </c>
      <c r="E46" s="80">
        <f>AVERAGEIFS(U2:U25,O2:O25,"",C2:C25,E43)</f>
        <v>6068.6969219244556</v>
      </c>
      <c r="F46" s="218">
        <f>AVERAGEIFS(U2:U25,O2:O25,"",C2:C25,F43)</f>
        <v>6601.1764938114102</v>
      </c>
      <c r="G46" s="218">
        <f>AVERAGEIFS(U2:U25,O2:O25,"",C2:C25,G43)</f>
        <v>8100.6642544688666</v>
      </c>
      <c r="H46" s="81">
        <f>AVERAGEIF(O2:O25,"",U2:U25)</f>
        <v>5546.7341623368493</v>
      </c>
      <c r="I46" s="40"/>
      <c r="J46" s="40"/>
      <c r="K46" s="40"/>
      <c r="L46" s="40"/>
      <c r="M46" s="40"/>
      <c r="N46" s="40"/>
      <c r="O46" s="130" t="s">
        <v>17200</v>
      </c>
      <c r="P46" s="364" cm="1">
        <f t="array" ref="P46">COUNTIFS($O$2:$O$25,CPCV,$AO$2:$AO$25,O46)</f>
        <v>0</v>
      </c>
      <c r="Q46" s="5">
        <f>COUNTIFS(Y2:Y25,"&gt;="&amp;DATE(2024,1,1),Y2:Y25,"&lt;="&amp;DATE(2024,12,31),AO2:AO25,O46)</f>
        <v>0</v>
      </c>
      <c r="R46" s="1014" t="e">
        <f t="shared" si="7"/>
        <v>#DIV/0!</v>
      </c>
      <c r="S46" s="40"/>
      <c r="T46" s="40"/>
      <c r="U46" s="40"/>
      <c r="V46" s="40"/>
      <c r="W46" s="40"/>
      <c r="X46" s="40"/>
      <c r="Y46" s="320"/>
      <c r="Z46" s="320"/>
      <c r="AA46" s="320"/>
      <c r="AB46" s="43"/>
      <c r="AC46" s="43"/>
      <c r="AD46" s="40"/>
      <c r="AE46" s="43"/>
      <c r="AF46" s="40"/>
      <c r="AG46" s="43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</row>
    <row r="47" spans="1:47" ht="15.75" thickBot="1">
      <c r="A47" s="1897" t="s">
        <v>210</v>
      </c>
      <c r="B47" s="1898"/>
      <c r="C47" s="60" t="e">
        <f>AVERAGEIFS(T2:T25,O2:O25,A47,C2:C25,C43)</f>
        <v>#DIV/0!</v>
      </c>
      <c r="D47" s="60" t="e">
        <f>AVERAGEIFS(T2:T25,O2:O25,A47,C2:C25,D43)</f>
        <v>#DIV/0!</v>
      </c>
      <c r="E47" s="60" t="e">
        <f>AVERAGEIFS(T2:T25,O2:O25,A47,C2:C25,E43)</f>
        <v>#DIV/0!</v>
      </c>
      <c r="F47" s="219" t="e">
        <f>AVERAGEIFS(T2:T25,O2:O25,A47,C2:C25,F43)</f>
        <v>#DIV/0!</v>
      </c>
      <c r="G47" s="219" t="e">
        <f>AVERAGEIFS(T2:T25,O2:O25,A47,C2:C25,G43)</f>
        <v>#DIV/0!</v>
      </c>
      <c r="H47" s="83" t="e">
        <f>AVERAGEIF(O2:O25,A47,T2:T25)</f>
        <v>#DIV/0!</v>
      </c>
      <c r="I47" s="40"/>
      <c r="J47" s="40"/>
      <c r="K47" s="40"/>
      <c r="L47" s="40"/>
      <c r="M47" s="40"/>
      <c r="N47" s="40"/>
      <c r="O47" s="5" t="s">
        <v>17246</v>
      </c>
      <c r="P47" s="364" cm="1">
        <f t="array" ref="P47">COUNTIFS($O$2:$O$25,CPCV,$AO$2:$AO$25,O47)</f>
        <v>0</v>
      </c>
      <c r="Q47" s="5">
        <f>COUNTIFS(Y2:Y25,"&gt;="&amp;DATE(2024,1,1),Y2:Y25,"&lt;="&amp;DATE(2024,12,31),AO2:AO25,O47)</f>
        <v>0</v>
      </c>
      <c r="R47" s="1014" t="e">
        <f t="shared" si="7"/>
        <v>#DIV/0!</v>
      </c>
      <c r="S47" s="40"/>
      <c r="T47" s="40"/>
      <c r="U47" s="40"/>
      <c r="V47" s="40"/>
      <c r="W47" s="40"/>
      <c r="X47" s="40"/>
      <c r="Y47" s="320"/>
      <c r="Z47" s="320"/>
      <c r="AA47" s="320"/>
      <c r="AB47" s="43"/>
      <c r="AC47" s="43"/>
      <c r="AD47" s="40"/>
      <c r="AE47" s="43"/>
      <c r="AF47" s="40"/>
      <c r="AG47" s="43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</row>
    <row r="48" spans="1:47" ht="15.75" thickBot="1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5" t="s">
        <v>17421</v>
      </c>
      <c r="P48" s="364" cm="1">
        <f t="array" ref="P48">COUNTIFS($O$2:$O$25,CPCV,$AO$2:$AO$25,O48)</f>
        <v>0</v>
      </c>
      <c r="Q48" s="5">
        <f>COUNTIFS(Y2:Y25,"&gt;="&amp;DATE(2024,1,1),Y2:Y25,"&lt;="&amp;DATE(2024,12,31),AO2:AO25,O48)</f>
        <v>0</v>
      </c>
      <c r="R48" s="1014" t="e">
        <f t="shared" si="7"/>
        <v>#DIV/0!</v>
      </c>
      <c r="S48" s="40"/>
      <c r="T48" s="40"/>
      <c r="U48" s="40"/>
      <c r="V48" s="40"/>
      <c r="W48" s="40"/>
      <c r="X48" s="40"/>
      <c r="Y48" s="320"/>
      <c r="Z48" s="320"/>
      <c r="AA48" s="320"/>
      <c r="AB48" s="43"/>
      <c r="AC48" s="43"/>
      <c r="AD48" s="40"/>
      <c r="AE48" s="43"/>
      <c r="AF48" s="40"/>
      <c r="AG48" s="43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</row>
    <row r="49" spans="1:46">
      <c r="A49" s="1901" t="s">
        <v>192</v>
      </c>
      <c r="B49" s="1902"/>
      <c r="C49" s="62" t="s">
        <v>90</v>
      </c>
      <c r="D49" s="62" t="s">
        <v>91</v>
      </c>
      <c r="E49" s="62" t="s">
        <v>89</v>
      </c>
      <c r="F49" s="172" t="s">
        <v>93</v>
      </c>
      <c r="G49" s="172" t="s">
        <v>213</v>
      </c>
      <c r="H49" s="49" t="s">
        <v>141</v>
      </c>
      <c r="I49" s="40"/>
      <c r="J49" s="40"/>
      <c r="K49" s="122"/>
      <c r="L49" s="40"/>
      <c r="M49" s="40"/>
      <c r="N49" s="40"/>
      <c r="O49" s="40"/>
      <c r="P49" s="40"/>
      <c r="Q49" s="41"/>
      <c r="R49" s="40"/>
      <c r="S49" s="41"/>
      <c r="T49" s="40"/>
      <c r="U49" s="40"/>
      <c r="V49" s="40"/>
      <c r="W49" s="40"/>
      <c r="X49" s="40"/>
      <c r="Y49" s="320"/>
      <c r="Z49" s="320"/>
      <c r="AA49" s="320"/>
      <c r="AB49" s="43"/>
      <c r="AC49" s="43"/>
      <c r="AD49" s="40"/>
      <c r="AE49" s="43"/>
      <c r="AF49" s="40"/>
      <c r="AG49" s="43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</row>
    <row r="50" spans="1:46">
      <c r="A50" s="1903" t="s">
        <v>258</v>
      </c>
      <c r="B50" s="1904"/>
      <c r="C50" s="51" t="e">
        <f>AVERAGEIFS(P2:P25,O2:O25,A50,C2:C25,C49)</f>
        <v>#DIV/0!</v>
      </c>
      <c r="D50" s="51" t="e">
        <f>AVERAGEIFS(P2:P25,O2:O25,A50,C2:C25,D49)</f>
        <v>#DIV/0!</v>
      </c>
      <c r="E50" s="51" t="e">
        <f>AVERAGEIFS(P2:P25,O2:O25,A50,C2:C25,E49)</f>
        <v>#DIV/0!</v>
      </c>
      <c r="F50" s="477" t="e">
        <f>AVERAGEIFS(P2:P25,O2:O25,A50,C2:C25,F49)</f>
        <v>#DIV/0!</v>
      </c>
      <c r="G50" s="477" t="e">
        <f>AVERAGEIFS(P2:P25,O2:O25,A50,C2:C25,G49)</f>
        <v>#DIV/0!</v>
      </c>
      <c r="H50" s="76" t="e">
        <f>AVERAGEIF(O2:O25,A50,P2:P25)</f>
        <v>#DIV/0!</v>
      </c>
      <c r="I50" s="40"/>
      <c r="J50" s="40"/>
      <c r="K50" s="122"/>
      <c r="L50" s="40"/>
      <c r="M50" s="40"/>
      <c r="N50" s="40"/>
      <c r="O50" s="40"/>
      <c r="P50" s="40"/>
      <c r="Q50" s="41"/>
      <c r="R50" s="40"/>
      <c r="S50" s="41"/>
      <c r="T50" s="40"/>
      <c r="U50" s="40"/>
      <c r="V50" s="40"/>
      <c r="W50" s="40"/>
      <c r="X50" s="40"/>
      <c r="Y50" s="320"/>
      <c r="Z50" s="320"/>
      <c r="AA50" s="320"/>
      <c r="AB50" s="43"/>
      <c r="AC50" s="43"/>
      <c r="AD50" s="40"/>
      <c r="AE50" s="43"/>
      <c r="AF50" s="40"/>
      <c r="AG50" s="43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</row>
    <row r="51" spans="1:46">
      <c r="A51" s="1905" t="s">
        <v>102</v>
      </c>
      <c r="B51" s="1906"/>
      <c r="C51" s="54" t="e">
        <f>AVERAGEIFS(Q2:Q25,O2:O25,A51,C2:C25,C49)</f>
        <v>#DIV/0!</v>
      </c>
      <c r="D51" s="54" t="e">
        <f>AVERAGEIFS(Q2:Q25,O2:O25,A51,C2:C25,D49)</f>
        <v>#DIV/0!</v>
      </c>
      <c r="E51" s="54" t="e">
        <f>AVERAGEIFS(Q2:Q25,O2:O25,A51,C2:C25,E49)</f>
        <v>#DIV/0!</v>
      </c>
      <c r="F51" s="608" t="e">
        <f>AVERAGEIFS(Q2:Q25,O2:O25,A51,C2:C25,F49)</f>
        <v>#DIV/0!</v>
      </c>
      <c r="G51" s="608" t="e">
        <f>AVERAGEIFS(Q2:Q25,O2:O25,A51,C2:C25,G49)</f>
        <v>#DIV/0!</v>
      </c>
      <c r="H51" s="78" t="e">
        <f>AVERAGEIF(O2:O25,A51,#REF!)</f>
        <v>#REF!</v>
      </c>
      <c r="I51" s="40"/>
      <c r="J51" s="40"/>
      <c r="K51" s="122"/>
      <c r="L51" s="40"/>
      <c r="M51" s="40"/>
      <c r="N51" s="40"/>
      <c r="O51" s="40"/>
      <c r="P51" s="40"/>
      <c r="Q51" s="41"/>
      <c r="R51" s="40"/>
      <c r="S51" s="41"/>
      <c r="T51" s="40"/>
      <c r="U51" s="40"/>
      <c r="V51" s="40"/>
      <c r="W51" s="40"/>
      <c r="X51" s="40"/>
      <c r="Y51" s="320"/>
      <c r="Z51" s="320"/>
      <c r="AA51" s="320"/>
      <c r="AB51" s="43"/>
      <c r="AC51" s="43"/>
      <c r="AD51" s="40"/>
      <c r="AE51" s="43"/>
      <c r="AF51" s="40"/>
      <c r="AG51" s="43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</row>
    <row r="52" spans="1:46" ht="15.75" thickBot="1">
      <c r="A52" s="1907" t="s">
        <v>138</v>
      </c>
      <c r="B52" s="1908"/>
      <c r="C52" s="85">
        <f>AVERAGEIFS(Q2:Q25,O2:O25,"",C2:C25,C49)</f>
        <v>310400</v>
      </c>
      <c r="D52" s="85">
        <f>AVERAGEIFS(Q2:Q25,O2:O25,"",C2:C25,D49)</f>
        <v>525600</v>
      </c>
      <c r="E52" s="85">
        <f>AVERAGEIFS(Q2:Q25,O2:O25,"",C2:C25,E49)</f>
        <v>882666.66666666663</v>
      </c>
      <c r="F52" s="230">
        <f>AVERAGEIFS(Q2:Q25,O2:O25,"",C2:C25,F49)</f>
        <v>1464000</v>
      </c>
      <c r="G52" s="230">
        <f>AVERAGEIFS(Q2:Q25,O2:O25,"",C2:C25,G49)</f>
        <v>2400000</v>
      </c>
      <c r="H52" s="86">
        <f>AVERAGEIF(O2:O25,"",Q2:Q25)</f>
        <v>762000</v>
      </c>
      <c r="I52" s="40"/>
      <c r="J52" s="40"/>
      <c r="K52" s="122"/>
      <c r="L52" s="40"/>
      <c r="M52" s="40"/>
      <c r="N52" s="40"/>
      <c r="O52" s="40"/>
      <c r="P52" s="106"/>
      <c r="Q52" s="292"/>
      <c r="R52" s="106"/>
      <c r="S52" s="41"/>
      <c r="T52" s="40"/>
      <c r="U52" s="40"/>
      <c r="V52" s="40"/>
      <c r="W52" s="40"/>
      <c r="X52" s="40"/>
      <c r="Y52" s="320"/>
      <c r="Z52" s="320"/>
      <c r="AA52" s="320"/>
      <c r="AB52" s="43"/>
      <c r="AC52" s="43"/>
      <c r="AD52" s="40"/>
      <c r="AE52" s="43"/>
      <c r="AF52" s="40"/>
      <c r="AG52" s="43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</row>
    <row r="53" spans="1:46" ht="15.75" thickBot="1">
      <c r="A53" s="1897" t="s">
        <v>210</v>
      </c>
      <c r="B53" s="1898"/>
      <c r="C53" s="60" t="e">
        <f>AVERAGEIFS(P2:P25,O2:O25,A53,C2:C25,C49)</f>
        <v>#DIV/0!</v>
      </c>
      <c r="D53" s="60" t="e">
        <f>AVERAGEIFS(P2:P25,O2:O25,A53,C2:C25,D49)</f>
        <v>#DIV/0!</v>
      </c>
      <c r="E53" s="60" t="e">
        <f>AVERAGEIFS(P2:P25,O2:O25,A53,C2:C25,E49)</f>
        <v>#DIV/0!</v>
      </c>
      <c r="F53" s="219"/>
      <c r="G53" s="219"/>
      <c r="H53" s="83" t="e">
        <f>AVERAGEIF(O2:O25,"",P2:P25)</f>
        <v>#DIV/0!</v>
      </c>
      <c r="I53" s="106"/>
      <c r="J53" s="106"/>
      <c r="K53" s="123"/>
      <c r="L53" s="106"/>
      <c r="M53" s="106"/>
      <c r="N53" s="106"/>
      <c r="O53" s="106"/>
      <c r="P53" s="106"/>
      <c r="Q53" s="292"/>
      <c r="R53" s="106"/>
      <c r="S53" s="106"/>
      <c r="T53" s="106"/>
      <c r="U53" s="106"/>
      <c r="V53" s="106"/>
      <c r="W53" s="106"/>
      <c r="X53" s="106"/>
      <c r="Y53" s="552"/>
      <c r="Z53" s="552"/>
      <c r="AA53" s="552"/>
      <c r="AB53" s="328"/>
      <c r="AC53" s="328"/>
      <c r="AD53" s="106"/>
      <c r="AE53" s="328"/>
      <c r="AF53" s="106"/>
      <c r="AG53" s="328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40"/>
      <c r="AS53" s="106"/>
      <c r="AT53" s="106"/>
    </row>
    <row r="54" spans="1:46" ht="15.75" thickBot="1">
      <c r="A54" s="106"/>
      <c r="B54" s="106"/>
      <c r="C54" s="106"/>
      <c r="D54" s="106"/>
      <c r="E54" s="106"/>
      <c r="F54" s="106"/>
      <c r="G54" s="106"/>
      <c r="H54" s="106"/>
      <c r="I54" s="106"/>
      <c r="J54" s="106"/>
      <c r="K54" s="123"/>
      <c r="L54" s="106"/>
      <c r="M54" s="106"/>
      <c r="N54" s="106"/>
      <c r="O54" s="106"/>
      <c r="P54" s="106"/>
      <c r="Q54" s="292"/>
      <c r="R54" s="106"/>
      <c r="S54" s="106"/>
      <c r="T54" s="106"/>
      <c r="U54" s="106"/>
      <c r="V54" s="106"/>
      <c r="W54" s="106"/>
      <c r="X54" s="106"/>
      <c r="Y54" s="552"/>
      <c r="Z54" s="552"/>
      <c r="AA54" s="552"/>
      <c r="AB54" s="328"/>
      <c r="AC54" s="328"/>
      <c r="AD54" s="106"/>
      <c r="AE54" s="328"/>
      <c r="AF54" s="106"/>
      <c r="AG54" s="328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40"/>
      <c r="AS54" s="106"/>
      <c r="AT54" s="106"/>
    </row>
    <row r="55" spans="1:46" ht="15.75" thickBot="1">
      <c r="A55" s="1893" t="s">
        <v>299</v>
      </c>
      <c r="B55" s="1894"/>
      <c r="C55" s="62" t="s">
        <v>90</v>
      </c>
      <c r="D55" s="62" t="s">
        <v>91</v>
      </c>
      <c r="E55" s="49" t="s">
        <v>89</v>
      </c>
      <c r="F55" s="172" t="s">
        <v>93</v>
      </c>
      <c r="G55" s="172" t="s">
        <v>213</v>
      </c>
      <c r="H55" s="49" t="s">
        <v>141</v>
      </c>
      <c r="I55" s="106"/>
      <c r="J55" s="106"/>
      <c r="K55" s="123"/>
      <c r="L55" s="106"/>
      <c r="M55" s="106"/>
      <c r="N55" s="106"/>
      <c r="O55" s="106"/>
      <c r="P55" s="106"/>
      <c r="Q55" s="292"/>
      <c r="R55" s="106"/>
      <c r="S55" s="106"/>
      <c r="T55" s="106"/>
      <c r="U55" s="106"/>
      <c r="V55" s="106"/>
      <c r="W55" s="106"/>
      <c r="X55" s="106"/>
      <c r="Y55" s="552"/>
      <c r="Z55" s="552"/>
      <c r="AA55" s="552"/>
      <c r="AB55" s="328"/>
      <c r="AC55" s="328"/>
      <c r="AD55" s="106"/>
      <c r="AE55" s="328"/>
      <c r="AF55" s="106"/>
      <c r="AG55" s="328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40"/>
      <c r="AS55" s="106"/>
      <c r="AT55" s="106"/>
    </row>
    <row r="56" spans="1:46">
      <c r="A56" s="1903" t="s">
        <v>258</v>
      </c>
      <c r="B56" s="1904"/>
      <c r="C56" s="236" t="e">
        <f>AVERAGEIFS(J2:J25,C2:C25,C55,O2:O25,A56)</f>
        <v>#DIV/0!</v>
      </c>
      <c r="D56" s="236" t="e">
        <f>AVERAGEIFS(J2:J25,C2:C25,D55,O2:O25,A56)</f>
        <v>#DIV/0!</v>
      </c>
      <c r="E56" s="236" t="e">
        <f>AVERAGEIFS(J2:J25,C2:C25,E55,O2:O25,A56)</f>
        <v>#DIV/0!</v>
      </c>
      <c r="F56" s="51" t="e">
        <f>AVERAGEIFS(J2:J25,C2:C25,F55,O2:O25,A56)</f>
        <v>#DIV/0!</v>
      </c>
      <c r="G56" s="51" t="e">
        <f>AVERAGEIFS(J2:J25,C2:C25,G55,O2:O25,A56)</f>
        <v>#DIV/0!</v>
      </c>
      <c r="H56" s="51" t="e">
        <f>AVERAGEIF($O$2:$O$25,A56,$J$2:$J$25)</f>
        <v>#DIV/0!</v>
      </c>
      <c r="I56" s="106"/>
      <c r="J56" s="106"/>
      <c r="K56" s="123"/>
      <c r="L56" s="106"/>
      <c r="M56" s="106"/>
      <c r="N56" s="106"/>
      <c r="O56" s="106"/>
      <c r="P56" s="106"/>
      <c r="Q56" s="292"/>
      <c r="R56" s="106"/>
      <c r="S56" s="106"/>
      <c r="T56" s="106"/>
      <c r="U56" s="106"/>
      <c r="V56" s="106"/>
      <c r="W56" s="106"/>
      <c r="X56" s="106"/>
      <c r="Y56" s="552"/>
      <c r="Z56" s="552"/>
      <c r="AA56" s="552"/>
      <c r="AB56" s="328"/>
      <c r="AC56" s="328"/>
      <c r="AD56" s="106"/>
      <c r="AE56" s="328"/>
      <c r="AF56" s="106"/>
      <c r="AG56" s="328"/>
      <c r="AH56" s="106"/>
      <c r="AI56" s="106"/>
      <c r="AJ56" s="106"/>
      <c r="AK56" s="106"/>
      <c r="AL56" s="106"/>
      <c r="AM56" s="106"/>
      <c r="AN56" s="106"/>
      <c r="AO56" s="106"/>
      <c r="AP56" s="106"/>
      <c r="AQ56" s="106"/>
      <c r="AR56" s="40"/>
      <c r="AS56" s="106"/>
      <c r="AT56" s="106"/>
    </row>
    <row r="57" spans="1:46">
      <c r="A57" s="1905" t="s">
        <v>102</v>
      </c>
      <c r="B57" s="1911"/>
      <c r="C57" s="237" t="e">
        <f>AVERAGEIFS(J2:J25,C2:C25,C55,O2:O25,A57)</f>
        <v>#DIV/0!</v>
      </c>
      <c r="D57" s="237" t="e">
        <f>AVERAGEIFS(J2:J25,C2:C25,D55,O2:O25,A57)</f>
        <v>#DIV/0!</v>
      </c>
      <c r="E57" s="237" t="e">
        <f>AVERAGEIFS(J2:J25,C2:C25,E55,O2:O25,A57)</f>
        <v>#DIV/0!</v>
      </c>
      <c r="F57" s="54" t="e">
        <f>AVERAGEIFS(J2:J25,C2:C25,F55,O2:O25,A57)</f>
        <v>#DIV/0!</v>
      </c>
      <c r="G57" s="54" t="e">
        <f>AVERAGEIFS(J2:J25,C2:C25,G55,O2:O25,A57)</f>
        <v>#DIV/0!</v>
      </c>
      <c r="H57" s="54" t="e">
        <f>AVERAGEIF($O$2:$O$25,A57,$J$2:$J$25)</f>
        <v>#DIV/0!</v>
      </c>
      <c r="I57" s="106"/>
      <c r="J57" s="106"/>
      <c r="K57" s="123"/>
      <c r="L57" s="106"/>
      <c r="M57" s="106"/>
      <c r="N57" s="106"/>
      <c r="O57" s="106"/>
      <c r="P57" s="106"/>
      <c r="Q57" s="292"/>
      <c r="R57" s="106"/>
      <c r="S57" s="106"/>
      <c r="T57" s="106"/>
      <c r="U57" s="106"/>
      <c r="V57" s="106"/>
      <c r="W57" s="106"/>
      <c r="X57" s="106"/>
      <c r="Y57" s="552"/>
      <c r="Z57" s="552"/>
      <c r="AA57" s="552"/>
      <c r="AB57" s="328"/>
      <c r="AC57" s="328"/>
      <c r="AD57" s="106"/>
      <c r="AE57" s="328"/>
      <c r="AF57" s="106"/>
      <c r="AG57" s="328"/>
      <c r="AH57" s="106"/>
      <c r="AI57" s="106"/>
      <c r="AJ57" s="106"/>
      <c r="AK57" s="106"/>
      <c r="AL57" s="106"/>
      <c r="AM57" s="106"/>
      <c r="AN57" s="106"/>
      <c r="AO57" s="106"/>
      <c r="AP57" s="106"/>
      <c r="AQ57" s="106"/>
      <c r="AR57" s="40"/>
      <c r="AS57" s="106"/>
      <c r="AT57" s="106"/>
    </row>
    <row r="58" spans="1:46" ht="15.75" thickBot="1">
      <c r="A58" s="1907" t="s">
        <v>138</v>
      </c>
      <c r="B58" s="1912"/>
      <c r="C58" s="238">
        <f>AVERAGEIFS(J2:J25,C2:C25,C55,O2:O25,"")</f>
        <v>64.779499999999999</v>
      </c>
      <c r="D58" s="238">
        <f>AVERAGEIFS(J2:J25,C2:C25,D55,O2:O25,"")</f>
        <v>113.07600000000001</v>
      </c>
      <c r="E58" s="238">
        <f>AVERAGEIFS(J2:J25,C2:C25,E55,O2:O25,"")</f>
        <v>145.1861111111111</v>
      </c>
      <c r="F58" s="1812">
        <f>AVERAGEIFS(J2:J25,C2:C25,F55,O2:O25,"")</f>
        <v>221.03449999999998</v>
      </c>
      <c r="G58" s="1812">
        <f>AVERAGEIFS(J2:J25,C2:C25,G55,O2:O25,"")</f>
        <v>296.27199999999999</v>
      </c>
      <c r="H58" s="1813">
        <f>AVERAGEIF($O$2:$O$25,"",$J$2:$J$25)</f>
        <v>129.672875</v>
      </c>
      <c r="I58" s="106"/>
      <c r="J58" s="106"/>
      <c r="K58" s="123"/>
      <c r="L58" s="106"/>
      <c r="M58" s="106"/>
      <c r="N58" s="106"/>
      <c r="O58" s="106"/>
      <c r="P58" s="106"/>
      <c r="Q58" s="292"/>
      <c r="R58" s="106"/>
      <c r="S58" s="106"/>
      <c r="T58" s="106"/>
      <c r="U58" s="106"/>
      <c r="V58" s="106"/>
      <c r="W58" s="106"/>
      <c r="X58" s="106"/>
      <c r="Y58" s="552"/>
      <c r="Z58" s="552"/>
      <c r="AA58" s="552"/>
      <c r="AB58" s="328"/>
      <c r="AC58" s="328"/>
      <c r="AD58" s="106"/>
      <c r="AE58" s="328"/>
      <c r="AF58" s="106"/>
      <c r="AG58" s="328"/>
      <c r="AH58" s="106"/>
      <c r="AI58" s="106"/>
      <c r="AJ58" s="106"/>
      <c r="AK58" s="106"/>
      <c r="AL58" s="106"/>
      <c r="AM58" s="106"/>
      <c r="AN58" s="106"/>
      <c r="AO58" s="106"/>
      <c r="AP58" s="106"/>
      <c r="AQ58" s="106"/>
      <c r="AR58" s="40"/>
      <c r="AS58" s="106"/>
      <c r="AT58" s="106"/>
    </row>
    <row r="59" spans="1:46" ht="15.75" thickBot="1">
      <c r="A59" s="1913" t="s">
        <v>210</v>
      </c>
      <c r="B59" s="1914"/>
      <c r="C59" s="1810" t="e">
        <f>AVERAGEIFS(J2:J25,C2:C25,C55,O2:O25,A59)</f>
        <v>#DIV/0!</v>
      </c>
      <c r="D59" s="1810" t="e">
        <f>AVERAGEIFS(J2:J25,C2:C25,D55,O2:O25,A59)</f>
        <v>#DIV/0!</v>
      </c>
      <c r="E59" s="1810" t="e">
        <f>AVERAGEIFS(J2:J25,C2:C25,E55,O2:O25,A59)</f>
        <v>#DIV/0!</v>
      </c>
      <c r="F59" s="1811" t="e">
        <f>AVERAGEIFS(J2:J25,C2:C25,F55,O2:O25,A59)</f>
        <v>#DIV/0!</v>
      </c>
      <c r="G59" s="1811" t="e">
        <f>AVERAGEIFS(J2:J25,C2:C25,G55,O2:O25,A59)</f>
        <v>#DIV/0!</v>
      </c>
      <c r="H59" s="1811" t="e">
        <f>AVERAGEIF($O$2:$O$25,A59,$J$2:$J$25)</f>
        <v>#DIV/0!</v>
      </c>
      <c r="I59" s="106"/>
      <c r="J59" s="106"/>
      <c r="K59" s="123"/>
      <c r="L59" s="106"/>
      <c r="M59" s="106"/>
      <c r="N59" s="106"/>
      <c r="O59" s="106"/>
      <c r="P59" s="106"/>
      <c r="Q59" s="292"/>
      <c r="R59" s="106"/>
      <c r="S59" s="106"/>
      <c r="T59" s="106"/>
      <c r="U59" s="106"/>
      <c r="V59" s="106"/>
      <c r="W59" s="106"/>
      <c r="X59" s="106"/>
      <c r="Y59" s="552"/>
      <c r="Z59" s="552"/>
      <c r="AA59" s="552"/>
      <c r="AB59" s="328"/>
      <c r="AC59" s="328"/>
      <c r="AD59" s="106"/>
      <c r="AE59" s="328"/>
      <c r="AF59" s="106"/>
      <c r="AG59" s="328"/>
      <c r="AH59" s="106"/>
      <c r="AI59" s="106"/>
      <c r="AJ59" s="106"/>
      <c r="AK59" s="106"/>
      <c r="AL59" s="106"/>
      <c r="AM59" s="106"/>
      <c r="AN59" s="106"/>
      <c r="AO59" s="106"/>
      <c r="AP59" s="106"/>
      <c r="AQ59" s="106"/>
      <c r="AR59" s="40"/>
      <c r="AS59" s="106"/>
      <c r="AT59" s="106"/>
    </row>
    <row r="60" spans="1:46" ht="15.75" thickBot="1">
      <c r="A60" s="1899" t="s">
        <v>141</v>
      </c>
      <c r="B60" s="1900"/>
      <c r="C60" s="1808">
        <f>AVERAGEIFS(J2:J25,C2:C25,C55)</f>
        <v>64.779499999999999</v>
      </c>
      <c r="D60" s="1808">
        <f>AVERAGEIFS(J2:J25,C2:C25,D55)</f>
        <v>113.07600000000001</v>
      </c>
      <c r="E60" s="1809">
        <f>AVERAGEIFS(J2:J25,C2:C25,E55)</f>
        <v>145.1861111111111</v>
      </c>
      <c r="F60" s="1809">
        <f>AVERAGEIFS(J2:J25,C2:C25,F55)</f>
        <v>221.03449999999998</v>
      </c>
      <c r="G60" s="1809">
        <f>AVERAGEIFS(J2:J25,C2:C25,G55)</f>
        <v>296.27199999999999</v>
      </c>
      <c r="H60" s="1813">
        <f>AVERAGE(J2:J25)</f>
        <v>129.672875</v>
      </c>
      <c r="I60" s="106"/>
      <c r="J60" s="106"/>
      <c r="K60" s="123"/>
      <c r="L60" s="106"/>
      <c r="M60" s="106"/>
      <c r="N60" s="106"/>
      <c r="O60" s="106"/>
      <c r="P60" s="106"/>
      <c r="Q60" s="292"/>
      <c r="R60" s="106"/>
      <c r="S60" s="106"/>
      <c r="T60" s="106"/>
      <c r="U60" s="106"/>
      <c r="V60" s="106"/>
      <c r="W60" s="106"/>
      <c r="X60" s="106"/>
      <c r="Y60" s="552"/>
      <c r="Z60" s="552"/>
      <c r="AA60" s="552"/>
      <c r="AB60" s="328"/>
      <c r="AC60" s="328"/>
      <c r="AD60" s="106"/>
      <c r="AE60" s="328"/>
      <c r="AF60" s="106"/>
      <c r="AG60" s="328"/>
      <c r="AH60" s="106"/>
      <c r="AI60" s="106"/>
      <c r="AJ60" s="106"/>
      <c r="AK60" s="106"/>
      <c r="AL60" s="106"/>
      <c r="AM60" s="106"/>
      <c r="AN60" s="106"/>
      <c r="AO60" s="106"/>
      <c r="AP60" s="106"/>
      <c r="AQ60" s="106"/>
      <c r="AR60" s="40"/>
      <c r="AS60" s="106"/>
      <c r="AT60" s="106"/>
    </row>
    <row r="73" spans="19:21">
      <c r="S73">
        <v>64</v>
      </c>
      <c r="T73">
        <v>20</v>
      </c>
      <c r="U73">
        <f>S73*T73</f>
        <v>1280</v>
      </c>
    </row>
    <row r="74" spans="19:21">
      <c r="S74">
        <v>9</v>
      </c>
      <c r="T74">
        <v>20</v>
      </c>
      <c r="U74">
        <f>S74*T74</f>
        <v>180</v>
      </c>
    </row>
    <row r="75" spans="19:21">
      <c r="U75">
        <f>U73+U74</f>
        <v>1460</v>
      </c>
    </row>
    <row r="76" spans="19:21">
      <c r="U76">
        <f>U75*1.23</f>
        <v>1795.8</v>
      </c>
    </row>
  </sheetData>
  <autoFilter ref="A1:AU26" xr:uid="{197B7DD0-B195-4132-9E07-84F642D31E3C}"/>
  <mergeCells count="32">
    <mergeCell ref="J35:U35"/>
    <mergeCell ref="J40:M40"/>
    <mergeCell ref="O40:R40"/>
    <mergeCell ref="A26:E26"/>
    <mergeCell ref="G28:H28"/>
    <mergeCell ref="A29:B29"/>
    <mergeCell ref="A30:B30"/>
    <mergeCell ref="A31:B31"/>
    <mergeCell ref="A32:B32"/>
    <mergeCell ref="A33:B33"/>
    <mergeCell ref="A35:B35"/>
    <mergeCell ref="A36:B36"/>
    <mergeCell ref="A37:B37"/>
    <mergeCell ref="A52:B52"/>
    <mergeCell ref="A38:B38"/>
    <mergeCell ref="A39:B39"/>
    <mergeCell ref="A40:B40"/>
    <mergeCell ref="A43:B43"/>
    <mergeCell ref="A44:B44"/>
    <mergeCell ref="A45:B45"/>
    <mergeCell ref="A46:B46"/>
    <mergeCell ref="A47:B47"/>
    <mergeCell ref="A49:B49"/>
    <mergeCell ref="A50:B50"/>
    <mergeCell ref="A51:B51"/>
    <mergeCell ref="A60:B60"/>
    <mergeCell ref="A53:B53"/>
    <mergeCell ref="A55:B55"/>
    <mergeCell ref="A56:B56"/>
    <mergeCell ref="A57:B57"/>
    <mergeCell ref="A58:B58"/>
    <mergeCell ref="A59:B59"/>
  </mergeCells>
  <conditionalFormatting sqref="X1:X33 W34 Y35:Y60">
    <cfRule type="cellIs" dxfId="9" priority="1" operator="lessThan">
      <formula>TODAY()-15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D1C05-3162-4500-BA8A-6B7FA63D9270}">
  <sheetPr>
    <tabColor theme="0" tint="-0.14999847407452621"/>
    <pageSetUpPr fitToPage="1"/>
  </sheetPr>
  <dimension ref="A1:AFU143"/>
  <sheetViews>
    <sheetView topLeftCell="A53" zoomScale="115" zoomScaleNormal="115" workbookViewId="0">
      <pane xSplit="2" topLeftCell="J1" activePane="topRight" state="frozen"/>
      <selection activeCell="A20" sqref="A20"/>
      <selection pane="topRight" activeCell="H77" sqref="H77"/>
    </sheetView>
  </sheetViews>
  <sheetFormatPr defaultColWidth="9.140625" defaultRowHeight="12.75"/>
  <cols>
    <col min="1" max="1" width="6.5703125" style="1" customWidth="1"/>
    <col min="2" max="2" width="8" style="1" customWidth="1"/>
    <col min="3" max="3" width="10.85546875" style="1" customWidth="1"/>
    <col min="4" max="4" width="11.28515625" style="1" customWidth="1"/>
    <col min="5" max="5" width="10.7109375" style="1" customWidth="1"/>
    <col min="6" max="6" width="9.5703125" style="1" customWidth="1"/>
    <col min="7" max="7" width="9.28515625" style="1" customWidth="1"/>
    <col min="8" max="8" width="7.85546875" style="1" customWidth="1"/>
    <col min="9" max="9" width="8.5703125" style="1" customWidth="1"/>
    <col min="10" max="10" width="18.7109375" style="667" customWidth="1"/>
    <col min="11" max="12" width="12.7109375" style="1" customWidth="1"/>
    <col min="13" max="13" width="17.42578125" style="1" customWidth="1"/>
    <col min="14" max="14" width="11.7109375" style="1" customWidth="1"/>
    <col min="15" max="16" width="11.5703125" style="1" customWidth="1"/>
    <col min="17" max="17" width="11.28515625" style="1" customWidth="1"/>
    <col min="18" max="18" width="15.28515625" style="304" customWidth="1"/>
    <col min="19" max="19" width="13.28515625" style="1" customWidth="1"/>
    <col min="20" max="20" width="13.5703125" style="1" customWidth="1"/>
    <col min="21" max="21" width="14.85546875" style="1" customWidth="1"/>
    <col min="22" max="22" width="14" style="1" customWidth="1"/>
    <col min="23" max="23" width="12.28515625" style="1" customWidth="1"/>
    <col min="24" max="24" width="13.140625" style="1" customWidth="1"/>
    <col min="25" max="25" width="13.85546875" style="1" customWidth="1"/>
    <col min="26" max="26" width="15.140625" style="1" customWidth="1"/>
    <col min="27" max="27" width="14.85546875" style="1" customWidth="1"/>
    <col min="28" max="28" width="14.85546875" style="553" customWidth="1"/>
    <col min="29" max="29" width="11.7109375" style="553" customWidth="1"/>
    <col min="30" max="30" width="14.5703125" style="329" customWidth="1"/>
    <col min="31" max="31" width="13.28515625" style="329" customWidth="1"/>
    <col min="32" max="32" width="17.42578125" style="1" customWidth="1"/>
    <col min="33" max="33" width="13.85546875" style="329" customWidth="1"/>
    <col min="34" max="34" width="14.140625" style="1" customWidth="1"/>
    <col min="35" max="35" width="11.28515625" style="329" customWidth="1"/>
    <col min="36" max="36" width="15.85546875" style="1" bestFit="1" customWidth="1"/>
    <col min="37" max="37" width="15.7109375" style="1" customWidth="1"/>
    <col min="38" max="38" width="16.7109375" style="1" customWidth="1"/>
    <col min="39" max="39" width="16.7109375" style="646" customWidth="1"/>
    <col min="40" max="40" width="15.7109375" style="1" customWidth="1"/>
    <col min="41" max="41" width="15.5703125" style="1" customWidth="1"/>
    <col min="42" max="42" width="15.7109375" style="1" customWidth="1"/>
    <col min="43" max="43" width="15.5703125" style="1" customWidth="1"/>
    <col min="44" max="44" width="52.7109375" style="125" bestFit="1" customWidth="1"/>
    <col min="45" max="45" width="14.140625" style="125" bestFit="1" customWidth="1"/>
    <col min="46" max="50" width="14.140625" style="125" customWidth="1"/>
    <col min="51" max="51" width="13.85546875" style="1" bestFit="1" customWidth="1"/>
    <col min="52" max="52" width="60.5703125" style="1" bestFit="1" customWidth="1"/>
    <col min="53" max="53" width="20.28515625" style="304" bestFit="1" customWidth="1"/>
    <col min="54" max="54" width="20.42578125" style="304" bestFit="1" customWidth="1"/>
    <col min="55" max="16384" width="9.140625" style="1"/>
  </cols>
  <sheetData>
    <row r="1" spans="1:853" ht="26.25" thickBot="1">
      <c r="A1" s="6" t="s">
        <v>23</v>
      </c>
      <c r="B1" s="6" t="s">
        <v>5</v>
      </c>
      <c r="C1" s="6" t="s">
        <v>1</v>
      </c>
      <c r="D1" s="20" t="s">
        <v>0</v>
      </c>
      <c r="E1" s="20" t="s">
        <v>3</v>
      </c>
      <c r="F1" s="6" t="s">
        <v>6</v>
      </c>
      <c r="G1" s="6" t="s">
        <v>2</v>
      </c>
      <c r="H1" s="6" t="s">
        <v>212</v>
      </c>
      <c r="I1" s="6" t="s">
        <v>7</v>
      </c>
      <c r="J1" s="120" t="s">
        <v>11</v>
      </c>
      <c r="K1" s="6" t="s">
        <v>216</v>
      </c>
      <c r="L1" s="6" t="s">
        <v>217</v>
      </c>
      <c r="M1" s="6" t="s">
        <v>218</v>
      </c>
      <c r="N1" s="6" t="s">
        <v>219</v>
      </c>
      <c r="O1" s="6" t="s">
        <v>22</v>
      </c>
      <c r="P1" s="6" t="s">
        <v>17172</v>
      </c>
      <c r="Q1" s="6" t="s">
        <v>12</v>
      </c>
      <c r="R1" s="21" t="s">
        <v>221</v>
      </c>
      <c r="S1" s="6" t="s">
        <v>14</v>
      </c>
      <c r="T1" s="6" t="s">
        <v>17217</v>
      </c>
      <c r="U1" s="21" t="s">
        <v>15</v>
      </c>
      <c r="V1" s="21" t="s">
        <v>17216</v>
      </c>
      <c r="W1" s="6" t="s">
        <v>16</v>
      </c>
      <c r="X1" s="6" t="s">
        <v>227</v>
      </c>
      <c r="Y1" s="6" t="s">
        <v>550</v>
      </c>
      <c r="Z1" s="6" t="s">
        <v>228</v>
      </c>
      <c r="AA1" s="6" t="s">
        <v>214</v>
      </c>
      <c r="AB1" s="281" t="s">
        <v>300</v>
      </c>
      <c r="AC1" s="281" t="s">
        <v>4</v>
      </c>
      <c r="AD1" s="310" t="s">
        <v>545</v>
      </c>
      <c r="AE1" s="310" t="s">
        <v>546</v>
      </c>
      <c r="AF1" s="281" t="s">
        <v>553</v>
      </c>
      <c r="AG1" s="310" t="s">
        <v>547</v>
      </c>
      <c r="AH1" s="281" t="s">
        <v>554</v>
      </c>
      <c r="AI1" s="310" t="s">
        <v>548</v>
      </c>
      <c r="AJ1" s="6" t="s">
        <v>8</v>
      </c>
      <c r="AK1" s="6" t="s">
        <v>718</v>
      </c>
      <c r="AL1" s="6" t="s">
        <v>18</v>
      </c>
      <c r="AM1" s="643" t="s">
        <v>17285</v>
      </c>
      <c r="AN1" s="6" t="s">
        <v>542</v>
      </c>
      <c r="AO1" s="6" t="s">
        <v>543</v>
      </c>
      <c r="AP1" s="6" t="s">
        <v>542</v>
      </c>
      <c r="AQ1" s="6" t="s">
        <v>543</v>
      </c>
      <c r="AR1" s="6" t="s">
        <v>19</v>
      </c>
      <c r="AS1" s="6" t="s">
        <v>261</v>
      </c>
      <c r="AT1" s="6" t="s">
        <v>17891</v>
      </c>
      <c r="AU1" s="6" t="s">
        <v>17892</v>
      </c>
      <c r="AV1" s="6" t="s">
        <v>17893</v>
      </c>
      <c r="AW1" s="6" t="s">
        <v>17599</v>
      </c>
      <c r="AX1" s="6" t="s">
        <v>17601</v>
      </c>
      <c r="AY1" s="6" t="s">
        <v>262</v>
      </c>
      <c r="AZ1" s="6" t="s">
        <v>263</v>
      </c>
      <c r="BA1" s="21" t="s">
        <v>20</v>
      </c>
      <c r="BB1" s="21" t="s">
        <v>21</v>
      </c>
      <c r="BC1" s="106"/>
      <c r="BD1" s="106"/>
      <c r="BE1" s="106"/>
      <c r="BF1" s="106"/>
      <c r="BG1" s="106"/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6"/>
      <c r="CK1" s="106"/>
      <c r="CL1" s="106"/>
      <c r="CM1" s="106"/>
      <c r="CN1" s="106"/>
      <c r="CO1" s="106"/>
      <c r="CP1" s="106"/>
      <c r="CQ1" s="106"/>
      <c r="CR1" s="106"/>
      <c r="CS1" s="106"/>
      <c r="CT1" s="106"/>
      <c r="CU1" s="106"/>
      <c r="CV1" s="106"/>
      <c r="CW1" s="106"/>
      <c r="CX1" s="106"/>
      <c r="CY1" s="106"/>
      <c r="CZ1" s="106"/>
      <c r="DA1" s="106"/>
      <c r="DB1" s="106"/>
      <c r="DC1" s="106"/>
      <c r="DD1" s="106"/>
      <c r="DE1" s="106"/>
      <c r="DF1" s="106"/>
      <c r="DG1" s="106"/>
      <c r="DH1" s="106"/>
      <c r="DI1" s="106"/>
      <c r="DJ1" s="106"/>
      <c r="DK1" s="106"/>
      <c r="DL1" s="106"/>
      <c r="DM1" s="106"/>
      <c r="DN1" s="106"/>
      <c r="DO1" s="106"/>
      <c r="DP1" s="106"/>
      <c r="DQ1" s="106"/>
      <c r="DR1" s="106"/>
      <c r="DS1" s="106"/>
      <c r="DT1" s="106"/>
      <c r="DU1" s="106"/>
      <c r="DV1" s="106"/>
      <c r="DW1" s="106"/>
      <c r="DX1" s="106"/>
      <c r="DY1" s="106"/>
      <c r="DZ1" s="106"/>
      <c r="EA1" s="106"/>
      <c r="EB1" s="106"/>
      <c r="EC1" s="106"/>
      <c r="ED1" s="106"/>
      <c r="EE1" s="106"/>
      <c r="EF1" s="106"/>
      <c r="EG1" s="106"/>
      <c r="EH1" s="106"/>
      <c r="EI1" s="106"/>
      <c r="EJ1" s="106"/>
      <c r="EK1" s="106"/>
      <c r="EL1" s="106"/>
      <c r="EM1" s="106"/>
      <c r="EN1" s="106"/>
      <c r="EO1" s="106"/>
      <c r="EP1" s="106"/>
      <c r="EQ1" s="106"/>
      <c r="ER1" s="106"/>
      <c r="ES1" s="106"/>
      <c r="ET1" s="106"/>
      <c r="EU1" s="106"/>
      <c r="EV1" s="106"/>
      <c r="EW1" s="106"/>
      <c r="EX1" s="106"/>
      <c r="EY1" s="106"/>
      <c r="EZ1" s="106"/>
      <c r="FA1" s="106"/>
      <c r="FB1" s="106"/>
      <c r="FC1" s="106"/>
      <c r="FD1" s="106"/>
      <c r="FE1" s="106"/>
      <c r="FF1" s="106"/>
      <c r="FG1" s="106"/>
      <c r="FH1" s="106"/>
      <c r="FI1" s="106"/>
      <c r="FJ1" s="106"/>
      <c r="FK1" s="106"/>
      <c r="FL1" s="106"/>
      <c r="FM1" s="106"/>
      <c r="FN1" s="106"/>
      <c r="FO1" s="106"/>
      <c r="FP1" s="106"/>
      <c r="FQ1" s="106"/>
      <c r="FR1" s="106"/>
      <c r="FS1" s="106"/>
      <c r="FT1" s="106"/>
      <c r="FU1" s="106"/>
      <c r="FV1" s="106"/>
      <c r="FW1" s="106"/>
      <c r="FX1" s="106"/>
      <c r="FY1" s="106"/>
      <c r="FZ1" s="106"/>
      <c r="GA1" s="106"/>
      <c r="GB1" s="106"/>
      <c r="GC1" s="106"/>
      <c r="GD1" s="106"/>
      <c r="GE1" s="106"/>
      <c r="GF1" s="106"/>
      <c r="GG1" s="106"/>
      <c r="GH1" s="106"/>
      <c r="GI1" s="106"/>
      <c r="GJ1" s="106"/>
      <c r="GK1" s="106"/>
      <c r="GL1" s="106"/>
      <c r="GM1" s="106"/>
      <c r="GN1" s="106"/>
      <c r="GO1" s="106"/>
      <c r="GP1" s="106"/>
      <c r="GQ1" s="106"/>
      <c r="GR1" s="106"/>
      <c r="GS1" s="106"/>
      <c r="GT1" s="106"/>
      <c r="GU1" s="106"/>
      <c r="GV1" s="106"/>
      <c r="GW1" s="106"/>
      <c r="GX1" s="106"/>
      <c r="GY1" s="106"/>
      <c r="GZ1" s="106"/>
      <c r="HA1" s="106"/>
      <c r="HB1" s="106"/>
      <c r="HC1" s="106"/>
      <c r="HD1" s="106"/>
      <c r="HE1" s="106"/>
      <c r="HF1" s="106"/>
      <c r="HG1" s="106"/>
      <c r="HH1" s="106"/>
      <c r="HI1" s="106"/>
      <c r="HJ1" s="106"/>
      <c r="HK1" s="106"/>
      <c r="HL1" s="106"/>
      <c r="HM1" s="106"/>
      <c r="HN1" s="106"/>
      <c r="HO1" s="106"/>
      <c r="HP1" s="106"/>
      <c r="HQ1" s="106"/>
      <c r="HR1" s="106"/>
      <c r="HS1" s="106"/>
      <c r="HT1" s="106"/>
      <c r="HU1" s="106"/>
      <c r="HV1" s="106"/>
      <c r="HW1" s="106"/>
      <c r="HX1" s="106"/>
      <c r="HY1" s="106"/>
      <c r="HZ1" s="106"/>
      <c r="IA1" s="106"/>
      <c r="IB1" s="106"/>
      <c r="IC1" s="106"/>
      <c r="ID1" s="106"/>
      <c r="IE1" s="106"/>
      <c r="IF1" s="106"/>
      <c r="IG1" s="106"/>
      <c r="IH1" s="106"/>
      <c r="II1" s="106"/>
      <c r="IJ1" s="106"/>
      <c r="IK1" s="106"/>
      <c r="IL1" s="106"/>
      <c r="IM1" s="106"/>
      <c r="IN1" s="106"/>
      <c r="IO1" s="106"/>
      <c r="IP1" s="106"/>
      <c r="IQ1" s="106"/>
      <c r="IR1" s="106"/>
      <c r="IS1" s="106"/>
      <c r="IT1" s="106"/>
      <c r="IU1" s="106"/>
      <c r="IV1" s="106"/>
      <c r="IW1" s="106"/>
      <c r="IX1" s="106"/>
      <c r="IY1" s="106"/>
      <c r="IZ1" s="106"/>
      <c r="JA1" s="106"/>
      <c r="JB1" s="106"/>
      <c r="JC1" s="106"/>
      <c r="JD1" s="106"/>
      <c r="JE1" s="106"/>
      <c r="JF1" s="106"/>
      <c r="JG1" s="106"/>
      <c r="JH1" s="106"/>
      <c r="JI1" s="106"/>
      <c r="JJ1" s="106"/>
      <c r="JK1" s="106"/>
      <c r="JL1" s="106"/>
      <c r="JM1" s="106"/>
      <c r="JN1" s="106"/>
      <c r="JO1" s="106"/>
      <c r="JP1" s="106"/>
      <c r="JQ1" s="106"/>
      <c r="JR1" s="106"/>
      <c r="JS1" s="106"/>
      <c r="JT1" s="106"/>
      <c r="JU1" s="106"/>
      <c r="JV1" s="106"/>
      <c r="JW1" s="106"/>
      <c r="JX1" s="106"/>
      <c r="JY1" s="106"/>
      <c r="JZ1" s="106"/>
      <c r="KA1" s="106"/>
      <c r="KB1" s="106"/>
      <c r="KC1" s="106"/>
      <c r="KD1" s="106"/>
      <c r="KE1" s="106"/>
      <c r="KF1" s="106"/>
      <c r="KG1" s="106"/>
      <c r="KH1" s="106"/>
      <c r="KI1" s="106"/>
      <c r="KJ1" s="106"/>
      <c r="KK1" s="106"/>
      <c r="KL1" s="106"/>
      <c r="KM1" s="106"/>
      <c r="KN1" s="106"/>
      <c r="KO1" s="106"/>
      <c r="KP1" s="106"/>
      <c r="KQ1" s="106"/>
      <c r="KR1" s="106"/>
      <c r="KS1" s="106"/>
      <c r="KT1" s="106"/>
      <c r="KU1" s="106"/>
      <c r="KV1" s="106"/>
      <c r="KW1" s="106"/>
      <c r="KX1" s="106"/>
      <c r="KY1" s="106"/>
      <c r="KZ1" s="106"/>
      <c r="LA1" s="106"/>
      <c r="LB1" s="106"/>
      <c r="LC1" s="106"/>
      <c r="LD1" s="106"/>
      <c r="LE1" s="106"/>
      <c r="LF1" s="106"/>
      <c r="LG1" s="106"/>
      <c r="LH1" s="106"/>
      <c r="LI1" s="106"/>
      <c r="LJ1" s="106"/>
      <c r="LK1" s="106"/>
      <c r="LL1" s="106"/>
      <c r="LM1" s="106"/>
      <c r="LN1" s="106"/>
      <c r="LO1" s="106"/>
      <c r="LP1" s="106"/>
      <c r="LQ1" s="106"/>
      <c r="LR1" s="106"/>
      <c r="LS1" s="106"/>
      <c r="LT1" s="106"/>
      <c r="LU1" s="106"/>
      <c r="LV1" s="106"/>
      <c r="LW1" s="106"/>
      <c r="LX1" s="106"/>
      <c r="LY1" s="106"/>
      <c r="LZ1" s="106"/>
      <c r="MA1" s="106"/>
      <c r="MB1" s="106"/>
      <c r="MC1" s="106"/>
      <c r="MD1" s="106"/>
      <c r="ME1" s="106"/>
      <c r="MF1" s="106"/>
      <c r="MG1" s="106"/>
      <c r="MH1" s="106"/>
      <c r="MI1" s="106"/>
      <c r="MJ1" s="106"/>
      <c r="MK1" s="106"/>
      <c r="ML1" s="106"/>
      <c r="MM1" s="106"/>
      <c r="MN1" s="106"/>
      <c r="MO1" s="106"/>
      <c r="MP1" s="106"/>
      <c r="MQ1" s="106"/>
      <c r="MR1" s="106"/>
      <c r="MS1" s="106"/>
      <c r="MT1" s="106"/>
      <c r="MU1" s="106"/>
      <c r="MV1" s="106"/>
      <c r="MW1" s="106"/>
      <c r="MX1" s="106"/>
      <c r="MY1" s="106"/>
      <c r="MZ1" s="106"/>
      <c r="NA1" s="106"/>
      <c r="NB1" s="106"/>
      <c r="NC1" s="106"/>
      <c r="ND1" s="106"/>
      <c r="NE1" s="106"/>
      <c r="NF1" s="106"/>
      <c r="NG1" s="106"/>
      <c r="NH1" s="106"/>
      <c r="NI1" s="106"/>
      <c r="NJ1" s="106"/>
      <c r="NK1" s="106"/>
      <c r="NL1" s="106"/>
      <c r="NM1" s="106"/>
      <c r="NN1" s="106"/>
      <c r="NO1" s="106"/>
      <c r="NP1" s="106"/>
      <c r="NQ1" s="106"/>
      <c r="NR1" s="106"/>
      <c r="NS1" s="106"/>
      <c r="NT1" s="106"/>
      <c r="NU1" s="106"/>
      <c r="NV1" s="106"/>
      <c r="NW1" s="106"/>
      <c r="NX1" s="106"/>
      <c r="NY1" s="106"/>
      <c r="NZ1" s="106"/>
      <c r="OA1" s="106"/>
      <c r="OB1" s="106"/>
      <c r="OC1" s="106"/>
      <c r="OD1" s="106"/>
      <c r="OE1" s="106"/>
      <c r="OF1" s="106"/>
      <c r="OG1" s="106"/>
      <c r="OH1" s="106"/>
      <c r="OI1" s="106"/>
      <c r="OJ1" s="106"/>
      <c r="OK1" s="106"/>
      <c r="OL1" s="106"/>
      <c r="OM1" s="106"/>
      <c r="ON1" s="106"/>
      <c r="OO1" s="106"/>
      <c r="OP1" s="106"/>
      <c r="OQ1" s="106"/>
      <c r="OR1" s="106"/>
      <c r="OS1" s="106"/>
      <c r="OT1" s="106"/>
      <c r="OU1" s="106"/>
      <c r="OV1" s="106"/>
      <c r="OW1" s="106"/>
      <c r="OX1" s="106"/>
      <c r="OY1" s="106"/>
      <c r="OZ1" s="106"/>
      <c r="PA1" s="106"/>
      <c r="PB1" s="106"/>
      <c r="PC1" s="106"/>
      <c r="PD1" s="106"/>
      <c r="PE1" s="106"/>
      <c r="PF1" s="106"/>
      <c r="PG1" s="106"/>
      <c r="PH1" s="106"/>
      <c r="PI1" s="106"/>
      <c r="PJ1" s="106"/>
      <c r="PK1" s="106"/>
      <c r="PL1" s="106"/>
      <c r="PM1" s="106"/>
      <c r="PN1" s="106"/>
      <c r="PO1" s="106"/>
      <c r="PP1" s="106"/>
      <c r="PQ1" s="106"/>
      <c r="PR1" s="106"/>
      <c r="PS1" s="106"/>
      <c r="PT1" s="106"/>
      <c r="PU1" s="106"/>
      <c r="PV1" s="106"/>
      <c r="PW1" s="106"/>
      <c r="PX1" s="106"/>
      <c r="PY1" s="106"/>
      <c r="PZ1" s="106"/>
      <c r="QA1" s="106"/>
      <c r="QB1" s="106"/>
      <c r="QC1" s="106"/>
      <c r="QD1" s="106"/>
      <c r="QE1" s="106"/>
      <c r="QF1" s="106"/>
      <c r="QG1" s="106"/>
      <c r="QH1" s="106"/>
      <c r="QI1" s="106"/>
      <c r="QJ1" s="106"/>
      <c r="QK1" s="106"/>
      <c r="QL1" s="106"/>
      <c r="QM1" s="106"/>
      <c r="QN1" s="106"/>
      <c r="QO1" s="106"/>
      <c r="QP1" s="106"/>
      <c r="QQ1" s="106"/>
      <c r="QR1" s="106"/>
      <c r="QS1" s="106"/>
      <c r="QT1" s="106"/>
      <c r="QU1" s="106"/>
      <c r="QV1" s="106"/>
      <c r="QW1" s="106"/>
      <c r="QX1" s="106"/>
      <c r="QY1" s="106"/>
      <c r="QZ1" s="106"/>
      <c r="RA1" s="106"/>
      <c r="RB1" s="106"/>
      <c r="RC1" s="106"/>
      <c r="RD1" s="106"/>
      <c r="RE1" s="106"/>
      <c r="RF1" s="106"/>
      <c r="RG1" s="106"/>
      <c r="RH1" s="106"/>
      <c r="RI1" s="106"/>
      <c r="RJ1" s="106"/>
      <c r="RK1" s="106"/>
      <c r="RL1" s="106"/>
      <c r="RM1" s="106"/>
      <c r="RN1" s="106"/>
      <c r="RO1" s="106"/>
      <c r="RP1" s="106"/>
      <c r="RQ1" s="106"/>
      <c r="RR1" s="106"/>
      <c r="RS1" s="106"/>
      <c r="RT1" s="106"/>
      <c r="RU1" s="106"/>
      <c r="RV1" s="106"/>
      <c r="RW1" s="106"/>
      <c r="RX1" s="106"/>
      <c r="RY1" s="106"/>
      <c r="RZ1" s="106"/>
      <c r="SA1" s="106"/>
      <c r="SB1" s="106"/>
      <c r="SC1" s="106"/>
      <c r="SD1" s="106"/>
      <c r="SE1" s="106"/>
      <c r="SF1" s="106"/>
      <c r="SG1" s="106"/>
      <c r="SH1" s="106"/>
      <c r="SI1" s="106"/>
      <c r="SJ1" s="106"/>
      <c r="SK1" s="106"/>
      <c r="SL1" s="106"/>
      <c r="SM1" s="106"/>
      <c r="SN1" s="106"/>
      <c r="SO1" s="106"/>
      <c r="SP1" s="106"/>
      <c r="SQ1" s="106"/>
      <c r="SR1" s="106"/>
      <c r="SS1" s="106"/>
      <c r="ST1" s="106"/>
      <c r="SU1" s="106"/>
      <c r="SV1" s="106"/>
      <c r="SW1" s="106"/>
      <c r="SX1" s="106"/>
      <c r="SY1" s="106"/>
      <c r="SZ1" s="106"/>
      <c r="TA1" s="106"/>
      <c r="TB1" s="106"/>
      <c r="TC1" s="106"/>
      <c r="TD1" s="106"/>
      <c r="TE1" s="106"/>
      <c r="TF1" s="106"/>
      <c r="TG1" s="106"/>
      <c r="TH1" s="106"/>
      <c r="TI1" s="106"/>
      <c r="TJ1" s="106"/>
      <c r="TK1" s="106"/>
      <c r="TL1" s="106"/>
      <c r="TM1" s="106"/>
      <c r="TN1" s="106"/>
      <c r="TO1" s="106"/>
      <c r="TP1" s="106"/>
      <c r="TQ1" s="106"/>
      <c r="TR1" s="106"/>
      <c r="TS1" s="106"/>
      <c r="TT1" s="106"/>
      <c r="TU1" s="106"/>
      <c r="TV1" s="106"/>
      <c r="TW1" s="106"/>
      <c r="TX1" s="106"/>
      <c r="TY1" s="106"/>
      <c r="TZ1" s="106"/>
      <c r="UA1" s="106"/>
      <c r="UB1" s="106"/>
      <c r="UC1" s="106"/>
      <c r="UD1" s="106"/>
      <c r="UE1" s="106"/>
      <c r="UF1" s="106"/>
      <c r="UG1" s="106"/>
      <c r="UH1" s="106"/>
      <c r="UI1" s="106"/>
      <c r="UJ1" s="106"/>
      <c r="UK1" s="106"/>
      <c r="UL1" s="106"/>
      <c r="UM1" s="106"/>
      <c r="UN1" s="106"/>
      <c r="UO1" s="106"/>
      <c r="UP1" s="106"/>
      <c r="UQ1" s="106"/>
      <c r="UR1" s="106"/>
      <c r="US1" s="106"/>
      <c r="UT1" s="106"/>
      <c r="UU1" s="106"/>
      <c r="UV1" s="106"/>
      <c r="UW1" s="106"/>
      <c r="UX1" s="106"/>
      <c r="UY1" s="106"/>
      <c r="UZ1" s="106"/>
      <c r="VA1" s="106"/>
      <c r="VB1" s="106"/>
      <c r="VC1" s="106"/>
      <c r="VD1" s="106"/>
      <c r="VE1" s="106"/>
      <c r="VF1" s="106"/>
      <c r="VG1" s="106"/>
      <c r="VH1" s="106"/>
      <c r="VI1" s="106"/>
      <c r="VJ1" s="106"/>
      <c r="VK1" s="106"/>
      <c r="VL1" s="106"/>
      <c r="VM1" s="106"/>
      <c r="VN1" s="106"/>
      <c r="VO1" s="106"/>
      <c r="VP1" s="106"/>
      <c r="VQ1" s="106"/>
      <c r="VR1" s="106"/>
      <c r="VS1" s="106"/>
      <c r="VT1" s="106"/>
      <c r="VU1" s="106"/>
      <c r="VV1" s="106"/>
      <c r="VW1" s="106"/>
      <c r="VX1" s="106"/>
      <c r="VY1" s="106"/>
      <c r="VZ1" s="106"/>
      <c r="WA1" s="106"/>
      <c r="WB1" s="106"/>
      <c r="WC1" s="106"/>
      <c r="WD1" s="106"/>
      <c r="WE1" s="106"/>
      <c r="WF1" s="106"/>
      <c r="WG1" s="106"/>
      <c r="WH1" s="106"/>
      <c r="WI1" s="106"/>
      <c r="WJ1" s="106"/>
      <c r="WK1" s="106"/>
      <c r="WL1" s="106"/>
      <c r="WM1" s="106"/>
      <c r="WN1" s="106"/>
      <c r="WO1" s="106"/>
      <c r="WP1" s="106"/>
      <c r="WQ1" s="106"/>
      <c r="WR1" s="106"/>
      <c r="WS1" s="106"/>
      <c r="WT1" s="106"/>
      <c r="WU1" s="106"/>
      <c r="WV1" s="106"/>
      <c r="WW1" s="106"/>
      <c r="WX1" s="106"/>
      <c r="WY1" s="106"/>
      <c r="WZ1" s="106"/>
      <c r="XA1" s="106"/>
      <c r="XB1" s="106"/>
      <c r="XC1" s="106"/>
      <c r="XD1" s="106"/>
      <c r="XE1" s="106"/>
      <c r="XF1" s="106"/>
      <c r="XG1" s="106"/>
      <c r="XH1" s="106"/>
      <c r="XI1" s="106"/>
      <c r="XJ1" s="106"/>
      <c r="XK1" s="106"/>
      <c r="XL1" s="106"/>
      <c r="XM1" s="106"/>
      <c r="XN1" s="106"/>
      <c r="XO1" s="106"/>
      <c r="XP1" s="106"/>
      <c r="XQ1" s="106"/>
      <c r="XR1" s="106"/>
      <c r="XS1" s="106"/>
      <c r="XT1" s="106"/>
      <c r="XU1" s="106"/>
      <c r="XV1" s="106"/>
      <c r="XW1" s="106"/>
      <c r="XX1" s="106"/>
      <c r="XY1" s="106"/>
      <c r="XZ1" s="106"/>
      <c r="YA1" s="106"/>
      <c r="YB1" s="106"/>
      <c r="YC1" s="106"/>
      <c r="YD1" s="106"/>
      <c r="YE1" s="106"/>
      <c r="YF1" s="106"/>
      <c r="YG1" s="106"/>
      <c r="YH1" s="106"/>
      <c r="YI1" s="106"/>
      <c r="YJ1" s="106"/>
      <c r="YK1" s="106"/>
      <c r="YL1" s="106"/>
      <c r="YM1" s="106"/>
      <c r="YN1" s="106"/>
      <c r="YO1" s="106"/>
      <c r="YP1" s="106"/>
      <c r="YQ1" s="106"/>
      <c r="YR1" s="106"/>
      <c r="YS1" s="106"/>
      <c r="YT1" s="106"/>
      <c r="YU1" s="106"/>
      <c r="YV1" s="106"/>
      <c r="YW1" s="106"/>
      <c r="YX1" s="106"/>
      <c r="YY1" s="106"/>
      <c r="YZ1" s="106"/>
      <c r="ZA1" s="106"/>
      <c r="ZB1" s="106"/>
      <c r="ZC1" s="106"/>
      <c r="ZD1" s="106"/>
      <c r="ZE1" s="106"/>
      <c r="ZF1" s="106"/>
      <c r="ZG1" s="106"/>
      <c r="ZH1" s="106"/>
      <c r="ZI1" s="106"/>
      <c r="ZJ1" s="106"/>
      <c r="ZK1" s="106"/>
      <c r="ZL1" s="106"/>
      <c r="ZM1" s="106"/>
      <c r="ZN1" s="106"/>
      <c r="ZO1" s="106"/>
      <c r="ZP1" s="106"/>
      <c r="ZQ1" s="106"/>
      <c r="ZR1" s="106"/>
      <c r="ZS1" s="106"/>
      <c r="ZT1" s="106"/>
      <c r="ZU1" s="106"/>
      <c r="ZV1" s="106"/>
      <c r="ZW1" s="106"/>
      <c r="ZX1" s="106"/>
      <c r="ZY1" s="106"/>
      <c r="ZZ1" s="106"/>
      <c r="AAA1" s="106"/>
      <c r="AAB1" s="106"/>
      <c r="AAC1" s="106"/>
      <c r="AAD1" s="106"/>
      <c r="AAE1" s="106"/>
      <c r="AAF1" s="106"/>
      <c r="AAG1" s="106"/>
      <c r="AAH1" s="106"/>
      <c r="AAI1" s="106"/>
      <c r="AAJ1" s="106"/>
      <c r="AAK1" s="106"/>
      <c r="AAL1" s="106"/>
      <c r="AAM1" s="106"/>
      <c r="AAN1" s="106"/>
      <c r="AAO1" s="106"/>
      <c r="AAP1" s="106"/>
      <c r="AAQ1" s="106"/>
      <c r="AAR1" s="106"/>
      <c r="AAS1" s="106"/>
      <c r="AAT1" s="106"/>
      <c r="AAU1" s="106"/>
      <c r="AAV1" s="106"/>
      <c r="AAW1" s="106"/>
      <c r="AAX1" s="106"/>
      <c r="AAY1" s="106"/>
      <c r="AAZ1" s="106"/>
      <c r="ABA1" s="106"/>
      <c r="ABB1" s="106"/>
      <c r="ABC1" s="106"/>
      <c r="ABD1" s="106"/>
      <c r="ABE1" s="106"/>
      <c r="ABF1" s="106"/>
      <c r="ABG1" s="106"/>
      <c r="ABH1" s="106"/>
      <c r="ABI1" s="106"/>
      <c r="ABJ1" s="106"/>
      <c r="ABK1" s="106"/>
      <c r="ABL1" s="106"/>
      <c r="ABM1" s="106"/>
      <c r="ABN1" s="106"/>
      <c r="ABO1" s="106"/>
      <c r="ABP1" s="106"/>
      <c r="ABQ1" s="106"/>
      <c r="ABR1" s="106"/>
      <c r="ABS1" s="106"/>
      <c r="ABT1" s="106"/>
      <c r="ABU1" s="106"/>
      <c r="ABV1" s="106"/>
      <c r="ABW1" s="106"/>
      <c r="ABX1" s="106"/>
      <c r="ABY1" s="106"/>
      <c r="ABZ1" s="106"/>
      <c r="ACA1" s="106"/>
      <c r="ACB1" s="106"/>
      <c r="ACC1" s="106"/>
      <c r="ACD1" s="106"/>
      <c r="ACE1" s="106"/>
      <c r="ACF1" s="106"/>
      <c r="ACG1" s="106"/>
      <c r="ACH1" s="106"/>
      <c r="ACI1" s="106"/>
      <c r="ACJ1" s="106"/>
      <c r="ACK1" s="106"/>
      <c r="ACL1" s="106"/>
      <c r="ACM1" s="106"/>
      <c r="ACN1" s="106"/>
      <c r="ACO1" s="106"/>
      <c r="ACP1" s="106"/>
      <c r="ACQ1" s="106"/>
      <c r="ACR1" s="106"/>
      <c r="ACS1" s="106"/>
      <c r="ACT1" s="106"/>
      <c r="ACU1" s="106"/>
      <c r="ACV1" s="106"/>
      <c r="ACW1" s="106"/>
      <c r="ACX1" s="106"/>
      <c r="ACY1" s="106"/>
      <c r="ACZ1" s="106"/>
      <c r="ADA1" s="106"/>
      <c r="ADB1" s="106"/>
      <c r="ADC1" s="106"/>
      <c r="ADD1" s="106"/>
      <c r="ADE1" s="106"/>
      <c r="ADF1" s="106"/>
      <c r="ADG1" s="106"/>
      <c r="ADH1" s="106"/>
      <c r="ADI1" s="106"/>
      <c r="ADJ1" s="106"/>
      <c r="ADK1" s="106"/>
      <c r="ADL1" s="106"/>
      <c r="ADM1" s="106"/>
      <c r="ADN1" s="106"/>
      <c r="ADO1" s="106"/>
      <c r="ADP1" s="106"/>
      <c r="ADQ1" s="106"/>
      <c r="ADR1" s="106"/>
      <c r="ADS1" s="106"/>
      <c r="ADT1" s="106"/>
      <c r="ADU1" s="106"/>
      <c r="ADV1" s="106"/>
      <c r="ADW1" s="106"/>
      <c r="ADX1" s="106"/>
      <c r="ADY1" s="106"/>
      <c r="ADZ1" s="106"/>
      <c r="AEA1" s="106"/>
      <c r="AEB1" s="106"/>
      <c r="AEC1" s="106"/>
      <c r="AED1" s="106"/>
      <c r="AEE1" s="106"/>
      <c r="AEF1" s="106"/>
      <c r="AEG1" s="106"/>
      <c r="AEH1" s="106"/>
      <c r="AEI1" s="106"/>
      <c r="AEJ1" s="106"/>
      <c r="AEK1" s="106"/>
      <c r="AEL1" s="106"/>
      <c r="AEM1" s="106"/>
      <c r="AEN1" s="106"/>
      <c r="AEO1" s="106"/>
      <c r="AEP1" s="106"/>
      <c r="AEQ1" s="106"/>
      <c r="AER1" s="106"/>
      <c r="AES1" s="106"/>
      <c r="AET1" s="106"/>
      <c r="AEU1" s="106"/>
      <c r="AEV1" s="106"/>
      <c r="AEW1" s="106"/>
      <c r="AEX1" s="106"/>
      <c r="AEY1" s="106"/>
      <c r="AEZ1" s="106"/>
      <c r="AFA1" s="106"/>
      <c r="AFB1" s="106"/>
      <c r="AFC1" s="106"/>
      <c r="AFD1" s="106"/>
      <c r="AFE1" s="106"/>
      <c r="AFF1" s="106"/>
      <c r="AFG1" s="106"/>
      <c r="AFH1" s="106"/>
      <c r="AFI1" s="106"/>
      <c r="AFJ1" s="106"/>
      <c r="AFK1" s="106"/>
      <c r="AFL1" s="106"/>
      <c r="AFM1" s="106"/>
      <c r="AFN1" s="106"/>
      <c r="AFO1" s="106"/>
      <c r="AFP1" s="106"/>
      <c r="AFQ1" s="106"/>
      <c r="AFR1" s="106"/>
      <c r="AFS1" s="106"/>
      <c r="AFT1" s="106"/>
      <c r="AFU1" s="106"/>
    </row>
    <row r="2" spans="1:853" s="457" customFormat="1" ht="15">
      <c r="A2" s="95">
        <v>1</v>
      </c>
      <c r="B2" s="50" t="s">
        <v>24</v>
      </c>
      <c r="C2" s="97" t="s">
        <v>90</v>
      </c>
      <c r="D2" s="97">
        <v>0</v>
      </c>
      <c r="E2" s="97" t="s">
        <v>38</v>
      </c>
      <c r="F2" s="1003">
        <v>73.650000000000006</v>
      </c>
      <c r="G2" s="1004">
        <v>0</v>
      </c>
      <c r="H2" s="1004">
        <v>0</v>
      </c>
      <c r="I2" s="1004"/>
      <c r="J2" s="1000">
        <f>F2+0.3*G2+0.2*H2+0.2*I2</f>
        <v>73.650000000000006</v>
      </c>
      <c r="K2" s="370" t="s">
        <v>604</v>
      </c>
      <c r="L2" s="95"/>
      <c r="M2" s="95" t="s">
        <v>599</v>
      </c>
      <c r="N2" s="95"/>
      <c r="O2" s="99">
        <v>26</v>
      </c>
      <c r="P2" s="99"/>
      <c r="Q2" s="95" t="s">
        <v>258</v>
      </c>
      <c r="R2" s="100">
        <v>170000</v>
      </c>
      <c r="S2" s="95"/>
      <c r="T2" s="95"/>
      <c r="U2" s="100">
        <v>170000</v>
      </c>
      <c r="V2" s="100"/>
      <c r="W2" s="101">
        <f t="shared" ref="W2:W33" si="0">(U2-R2)/U2</f>
        <v>0</v>
      </c>
      <c r="X2" s="102">
        <f t="shared" ref="X2:X33" si="1">R2/J2</f>
        <v>2308.2145281737949</v>
      </c>
      <c r="Y2" s="102">
        <f>U2/J2</f>
        <v>2308.2145281737949</v>
      </c>
      <c r="Z2" s="102"/>
      <c r="AA2" s="102" t="s">
        <v>215</v>
      </c>
      <c r="AB2" s="554"/>
      <c r="AC2" s="103">
        <v>44967</v>
      </c>
      <c r="AD2" s="313">
        <v>34000</v>
      </c>
      <c r="AE2" s="313">
        <v>17000</v>
      </c>
      <c r="AF2" s="103">
        <v>45332</v>
      </c>
      <c r="AG2" s="313"/>
      <c r="AH2" s="103"/>
      <c r="AI2" s="313">
        <v>119000</v>
      </c>
      <c r="AJ2" s="95" t="s">
        <v>222</v>
      </c>
      <c r="AK2" s="95"/>
      <c r="AL2" s="306">
        <v>0.04</v>
      </c>
      <c r="AM2" s="430"/>
      <c r="AN2" s="306"/>
      <c r="AO2" s="306"/>
      <c r="AP2" s="306" t="s">
        <v>215</v>
      </c>
      <c r="AQ2" s="95" t="s">
        <v>215</v>
      </c>
      <c r="AR2" s="104" t="s">
        <v>330</v>
      </c>
      <c r="AS2" s="104" t="s">
        <v>265</v>
      </c>
      <c r="AT2" s="104"/>
      <c r="AU2" s="104"/>
      <c r="AV2" s="104"/>
      <c r="AW2" s="104" t="s">
        <v>18241</v>
      </c>
      <c r="AX2" s="104">
        <v>930599520</v>
      </c>
      <c r="AY2" s="104"/>
      <c r="AZ2" s="104"/>
      <c r="BA2" s="115">
        <f t="shared" ref="BA2:BA33" si="2">BB2*J2</f>
        <v>198855.00000000003</v>
      </c>
      <c r="BB2" s="115">
        <v>2700</v>
      </c>
    </row>
    <row r="3" spans="1:853" s="457" customFormat="1" ht="15">
      <c r="A3" s="95">
        <v>2</v>
      </c>
      <c r="B3" s="50" t="s">
        <v>25</v>
      </c>
      <c r="C3" s="97" t="s">
        <v>90</v>
      </c>
      <c r="D3" s="97">
        <v>0</v>
      </c>
      <c r="E3" s="97" t="s">
        <v>38</v>
      </c>
      <c r="F3" s="1005">
        <v>73.650000000000006</v>
      </c>
      <c r="G3" s="296">
        <v>0</v>
      </c>
      <c r="H3" s="296">
        <v>0</v>
      </c>
      <c r="I3" s="296"/>
      <c r="J3" s="1000">
        <f t="shared" ref="J3:J66" si="3">F3+0.3*G3+0.2*H3+0.2*I3</f>
        <v>73.650000000000006</v>
      </c>
      <c r="K3" s="371" t="s">
        <v>605</v>
      </c>
      <c r="L3" s="95"/>
      <c r="M3" s="95"/>
      <c r="N3" s="95"/>
      <c r="O3" s="105">
        <v>27</v>
      </c>
      <c r="P3" s="105" t="s">
        <v>249</v>
      </c>
      <c r="Q3" s="95" t="s">
        <v>258</v>
      </c>
      <c r="R3" s="100">
        <v>170000</v>
      </c>
      <c r="S3" s="95"/>
      <c r="T3" s="95"/>
      <c r="U3" s="100">
        <v>170000</v>
      </c>
      <c r="V3" s="100"/>
      <c r="W3" s="101">
        <f t="shared" si="0"/>
        <v>0</v>
      </c>
      <c r="X3" s="102">
        <f t="shared" si="1"/>
        <v>2308.2145281737949</v>
      </c>
      <c r="Y3" s="102">
        <f>U3/J3</f>
        <v>2308.2145281737949</v>
      </c>
      <c r="Z3" s="102"/>
      <c r="AA3" s="102" t="s">
        <v>215</v>
      </c>
      <c r="AB3" s="554"/>
      <c r="AC3" s="103">
        <v>44963</v>
      </c>
      <c r="AD3" s="313">
        <v>34000</v>
      </c>
      <c r="AE3" s="313">
        <v>17000</v>
      </c>
      <c r="AF3" s="103">
        <v>45328</v>
      </c>
      <c r="AG3" s="313"/>
      <c r="AH3" s="103"/>
      <c r="AI3" s="313">
        <v>119000</v>
      </c>
      <c r="AJ3" s="95" t="s">
        <v>222</v>
      </c>
      <c r="AK3" s="95"/>
      <c r="AL3" s="306">
        <v>0.04</v>
      </c>
      <c r="AM3" s="430"/>
      <c r="AN3" s="306"/>
      <c r="AO3" s="306"/>
      <c r="AP3" s="306" t="s">
        <v>215</v>
      </c>
      <c r="AQ3" s="95" t="s">
        <v>215</v>
      </c>
      <c r="AR3" s="104" t="s">
        <v>331</v>
      </c>
      <c r="AS3" s="104" t="s">
        <v>265</v>
      </c>
      <c r="AT3" s="104"/>
      <c r="AU3" s="104"/>
      <c r="AV3" s="104"/>
      <c r="AW3" s="104"/>
      <c r="AX3" s="104"/>
      <c r="AY3" s="127"/>
      <c r="AZ3" s="127"/>
      <c r="BA3" s="115">
        <f t="shared" si="2"/>
        <v>198855.00000000003</v>
      </c>
      <c r="BB3" s="115">
        <v>2700</v>
      </c>
    </row>
    <row r="4" spans="1:853" s="457" customFormat="1" ht="15">
      <c r="A4" s="95">
        <v>3</v>
      </c>
      <c r="B4" s="96" t="s">
        <v>26</v>
      </c>
      <c r="C4" s="97" t="s">
        <v>91</v>
      </c>
      <c r="D4" s="97">
        <v>0</v>
      </c>
      <c r="E4" s="97" t="s">
        <v>38</v>
      </c>
      <c r="F4" s="1005">
        <v>97.99</v>
      </c>
      <c r="G4" s="296">
        <v>0</v>
      </c>
      <c r="H4" s="296">
        <v>0</v>
      </c>
      <c r="I4" s="296"/>
      <c r="J4" s="1000">
        <f t="shared" si="3"/>
        <v>97.99</v>
      </c>
      <c r="K4" s="371" t="s">
        <v>647</v>
      </c>
      <c r="L4" s="95" t="s">
        <v>646</v>
      </c>
      <c r="M4" s="95"/>
      <c r="N4" s="95"/>
      <c r="O4" s="99" t="s">
        <v>220</v>
      </c>
      <c r="P4" s="99" t="s">
        <v>249</v>
      </c>
      <c r="Q4" s="95" t="s">
        <v>258</v>
      </c>
      <c r="R4" s="100">
        <v>320000</v>
      </c>
      <c r="S4" s="100">
        <v>307500</v>
      </c>
      <c r="T4" s="100">
        <f>0.97*V4</f>
        <v>313310</v>
      </c>
      <c r="U4" s="100">
        <v>320000</v>
      </c>
      <c r="V4" s="100">
        <v>323000</v>
      </c>
      <c r="W4" s="101">
        <f t="shared" si="0"/>
        <v>0</v>
      </c>
      <c r="X4" s="102">
        <f t="shared" si="1"/>
        <v>3265.639350954179</v>
      </c>
      <c r="Y4" s="102">
        <f>T4/J4</f>
        <v>3197.3670782732934</v>
      </c>
      <c r="Z4" s="102">
        <f>V4/J4</f>
        <v>3296.2547198693746</v>
      </c>
      <c r="AA4" s="102" t="s">
        <v>215</v>
      </c>
      <c r="AB4" s="554"/>
      <c r="AC4" s="103">
        <v>45264</v>
      </c>
      <c r="AD4" s="313">
        <v>64000</v>
      </c>
      <c r="AE4" s="313">
        <v>32000</v>
      </c>
      <c r="AF4" s="103">
        <f>365+AC4</f>
        <v>45629</v>
      </c>
      <c r="AG4" s="313"/>
      <c r="AH4" s="103"/>
      <c r="AI4" s="313">
        <v>224000</v>
      </c>
      <c r="AJ4" s="95" t="s">
        <v>222</v>
      </c>
      <c r="AK4" s="95"/>
      <c r="AL4" s="306">
        <v>0.04</v>
      </c>
      <c r="AM4" s="430">
        <v>141</v>
      </c>
      <c r="AN4" s="306"/>
      <c r="AO4" s="306"/>
      <c r="AP4" s="306"/>
      <c r="AQ4" s="95"/>
      <c r="AR4" s="104" t="s">
        <v>17254</v>
      </c>
      <c r="AS4" s="104" t="s">
        <v>265</v>
      </c>
      <c r="AT4" s="104"/>
      <c r="AU4" s="104"/>
      <c r="AV4" s="104"/>
      <c r="AW4" s="104" t="s">
        <v>18242</v>
      </c>
      <c r="AX4" s="104" t="s">
        <v>18243</v>
      </c>
      <c r="AY4" s="104"/>
      <c r="AZ4" s="104"/>
      <c r="BA4" s="115">
        <f t="shared" si="2"/>
        <v>264573</v>
      </c>
      <c r="BB4" s="115">
        <v>2700</v>
      </c>
    </row>
    <row r="5" spans="1:853" s="457" customFormat="1" ht="15">
      <c r="A5" s="95">
        <v>4</v>
      </c>
      <c r="B5" s="96" t="s">
        <v>27</v>
      </c>
      <c r="C5" s="97" t="s">
        <v>91</v>
      </c>
      <c r="D5" s="97">
        <v>0</v>
      </c>
      <c r="E5" s="97" t="s">
        <v>38</v>
      </c>
      <c r="F5" s="1005">
        <v>84.19</v>
      </c>
      <c r="G5" s="296">
        <v>0</v>
      </c>
      <c r="H5" s="296">
        <v>0</v>
      </c>
      <c r="I5" s="296"/>
      <c r="J5" s="1000">
        <f t="shared" si="3"/>
        <v>84.19</v>
      </c>
      <c r="K5" s="371" t="s">
        <v>606</v>
      </c>
      <c r="L5" s="95"/>
      <c r="M5" s="95"/>
      <c r="N5" s="95"/>
      <c r="O5" s="105">
        <v>65</v>
      </c>
      <c r="P5" s="105"/>
      <c r="Q5" s="95" t="s">
        <v>258</v>
      </c>
      <c r="R5" s="100">
        <v>240000</v>
      </c>
      <c r="S5" s="95"/>
      <c r="T5" s="95"/>
      <c r="U5" s="100">
        <v>240000</v>
      </c>
      <c r="V5" s="100"/>
      <c r="W5" s="101">
        <f t="shared" si="0"/>
        <v>0</v>
      </c>
      <c r="X5" s="102">
        <f t="shared" si="1"/>
        <v>2850.6948568713624</v>
      </c>
      <c r="Y5" s="102">
        <f>U5/J5</f>
        <v>2850.6948568713624</v>
      </c>
      <c r="Z5" s="102"/>
      <c r="AA5" s="102" t="s">
        <v>215</v>
      </c>
      <c r="AB5" s="554"/>
      <c r="AC5" s="103">
        <v>44977</v>
      </c>
      <c r="AD5" s="313">
        <v>48000</v>
      </c>
      <c r="AE5" s="313">
        <v>24000</v>
      </c>
      <c r="AF5" s="103">
        <v>45716</v>
      </c>
      <c r="AG5" s="313"/>
      <c r="AH5" s="103"/>
      <c r="AI5" s="313">
        <f>80%*R5-24000</f>
        <v>168000</v>
      </c>
      <c r="AJ5" s="95" t="s">
        <v>247</v>
      </c>
      <c r="AK5" s="95"/>
      <c r="AL5" s="306">
        <v>0.04</v>
      </c>
      <c r="AM5" s="430"/>
      <c r="AN5" s="306"/>
      <c r="AO5" s="306"/>
      <c r="AP5" s="306" t="s">
        <v>215</v>
      </c>
      <c r="AQ5" s="306" t="s">
        <v>215</v>
      </c>
      <c r="AR5" s="104" t="s">
        <v>327</v>
      </c>
      <c r="AS5" s="104" t="s">
        <v>517</v>
      </c>
      <c r="AT5" s="104"/>
      <c r="AU5" s="104"/>
      <c r="AV5" s="104"/>
      <c r="AW5" s="104" t="s">
        <v>18244</v>
      </c>
      <c r="AX5" s="104">
        <f>972-586678965</f>
        <v>-586677993</v>
      </c>
      <c r="AY5" s="104"/>
      <c r="AZ5" s="104"/>
      <c r="BA5" s="115">
        <f t="shared" si="2"/>
        <v>227313</v>
      </c>
      <c r="BB5" s="115">
        <v>2700</v>
      </c>
    </row>
    <row r="6" spans="1:853" s="457" customFormat="1" ht="15">
      <c r="A6" s="95">
        <v>5</v>
      </c>
      <c r="B6" s="96" t="s">
        <v>28</v>
      </c>
      <c r="C6" s="97" t="s">
        <v>89</v>
      </c>
      <c r="D6" s="97">
        <v>0</v>
      </c>
      <c r="E6" s="97" t="s">
        <v>38</v>
      </c>
      <c r="F6" s="1005">
        <v>139.71</v>
      </c>
      <c r="G6" s="296">
        <v>0</v>
      </c>
      <c r="H6" s="296">
        <v>0</v>
      </c>
      <c r="I6" s="296"/>
      <c r="J6" s="1000">
        <f t="shared" si="3"/>
        <v>139.71</v>
      </c>
      <c r="K6" s="371" t="s">
        <v>648</v>
      </c>
      <c r="L6" s="371" t="s">
        <v>649</v>
      </c>
      <c r="M6" s="95"/>
      <c r="N6" s="95"/>
      <c r="O6" s="99" t="s">
        <v>220</v>
      </c>
      <c r="P6" s="99"/>
      <c r="Q6" s="95" t="s">
        <v>258</v>
      </c>
      <c r="R6" s="100">
        <v>382180</v>
      </c>
      <c r="S6" s="100">
        <v>390000</v>
      </c>
      <c r="T6" s="100">
        <f>0.97*V6</f>
        <v>382180</v>
      </c>
      <c r="U6" s="100">
        <v>390000</v>
      </c>
      <c r="V6" s="100">
        <v>394000</v>
      </c>
      <c r="W6" s="101">
        <f>(T6/V6)-1</f>
        <v>-3.0000000000000027E-2</v>
      </c>
      <c r="X6" s="102">
        <f t="shared" si="1"/>
        <v>2735.5235845680336</v>
      </c>
      <c r="Y6" s="102">
        <f>T6/J6</f>
        <v>2735.5235845680336</v>
      </c>
      <c r="Z6" s="102">
        <f>V6/J6</f>
        <v>2820.1274067711688</v>
      </c>
      <c r="AA6" s="102"/>
      <c r="AB6" s="554"/>
      <c r="AC6" s="103">
        <v>45362</v>
      </c>
      <c r="AD6" s="313">
        <f>20%*R6</f>
        <v>76436</v>
      </c>
      <c r="AE6" s="313">
        <f>10%*R6</f>
        <v>38218</v>
      </c>
      <c r="AF6" s="103">
        <f>90+AC6</f>
        <v>45452</v>
      </c>
      <c r="AG6" s="313"/>
      <c r="AH6" s="103"/>
      <c r="AI6" s="313">
        <f>70%*R6</f>
        <v>267526</v>
      </c>
      <c r="AJ6" s="95" t="s">
        <v>222</v>
      </c>
      <c r="AK6" s="95"/>
      <c r="AL6" s="306">
        <v>0.04</v>
      </c>
      <c r="AM6" s="430"/>
      <c r="AN6" s="306"/>
      <c r="AO6" s="306"/>
      <c r="AP6" s="306"/>
      <c r="AQ6" s="95"/>
      <c r="AR6" s="104" t="s">
        <v>17358</v>
      </c>
      <c r="AS6" s="104" t="s">
        <v>265</v>
      </c>
      <c r="AT6" s="104"/>
      <c r="AU6" s="104"/>
      <c r="AV6" s="104"/>
      <c r="AW6" s="104" t="s">
        <v>18245</v>
      </c>
      <c r="AX6" s="104">
        <v>967164101</v>
      </c>
      <c r="AY6" s="104"/>
      <c r="AZ6" s="104"/>
      <c r="BA6" s="115">
        <f t="shared" si="2"/>
        <v>377217</v>
      </c>
      <c r="BB6" s="115">
        <v>2700</v>
      </c>
    </row>
    <row r="7" spans="1:853" s="457" customFormat="1" ht="15">
      <c r="A7" s="95">
        <v>6</v>
      </c>
      <c r="B7" s="96" t="s">
        <v>29</v>
      </c>
      <c r="C7" s="97" t="s">
        <v>91</v>
      </c>
      <c r="D7" s="97">
        <v>0</v>
      </c>
      <c r="E7" s="97" t="s">
        <v>28</v>
      </c>
      <c r="F7" s="1005">
        <v>99.9</v>
      </c>
      <c r="G7" s="296">
        <v>6.27</v>
      </c>
      <c r="H7" s="296">
        <v>0</v>
      </c>
      <c r="I7" s="296">
        <v>54.26</v>
      </c>
      <c r="J7" s="1000">
        <f t="shared" si="3"/>
        <v>112.63300000000001</v>
      </c>
      <c r="K7" s="371" t="s">
        <v>651</v>
      </c>
      <c r="L7" s="95" t="s">
        <v>650</v>
      </c>
      <c r="M7" s="95"/>
      <c r="N7" s="95"/>
      <c r="O7" s="105">
        <v>23</v>
      </c>
      <c r="P7" s="105"/>
      <c r="Q7" s="95" t="s">
        <v>258</v>
      </c>
      <c r="R7" s="100">
        <v>340000</v>
      </c>
      <c r="S7" s="100"/>
      <c r="T7" s="100"/>
      <c r="U7" s="100">
        <v>340000</v>
      </c>
      <c r="V7" s="100"/>
      <c r="W7" s="101">
        <f t="shared" si="0"/>
        <v>0</v>
      </c>
      <c r="X7" s="102">
        <f t="shared" si="1"/>
        <v>3018.6535029698221</v>
      </c>
      <c r="Y7" s="102">
        <f t="shared" ref="Y7:Y19" si="4">U7/J7</f>
        <v>3018.6535029698221</v>
      </c>
      <c r="Z7" s="102"/>
      <c r="AA7" s="102" t="s">
        <v>312</v>
      </c>
      <c r="AB7" s="554"/>
      <c r="AC7" s="128">
        <v>45050</v>
      </c>
      <c r="AD7" s="275">
        <v>68000</v>
      </c>
      <c r="AE7" s="275"/>
      <c r="AF7" s="128"/>
      <c r="AG7" s="275"/>
      <c r="AH7" s="128"/>
      <c r="AI7" s="275">
        <f>80%*R7</f>
        <v>272000</v>
      </c>
      <c r="AJ7" s="95" t="s">
        <v>274</v>
      </c>
      <c r="AK7" s="95"/>
      <c r="AL7" s="306">
        <v>0.04</v>
      </c>
      <c r="AM7" s="430"/>
      <c r="AN7" s="306"/>
      <c r="AO7" s="306"/>
      <c r="AP7" s="306" t="s">
        <v>215</v>
      </c>
      <c r="AQ7" s="306" t="s">
        <v>215</v>
      </c>
      <c r="AR7" s="95" t="s">
        <v>511</v>
      </c>
      <c r="AS7" s="95" t="s">
        <v>517</v>
      </c>
      <c r="AT7" s="95"/>
      <c r="AU7" s="95"/>
      <c r="AV7" s="95"/>
      <c r="AW7" s="95" t="s">
        <v>18246</v>
      </c>
      <c r="AX7" s="95"/>
      <c r="AY7" s="95"/>
      <c r="AZ7" s="95"/>
      <c r="BA7" s="115">
        <f t="shared" si="2"/>
        <v>304109.10000000003</v>
      </c>
      <c r="BB7" s="115">
        <v>2700</v>
      </c>
    </row>
    <row r="8" spans="1:853" s="457" customFormat="1" ht="15">
      <c r="A8" s="95">
        <v>7</v>
      </c>
      <c r="B8" s="96" t="s">
        <v>30</v>
      </c>
      <c r="C8" s="97" t="s">
        <v>90</v>
      </c>
      <c r="D8" s="97">
        <v>0</v>
      </c>
      <c r="E8" s="97" t="s">
        <v>28</v>
      </c>
      <c r="F8" s="1005">
        <v>80.39</v>
      </c>
      <c r="G8" s="296">
        <v>6.27</v>
      </c>
      <c r="H8" s="296">
        <v>0</v>
      </c>
      <c r="I8" s="296">
        <v>13.34</v>
      </c>
      <c r="J8" s="1000">
        <f t="shared" si="3"/>
        <v>84.939000000000007</v>
      </c>
      <c r="K8" s="371" t="s">
        <v>607</v>
      </c>
      <c r="L8" s="95"/>
      <c r="M8" s="95"/>
      <c r="N8" s="95"/>
      <c r="O8" s="99">
        <v>60</v>
      </c>
      <c r="P8" s="99" t="s">
        <v>249</v>
      </c>
      <c r="Q8" s="95" t="s">
        <v>258</v>
      </c>
      <c r="R8" s="100">
        <v>237000</v>
      </c>
      <c r="S8" s="95"/>
      <c r="T8" s="95"/>
      <c r="U8" s="100">
        <v>237000</v>
      </c>
      <c r="V8" s="100"/>
      <c r="W8" s="101">
        <f t="shared" si="0"/>
        <v>0</v>
      </c>
      <c r="X8" s="102">
        <f t="shared" si="1"/>
        <v>2790.2376999964677</v>
      </c>
      <c r="Y8" s="102">
        <f t="shared" si="4"/>
        <v>2790.2376999964677</v>
      </c>
      <c r="Z8" s="102"/>
      <c r="AA8" s="102" t="s">
        <v>215</v>
      </c>
      <c r="AB8" s="554"/>
      <c r="AC8" s="128">
        <v>45013</v>
      </c>
      <c r="AD8" s="275">
        <v>47400</v>
      </c>
      <c r="AE8" s="275">
        <v>23700</v>
      </c>
      <c r="AF8" s="128">
        <v>45379</v>
      </c>
      <c r="AG8" s="275"/>
      <c r="AH8" s="128"/>
      <c r="AI8" s="275">
        <v>165900</v>
      </c>
      <c r="AJ8" s="95" t="s">
        <v>222</v>
      </c>
      <c r="AK8" s="95"/>
      <c r="AL8" s="306">
        <v>0.04</v>
      </c>
      <c r="AM8" s="430"/>
      <c r="AN8" s="306"/>
      <c r="AO8" s="306"/>
      <c r="AP8" s="306" t="s">
        <v>215</v>
      </c>
      <c r="AQ8" s="95" t="s">
        <v>215</v>
      </c>
      <c r="AR8" s="95" t="s">
        <v>515</v>
      </c>
      <c r="AS8" s="95" t="s">
        <v>265</v>
      </c>
      <c r="AT8" s="95"/>
      <c r="AU8" s="95"/>
      <c r="AV8" s="95"/>
      <c r="AW8" s="95" t="s">
        <v>18247</v>
      </c>
      <c r="AX8" s="95">
        <v>968690961</v>
      </c>
      <c r="AY8" s="95"/>
      <c r="AZ8" s="95"/>
      <c r="BA8" s="115">
        <f t="shared" si="2"/>
        <v>229335.30000000002</v>
      </c>
      <c r="BB8" s="115">
        <v>2700</v>
      </c>
    </row>
    <row r="9" spans="1:853" s="457" customFormat="1" ht="15">
      <c r="A9" s="95">
        <v>8</v>
      </c>
      <c r="B9" s="96" t="s">
        <v>31</v>
      </c>
      <c r="C9" s="97" t="s">
        <v>90</v>
      </c>
      <c r="D9" s="97">
        <v>0</v>
      </c>
      <c r="E9" s="97" t="s">
        <v>28</v>
      </c>
      <c r="F9" s="1005">
        <v>73.77</v>
      </c>
      <c r="G9" s="296">
        <f>21.04-I9</f>
        <v>6.27</v>
      </c>
      <c r="H9" s="296">
        <v>0</v>
      </c>
      <c r="I9" s="296">
        <v>14.77</v>
      </c>
      <c r="J9" s="1000">
        <f t="shared" si="3"/>
        <v>78.60499999999999</v>
      </c>
      <c r="K9" s="371" t="s">
        <v>608</v>
      </c>
      <c r="L9" s="95"/>
      <c r="M9" s="95"/>
      <c r="N9" s="95"/>
      <c r="O9" s="105">
        <v>46</v>
      </c>
      <c r="P9" s="105"/>
      <c r="Q9" s="95" t="s">
        <v>258</v>
      </c>
      <c r="R9" s="100">
        <v>208550</v>
      </c>
      <c r="S9" s="95"/>
      <c r="T9" s="95"/>
      <c r="U9" s="100">
        <v>215000</v>
      </c>
      <c r="V9" s="721"/>
      <c r="W9" s="101">
        <f t="shared" si="0"/>
        <v>0.03</v>
      </c>
      <c r="X9" s="102">
        <f t="shared" si="1"/>
        <v>2653.1391132879589</v>
      </c>
      <c r="Y9" s="102">
        <f t="shared" si="4"/>
        <v>2735.194962152535</v>
      </c>
      <c r="Z9" s="102"/>
      <c r="AA9" s="102" t="s">
        <v>215</v>
      </c>
      <c r="AB9" s="554"/>
      <c r="AC9" s="113">
        <v>44883</v>
      </c>
      <c r="AD9" s="325">
        <v>41710</v>
      </c>
      <c r="AE9" s="325"/>
      <c r="AF9" s="113"/>
      <c r="AG9" s="325"/>
      <c r="AH9" s="113"/>
      <c r="AI9" s="325">
        <v>166840</v>
      </c>
      <c r="AJ9" s="95" t="s">
        <v>222</v>
      </c>
      <c r="AK9" s="95"/>
      <c r="AL9" s="306">
        <v>0.04</v>
      </c>
      <c r="AM9" s="430"/>
      <c r="AN9" s="306"/>
      <c r="AO9" s="306"/>
      <c r="AP9" s="306" t="s">
        <v>215</v>
      </c>
      <c r="AQ9" s="95" t="s">
        <v>215</v>
      </c>
      <c r="AR9" s="112" t="s">
        <v>233</v>
      </c>
      <c r="AS9" s="112" t="s">
        <v>265</v>
      </c>
      <c r="AT9" s="112"/>
      <c r="AU9" s="112"/>
      <c r="AV9" s="112"/>
      <c r="AW9" s="112" t="s">
        <v>18248</v>
      </c>
      <c r="AX9" s="112">
        <v>939464419</v>
      </c>
      <c r="AY9" s="112"/>
      <c r="AZ9" s="112"/>
      <c r="BA9" s="115">
        <f t="shared" si="2"/>
        <v>212233.49999999997</v>
      </c>
      <c r="BB9" s="115">
        <v>2700</v>
      </c>
    </row>
    <row r="10" spans="1:853" s="457" customFormat="1" ht="15">
      <c r="A10" s="95">
        <v>9</v>
      </c>
      <c r="B10" s="96" t="s">
        <v>32</v>
      </c>
      <c r="C10" s="97" t="s">
        <v>90</v>
      </c>
      <c r="D10" s="97">
        <v>0</v>
      </c>
      <c r="E10" s="97" t="s">
        <v>28</v>
      </c>
      <c r="F10" s="1005">
        <v>66.680000000000007</v>
      </c>
      <c r="G10" s="296">
        <f>14.87-I10</f>
        <v>7.4999999999999991</v>
      </c>
      <c r="H10" s="296">
        <v>0</v>
      </c>
      <c r="I10" s="296">
        <v>7.37</v>
      </c>
      <c r="J10" s="1000">
        <f t="shared" si="3"/>
        <v>70.404000000000011</v>
      </c>
      <c r="K10" s="371" t="s">
        <v>609</v>
      </c>
      <c r="L10" s="95"/>
      <c r="M10" s="95"/>
      <c r="N10" s="95"/>
      <c r="O10" s="99">
        <v>36</v>
      </c>
      <c r="P10" s="99" t="s">
        <v>249</v>
      </c>
      <c r="Q10" s="95" t="s">
        <v>258</v>
      </c>
      <c r="R10" s="100">
        <v>206000</v>
      </c>
      <c r="S10" s="95"/>
      <c r="T10" s="95"/>
      <c r="U10" s="100">
        <v>206000</v>
      </c>
      <c r="V10" s="100"/>
      <c r="W10" s="101">
        <f t="shared" si="0"/>
        <v>0</v>
      </c>
      <c r="X10" s="102">
        <f t="shared" si="1"/>
        <v>2925.9701153343553</v>
      </c>
      <c r="Y10" s="102">
        <f t="shared" si="4"/>
        <v>2925.9701153343553</v>
      </c>
      <c r="Z10" s="102"/>
      <c r="AA10" s="102" t="s">
        <v>215</v>
      </c>
      <c r="AB10" s="554"/>
      <c r="AC10" s="103">
        <v>44973</v>
      </c>
      <c r="AD10" s="313">
        <v>41200</v>
      </c>
      <c r="AE10" s="313"/>
      <c r="AF10" s="103"/>
      <c r="AG10" s="313"/>
      <c r="AH10" s="103"/>
      <c r="AI10" s="313">
        <v>164800</v>
      </c>
      <c r="AJ10" s="95" t="s">
        <v>222</v>
      </c>
      <c r="AK10" s="95"/>
      <c r="AL10" s="306">
        <v>0.04</v>
      </c>
      <c r="AM10" s="430"/>
      <c r="AN10" s="306"/>
      <c r="AO10" s="306"/>
      <c r="AP10" s="306" t="s">
        <v>215</v>
      </c>
      <c r="AQ10" s="95" t="s">
        <v>215</v>
      </c>
      <c r="AR10" s="104" t="s">
        <v>557</v>
      </c>
      <c r="AS10" s="112" t="s">
        <v>265</v>
      </c>
      <c r="AT10" s="112"/>
      <c r="AU10" s="112"/>
      <c r="AV10" s="112"/>
      <c r="AW10" s="112" t="s">
        <v>18249</v>
      </c>
      <c r="AX10" s="112">
        <v>964801605</v>
      </c>
      <c r="AY10" s="104"/>
      <c r="AZ10" s="104"/>
      <c r="BA10" s="115">
        <f t="shared" si="2"/>
        <v>190090.80000000002</v>
      </c>
      <c r="BB10" s="115">
        <v>2700</v>
      </c>
    </row>
    <row r="11" spans="1:853" s="457" customFormat="1" ht="15">
      <c r="A11" s="95">
        <v>10</v>
      </c>
      <c r="B11" s="96" t="s">
        <v>33</v>
      </c>
      <c r="C11" s="97" t="s">
        <v>90</v>
      </c>
      <c r="D11" s="97">
        <v>0</v>
      </c>
      <c r="E11" s="97" t="s">
        <v>28</v>
      </c>
      <c r="F11" s="1005">
        <v>73.77</v>
      </c>
      <c r="G11" s="296">
        <v>0</v>
      </c>
      <c r="H11" s="296">
        <v>0</v>
      </c>
      <c r="I11" s="296">
        <v>17.54</v>
      </c>
      <c r="J11" s="1000">
        <f t="shared" si="3"/>
        <v>77.277999999999992</v>
      </c>
      <c r="K11" s="371" t="s">
        <v>610</v>
      </c>
      <c r="L11" s="95"/>
      <c r="M11" s="95"/>
      <c r="N11" s="95"/>
      <c r="O11" s="105">
        <v>47</v>
      </c>
      <c r="P11" s="105" t="s">
        <v>249</v>
      </c>
      <c r="Q11" s="95" t="s">
        <v>258</v>
      </c>
      <c r="R11" s="100">
        <v>221000</v>
      </c>
      <c r="S11" s="100"/>
      <c r="T11" s="100"/>
      <c r="U11" s="100">
        <v>235000</v>
      </c>
      <c r="V11" s="100"/>
      <c r="W11" s="101">
        <f t="shared" si="0"/>
        <v>5.9574468085106386E-2</v>
      </c>
      <c r="X11" s="102">
        <f t="shared" si="1"/>
        <v>2859.8048603742336</v>
      </c>
      <c r="Y11" s="102">
        <f t="shared" si="4"/>
        <v>3040.9689691762214</v>
      </c>
      <c r="Z11" s="102"/>
      <c r="AA11" s="102" t="s">
        <v>215</v>
      </c>
      <c r="AB11" s="554"/>
      <c r="AC11" s="103">
        <v>44977</v>
      </c>
      <c r="AD11" s="313">
        <v>44200</v>
      </c>
      <c r="AE11" s="313"/>
      <c r="AF11" s="103"/>
      <c r="AG11" s="313"/>
      <c r="AH11" s="103"/>
      <c r="AI11" s="313">
        <v>176800</v>
      </c>
      <c r="AJ11" s="95" t="s">
        <v>247</v>
      </c>
      <c r="AK11" s="95"/>
      <c r="AL11" s="306">
        <v>0.04</v>
      </c>
      <c r="AM11" s="430"/>
      <c r="AN11" s="306"/>
      <c r="AO11" s="306"/>
      <c r="AP11" s="306" t="s">
        <v>215</v>
      </c>
      <c r="AQ11" s="306" t="s">
        <v>215</v>
      </c>
      <c r="AR11" s="132" t="s">
        <v>17859</v>
      </c>
      <c r="AS11" s="132" t="s">
        <v>517</v>
      </c>
      <c r="AT11" s="132"/>
      <c r="AU11" s="132"/>
      <c r="AV11" s="132"/>
      <c r="AW11" s="132"/>
      <c r="AX11" s="132"/>
      <c r="AY11" s="132"/>
      <c r="AZ11" s="132"/>
      <c r="BA11" s="115">
        <f t="shared" si="2"/>
        <v>208650.59999999998</v>
      </c>
      <c r="BB11" s="115">
        <v>2700</v>
      </c>
    </row>
    <row r="12" spans="1:853" s="457" customFormat="1" ht="15">
      <c r="A12" s="95">
        <v>11</v>
      </c>
      <c r="B12" s="96" t="s">
        <v>34</v>
      </c>
      <c r="C12" s="97" t="s">
        <v>90</v>
      </c>
      <c r="D12" s="97">
        <v>0</v>
      </c>
      <c r="E12" s="97" t="s">
        <v>28</v>
      </c>
      <c r="F12" s="1005">
        <v>73.77</v>
      </c>
      <c r="G12" s="296">
        <v>0</v>
      </c>
      <c r="H12" s="296">
        <v>0</v>
      </c>
      <c r="I12" s="296">
        <v>27.54</v>
      </c>
      <c r="J12" s="1000">
        <f t="shared" si="3"/>
        <v>79.277999999999992</v>
      </c>
      <c r="K12" s="371" t="s">
        <v>611</v>
      </c>
      <c r="L12" s="95"/>
      <c r="M12" s="95"/>
      <c r="N12" s="95"/>
      <c r="O12" s="99">
        <v>50</v>
      </c>
      <c r="P12" s="99"/>
      <c r="Q12" s="95" t="s">
        <v>258</v>
      </c>
      <c r="R12" s="100">
        <v>227000</v>
      </c>
      <c r="S12" s="100"/>
      <c r="T12" s="100"/>
      <c r="U12" s="100">
        <v>241000</v>
      </c>
      <c r="V12" s="100"/>
      <c r="W12" s="101">
        <f t="shared" si="0"/>
        <v>5.8091286307053944E-2</v>
      </c>
      <c r="X12" s="102">
        <f t="shared" si="1"/>
        <v>2863.3416584676711</v>
      </c>
      <c r="Y12" s="102">
        <f t="shared" si="4"/>
        <v>3039.9354171396858</v>
      </c>
      <c r="Z12" s="102"/>
      <c r="AA12" s="102" t="s">
        <v>215</v>
      </c>
      <c r="AB12" s="554"/>
      <c r="AC12" s="103">
        <v>44977</v>
      </c>
      <c r="AD12" s="313">
        <v>45400</v>
      </c>
      <c r="AE12" s="313"/>
      <c r="AF12" s="103"/>
      <c r="AG12" s="313"/>
      <c r="AH12" s="103"/>
      <c r="AI12" s="313">
        <v>181600</v>
      </c>
      <c r="AJ12" s="95" t="s">
        <v>247</v>
      </c>
      <c r="AK12" s="95"/>
      <c r="AL12" s="306">
        <v>0.04</v>
      </c>
      <c r="AM12" s="430"/>
      <c r="AN12" s="306"/>
      <c r="AO12" s="306"/>
      <c r="AP12" s="306" t="s">
        <v>215</v>
      </c>
      <c r="AQ12" s="306" t="s">
        <v>215</v>
      </c>
      <c r="AR12" s="132" t="s">
        <v>17860</v>
      </c>
      <c r="AS12" s="132" t="s">
        <v>517</v>
      </c>
      <c r="AT12" s="132"/>
      <c r="AU12" s="132"/>
      <c r="AV12" s="132"/>
      <c r="AW12" s="132"/>
      <c r="AX12" s="132"/>
      <c r="AY12" s="132"/>
      <c r="AZ12" s="132"/>
      <c r="BA12" s="115">
        <f t="shared" si="2"/>
        <v>214050.59999999998</v>
      </c>
      <c r="BB12" s="115">
        <v>2700</v>
      </c>
    </row>
    <row r="13" spans="1:853" s="457" customFormat="1" ht="15">
      <c r="A13" s="95">
        <v>12</v>
      </c>
      <c r="B13" s="96" t="s">
        <v>35</v>
      </c>
      <c r="C13" s="97" t="s">
        <v>91</v>
      </c>
      <c r="D13" s="97">
        <v>0</v>
      </c>
      <c r="E13" s="97" t="s">
        <v>28</v>
      </c>
      <c r="F13" s="1005">
        <v>91.49</v>
      </c>
      <c r="G13" s="296">
        <v>0</v>
      </c>
      <c r="H13" s="296">
        <v>0</v>
      </c>
      <c r="I13" s="296">
        <v>82.77</v>
      </c>
      <c r="J13" s="1000">
        <f t="shared" si="3"/>
        <v>108.044</v>
      </c>
      <c r="K13" s="371" t="s">
        <v>653</v>
      </c>
      <c r="L13" s="95" t="s">
        <v>652</v>
      </c>
      <c r="M13" s="95"/>
      <c r="N13" s="95"/>
      <c r="O13" s="105">
        <v>21</v>
      </c>
      <c r="P13" s="105" t="s">
        <v>249</v>
      </c>
      <c r="Q13" s="95" t="s">
        <v>258</v>
      </c>
      <c r="R13" s="100">
        <v>350000</v>
      </c>
      <c r="S13" s="100"/>
      <c r="T13" s="100"/>
      <c r="U13" s="100">
        <v>350000</v>
      </c>
      <c r="V13" s="100"/>
      <c r="W13" s="101">
        <f t="shared" si="0"/>
        <v>0</v>
      </c>
      <c r="X13" s="102">
        <f t="shared" si="1"/>
        <v>3239.4209766391473</v>
      </c>
      <c r="Y13" s="102">
        <f t="shared" si="4"/>
        <v>3239.4209766391473</v>
      </c>
      <c r="Z13" s="102"/>
      <c r="AA13" s="102" t="s">
        <v>215</v>
      </c>
      <c r="AB13" s="554"/>
      <c r="AC13" s="103">
        <v>45030</v>
      </c>
      <c r="AD13" s="313">
        <v>70000</v>
      </c>
      <c r="AE13" s="313"/>
      <c r="AF13" s="103"/>
      <c r="AG13" s="313"/>
      <c r="AH13" s="103"/>
      <c r="AI13" s="313">
        <v>280000</v>
      </c>
      <c r="AJ13" s="95" t="s">
        <v>247</v>
      </c>
      <c r="AK13" s="95"/>
      <c r="AL13" s="306">
        <v>0.04</v>
      </c>
      <c r="AM13" s="430"/>
      <c r="AN13" s="306"/>
      <c r="AO13" s="306"/>
      <c r="AP13" s="306" t="s">
        <v>215</v>
      </c>
      <c r="AQ13" s="306" t="s">
        <v>215</v>
      </c>
      <c r="AR13" s="104" t="s">
        <v>524</v>
      </c>
      <c r="AS13" s="104" t="s">
        <v>17448</v>
      </c>
      <c r="AT13" s="104"/>
      <c r="AU13" s="104"/>
      <c r="AV13" s="104"/>
      <c r="AW13" s="104" t="s">
        <v>18250</v>
      </c>
      <c r="AX13" s="104">
        <v>972525433918</v>
      </c>
      <c r="AY13" s="104"/>
      <c r="AZ13" s="104"/>
      <c r="BA13" s="115">
        <f t="shared" si="2"/>
        <v>291718.8</v>
      </c>
      <c r="BB13" s="115">
        <v>2700</v>
      </c>
    </row>
    <row r="14" spans="1:853" s="457" customFormat="1" ht="15">
      <c r="A14" s="95">
        <v>13</v>
      </c>
      <c r="B14" s="96" t="s">
        <v>36</v>
      </c>
      <c r="C14" s="97" t="s">
        <v>90</v>
      </c>
      <c r="D14" s="97">
        <v>0</v>
      </c>
      <c r="E14" s="97" t="s">
        <v>28</v>
      </c>
      <c r="F14" s="1005">
        <v>57.67</v>
      </c>
      <c r="G14" s="296">
        <v>0</v>
      </c>
      <c r="H14" s="296">
        <v>0</v>
      </c>
      <c r="I14" s="296">
        <v>53.74</v>
      </c>
      <c r="J14" s="1000">
        <f t="shared" si="3"/>
        <v>68.418000000000006</v>
      </c>
      <c r="K14" s="371" t="s">
        <v>612</v>
      </c>
      <c r="L14" s="95"/>
      <c r="M14" s="95"/>
      <c r="N14" s="95"/>
      <c r="O14" s="99">
        <v>33</v>
      </c>
      <c r="P14" s="99" t="s">
        <v>249</v>
      </c>
      <c r="Q14" s="95" t="s">
        <v>258</v>
      </c>
      <c r="R14" s="100">
        <v>219000</v>
      </c>
      <c r="S14" s="100"/>
      <c r="T14" s="100"/>
      <c r="U14" s="100">
        <v>219000</v>
      </c>
      <c r="V14" s="100"/>
      <c r="W14" s="101">
        <f t="shared" si="0"/>
        <v>0</v>
      </c>
      <c r="X14" s="102">
        <f t="shared" si="1"/>
        <v>3200.9120406910461</v>
      </c>
      <c r="Y14" s="102">
        <f t="shared" si="4"/>
        <v>3200.9120406910461</v>
      </c>
      <c r="Z14" s="102"/>
      <c r="AA14" s="102" t="s">
        <v>215</v>
      </c>
      <c r="AB14" s="554"/>
      <c r="AC14" s="103">
        <v>45030</v>
      </c>
      <c r="AD14" s="313">
        <v>43800</v>
      </c>
      <c r="AE14" s="313"/>
      <c r="AF14" s="103"/>
      <c r="AG14" s="313"/>
      <c r="AH14" s="103"/>
      <c r="AI14" s="313">
        <v>175200</v>
      </c>
      <c r="AJ14" s="95" t="s">
        <v>247</v>
      </c>
      <c r="AK14" s="95"/>
      <c r="AL14" s="306">
        <v>0.04</v>
      </c>
      <c r="AM14" s="430"/>
      <c r="AN14" s="306"/>
      <c r="AO14" s="306"/>
      <c r="AP14" s="306" t="s">
        <v>215</v>
      </c>
      <c r="AQ14" s="306" t="s">
        <v>215</v>
      </c>
      <c r="AR14" s="104" t="s">
        <v>523</v>
      </c>
      <c r="AS14" s="104" t="s">
        <v>525</v>
      </c>
      <c r="AT14" s="104"/>
      <c r="AU14" s="104"/>
      <c r="AV14" s="104"/>
      <c r="AW14" s="104" t="s">
        <v>455</v>
      </c>
      <c r="AX14" s="104">
        <v>917322480</v>
      </c>
      <c r="AY14" s="104"/>
      <c r="AZ14" s="104"/>
      <c r="BA14" s="115">
        <f t="shared" si="2"/>
        <v>184728.6</v>
      </c>
      <c r="BB14" s="115">
        <v>2700</v>
      </c>
    </row>
    <row r="15" spans="1:853" s="457" customFormat="1" ht="15.75" thickBot="1">
      <c r="A15" s="95">
        <v>14</v>
      </c>
      <c r="B15" s="96" t="s">
        <v>37</v>
      </c>
      <c r="C15" s="97" t="s">
        <v>91</v>
      </c>
      <c r="D15" s="97">
        <v>0</v>
      </c>
      <c r="E15" s="97" t="s">
        <v>28</v>
      </c>
      <c r="F15" s="1006">
        <v>92.29</v>
      </c>
      <c r="G15" s="296">
        <v>0</v>
      </c>
      <c r="H15" s="296">
        <v>0</v>
      </c>
      <c r="I15" s="296">
        <v>90.32</v>
      </c>
      <c r="J15" s="1000">
        <f t="shared" si="3"/>
        <v>110.35400000000001</v>
      </c>
      <c r="K15" s="372" t="s">
        <v>655</v>
      </c>
      <c r="L15" s="95" t="s">
        <v>654</v>
      </c>
      <c r="M15" s="95"/>
      <c r="N15" s="95"/>
      <c r="O15" s="114" t="s">
        <v>220</v>
      </c>
      <c r="P15" s="760" t="s">
        <v>249</v>
      </c>
      <c r="Q15" s="95" t="s">
        <v>258</v>
      </c>
      <c r="R15" s="100">
        <v>351500</v>
      </c>
      <c r="S15" s="95"/>
      <c r="T15" s="95"/>
      <c r="U15" s="100">
        <v>370000</v>
      </c>
      <c r="V15" s="100"/>
      <c r="W15" s="101">
        <f t="shared" si="0"/>
        <v>0.05</v>
      </c>
      <c r="X15" s="102">
        <f t="shared" si="1"/>
        <v>3185.2039799191689</v>
      </c>
      <c r="Y15" s="102">
        <f t="shared" si="4"/>
        <v>3352.8462946517566</v>
      </c>
      <c r="Z15" s="102"/>
      <c r="AA15" s="102" t="s">
        <v>215</v>
      </c>
      <c r="AB15" s="554"/>
      <c r="AC15" s="103">
        <v>44882</v>
      </c>
      <c r="AD15" s="313">
        <v>70300</v>
      </c>
      <c r="AE15" s="313"/>
      <c r="AF15" s="103"/>
      <c r="AG15" s="313"/>
      <c r="AH15" s="103"/>
      <c r="AI15" s="313">
        <v>281200</v>
      </c>
      <c r="AJ15" s="95" t="s">
        <v>222</v>
      </c>
      <c r="AK15" s="95"/>
      <c r="AL15" s="306">
        <v>0.04</v>
      </c>
      <c r="AM15" s="430"/>
      <c r="AN15" s="306"/>
      <c r="AO15" s="306"/>
      <c r="AP15" s="306" t="s">
        <v>215</v>
      </c>
      <c r="AQ15" s="95" t="s">
        <v>215</v>
      </c>
      <c r="AR15" s="104" t="s">
        <v>224</v>
      </c>
      <c r="AS15" s="104" t="s">
        <v>265</v>
      </c>
      <c r="AT15" s="104"/>
      <c r="AU15" s="104"/>
      <c r="AV15" s="104"/>
      <c r="AW15" s="104" t="s">
        <v>18251</v>
      </c>
      <c r="AX15" s="104">
        <v>964026648</v>
      </c>
      <c r="AY15" s="104"/>
      <c r="AZ15" s="104"/>
      <c r="BA15" s="115">
        <f t="shared" si="2"/>
        <v>297955.80000000005</v>
      </c>
      <c r="BB15" s="115">
        <v>2700</v>
      </c>
    </row>
    <row r="16" spans="1:853" s="457" customFormat="1" ht="15">
      <c r="A16" s="95">
        <v>15</v>
      </c>
      <c r="B16" s="96" t="s">
        <v>38</v>
      </c>
      <c r="C16" s="97" t="s">
        <v>90</v>
      </c>
      <c r="D16" s="97">
        <v>1</v>
      </c>
      <c r="E16" s="97" t="s">
        <v>38</v>
      </c>
      <c r="F16" s="1003">
        <v>69.95</v>
      </c>
      <c r="G16" s="296">
        <v>3.7</v>
      </c>
      <c r="H16" s="296">
        <v>0</v>
      </c>
      <c r="I16" s="296"/>
      <c r="J16" s="1000">
        <f t="shared" si="3"/>
        <v>71.06</v>
      </c>
      <c r="K16" s="370" t="s">
        <v>613</v>
      </c>
      <c r="L16" s="95"/>
      <c r="M16" s="95"/>
      <c r="N16" s="95"/>
      <c r="O16" s="232">
        <v>30</v>
      </c>
      <c r="P16" s="232"/>
      <c r="Q16" s="95" t="s">
        <v>258</v>
      </c>
      <c r="R16" s="100">
        <f>U16*0.95</f>
        <v>185250</v>
      </c>
      <c r="S16" s="95"/>
      <c r="T16" s="95"/>
      <c r="U16" s="100">
        <v>195000</v>
      </c>
      <c r="V16" s="100"/>
      <c r="W16" s="101">
        <f t="shared" si="0"/>
        <v>0.05</v>
      </c>
      <c r="X16" s="102">
        <f t="shared" si="1"/>
        <v>2606.9518716577541</v>
      </c>
      <c r="Y16" s="102">
        <f t="shared" si="4"/>
        <v>2744.1598649028988</v>
      </c>
      <c r="Z16" s="102"/>
      <c r="AA16" s="102" t="s">
        <v>215</v>
      </c>
      <c r="AB16" s="554"/>
      <c r="AC16" s="103">
        <v>44904</v>
      </c>
      <c r="AD16" s="313">
        <v>37050</v>
      </c>
      <c r="AE16" s="313"/>
      <c r="AF16" s="103"/>
      <c r="AG16" s="313"/>
      <c r="AH16" s="103"/>
      <c r="AI16" s="313">
        <v>148200</v>
      </c>
      <c r="AJ16" s="95" t="s">
        <v>222</v>
      </c>
      <c r="AK16" s="95"/>
      <c r="AL16" s="306">
        <v>0.04</v>
      </c>
      <c r="AM16" s="430"/>
      <c r="AN16" s="306"/>
      <c r="AO16" s="306"/>
      <c r="AP16" s="306" t="s">
        <v>215</v>
      </c>
      <c r="AQ16" s="95" t="s">
        <v>215</v>
      </c>
      <c r="AR16" s="104" t="s">
        <v>225</v>
      </c>
      <c r="AS16" s="104" t="s">
        <v>558</v>
      </c>
      <c r="AT16" s="104"/>
      <c r="AU16" s="104"/>
      <c r="AV16" s="104"/>
      <c r="AW16" s="104" t="s">
        <v>18252</v>
      </c>
      <c r="AX16" s="104">
        <v>96176310849</v>
      </c>
      <c r="AY16" s="104"/>
      <c r="AZ16" s="104"/>
      <c r="BA16" s="115">
        <f t="shared" si="2"/>
        <v>191862</v>
      </c>
      <c r="BB16" s="115">
        <v>2700</v>
      </c>
    </row>
    <row r="17" spans="1:54" s="457" customFormat="1" ht="15">
      <c r="A17" s="95">
        <v>16</v>
      </c>
      <c r="B17" s="96" t="s">
        <v>39</v>
      </c>
      <c r="C17" s="97" t="s">
        <v>90</v>
      </c>
      <c r="D17" s="97">
        <v>1</v>
      </c>
      <c r="E17" s="97" t="s">
        <v>38</v>
      </c>
      <c r="F17" s="1005">
        <v>69.95</v>
      </c>
      <c r="G17" s="296">
        <v>3.7</v>
      </c>
      <c r="H17" s="296">
        <v>0</v>
      </c>
      <c r="I17" s="296"/>
      <c r="J17" s="1000">
        <f t="shared" si="3"/>
        <v>71.06</v>
      </c>
      <c r="K17" s="371" t="s">
        <v>614</v>
      </c>
      <c r="L17" s="95"/>
      <c r="M17" s="95"/>
      <c r="N17" s="95"/>
      <c r="O17" s="105">
        <v>31</v>
      </c>
      <c r="P17" s="105"/>
      <c r="Q17" s="95" t="s">
        <v>258</v>
      </c>
      <c r="R17" s="100">
        <v>189150</v>
      </c>
      <c r="S17" s="95"/>
      <c r="T17" s="95"/>
      <c r="U17" s="100">
        <v>195000</v>
      </c>
      <c r="V17" s="100"/>
      <c r="W17" s="101">
        <f t="shared" si="0"/>
        <v>0.03</v>
      </c>
      <c r="X17" s="102">
        <f t="shared" si="1"/>
        <v>2661.8350689558119</v>
      </c>
      <c r="Y17" s="102">
        <f t="shared" si="4"/>
        <v>2744.1598649028988</v>
      </c>
      <c r="Z17" s="102"/>
      <c r="AA17" s="102" t="s">
        <v>215</v>
      </c>
      <c r="AB17" s="554"/>
      <c r="AC17" s="103">
        <v>45030</v>
      </c>
      <c r="AD17" s="313">
        <v>37830</v>
      </c>
      <c r="AE17" s="313"/>
      <c r="AF17" s="103"/>
      <c r="AG17" s="313"/>
      <c r="AH17" s="103"/>
      <c r="AI17" s="313">
        <v>151320</v>
      </c>
      <c r="AJ17" s="95" t="s">
        <v>274</v>
      </c>
      <c r="AK17" s="95"/>
      <c r="AL17" s="306">
        <v>0.04</v>
      </c>
      <c r="AM17" s="430"/>
      <c r="AN17" s="306"/>
      <c r="AO17" s="306"/>
      <c r="AP17" s="306" t="s">
        <v>215</v>
      </c>
      <c r="AQ17" s="306" t="s">
        <v>215</v>
      </c>
      <c r="AR17" s="104" t="s">
        <v>245</v>
      </c>
      <c r="AS17" s="104" t="s">
        <v>517</v>
      </c>
      <c r="AT17" s="104"/>
      <c r="AU17" s="104"/>
      <c r="AV17" s="104"/>
      <c r="AW17" s="104" t="s">
        <v>18253</v>
      </c>
      <c r="AX17" s="104" t="s">
        <v>455</v>
      </c>
      <c r="AY17" s="104"/>
      <c r="AZ17" s="104"/>
      <c r="BA17" s="115">
        <f t="shared" si="2"/>
        <v>191862</v>
      </c>
      <c r="BB17" s="115">
        <v>2700</v>
      </c>
    </row>
    <row r="18" spans="1:54" s="457" customFormat="1" ht="15">
      <c r="A18" s="95">
        <v>17</v>
      </c>
      <c r="B18" s="96" t="s">
        <v>40</v>
      </c>
      <c r="C18" s="97" t="s">
        <v>91</v>
      </c>
      <c r="D18" s="97">
        <v>1</v>
      </c>
      <c r="E18" s="97" t="s">
        <v>38</v>
      </c>
      <c r="F18" s="1005">
        <v>102.68</v>
      </c>
      <c r="G18" s="296">
        <v>3.5</v>
      </c>
      <c r="H18" s="296">
        <v>0</v>
      </c>
      <c r="I18" s="296"/>
      <c r="J18" s="1000">
        <f t="shared" si="3"/>
        <v>103.73</v>
      </c>
      <c r="K18" s="371" t="s">
        <v>656</v>
      </c>
      <c r="L18" s="95" t="s">
        <v>657</v>
      </c>
      <c r="M18" s="95"/>
      <c r="N18" s="95"/>
      <c r="O18" s="99">
        <v>41</v>
      </c>
      <c r="P18" s="99" t="s">
        <v>249</v>
      </c>
      <c r="Q18" s="95" t="s">
        <v>258</v>
      </c>
      <c r="R18" s="100">
        <v>307500</v>
      </c>
      <c r="S18" s="100"/>
      <c r="T18" s="100"/>
      <c r="U18" s="100">
        <v>307500</v>
      </c>
      <c r="V18" s="100"/>
      <c r="W18" s="101">
        <f t="shared" si="0"/>
        <v>0</v>
      </c>
      <c r="X18" s="102">
        <f t="shared" si="1"/>
        <v>2964.4268774703555</v>
      </c>
      <c r="Y18" s="102">
        <f t="shared" si="4"/>
        <v>2964.4268774703555</v>
      </c>
      <c r="Z18" s="102"/>
      <c r="AA18" s="102" t="s">
        <v>215</v>
      </c>
      <c r="AB18" s="554"/>
      <c r="AC18" s="128">
        <v>44967</v>
      </c>
      <c r="AD18" s="275">
        <v>61500</v>
      </c>
      <c r="AE18" s="275"/>
      <c r="AF18" s="128"/>
      <c r="AG18" s="275"/>
      <c r="AH18" s="128"/>
      <c r="AI18" s="275">
        <v>246000</v>
      </c>
      <c r="AJ18" s="95" t="s">
        <v>222</v>
      </c>
      <c r="AK18" s="95"/>
      <c r="AL18" s="306">
        <v>0.04</v>
      </c>
      <c r="AM18" s="430"/>
      <c r="AN18" s="306"/>
      <c r="AO18" s="306"/>
      <c r="AP18" s="306" t="s">
        <v>215</v>
      </c>
      <c r="AQ18" s="95" t="s">
        <v>215</v>
      </c>
      <c r="AR18" s="95" t="s">
        <v>559</v>
      </c>
      <c r="AS18" s="95" t="s">
        <v>265</v>
      </c>
      <c r="AT18" s="95"/>
      <c r="AU18" s="95"/>
      <c r="AV18" s="95"/>
      <c r="AW18" s="95" t="s">
        <v>18254</v>
      </c>
      <c r="AX18" s="95"/>
      <c r="AY18" s="95"/>
      <c r="AZ18" s="95"/>
      <c r="BA18" s="115">
        <f t="shared" si="2"/>
        <v>280071</v>
      </c>
      <c r="BB18" s="115">
        <v>2700</v>
      </c>
    </row>
    <row r="19" spans="1:54" s="457" customFormat="1" ht="15">
      <c r="A19" s="95">
        <v>18</v>
      </c>
      <c r="B19" s="96" t="s">
        <v>41</v>
      </c>
      <c r="C19" s="97" t="s">
        <v>91</v>
      </c>
      <c r="D19" s="97">
        <v>1</v>
      </c>
      <c r="E19" s="97" t="s">
        <v>38</v>
      </c>
      <c r="F19" s="1005">
        <v>81.3</v>
      </c>
      <c r="G19" s="296">
        <v>6.27</v>
      </c>
      <c r="H19" s="296">
        <v>0</v>
      </c>
      <c r="I19" s="296"/>
      <c r="J19" s="1000">
        <f t="shared" si="3"/>
        <v>83.180999999999997</v>
      </c>
      <c r="K19" s="371" t="s">
        <v>615</v>
      </c>
      <c r="L19" s="95"/>
      <c r="M19" s="95"/>
      <c r="N19" s="95"/>
      <c r="O19" s="105">
        <v>66</v>
      </c>
      <c r="P19" s="105"/>
      <c r="Q19" s="95" t="s">
        <v>258</v>
      </c>
      <c r="R19" s="100">
        <v>290000</v>
      </c>
      <c r="S19" s="100">
        <v>286000</v>
      </c>
      <c r="T19" s="100"/>
      <c r="U19" s="100">
        <v>301000</v>
      </c>
      <c r="V19" s="100"/>
      <c r="W19" s="101">
        <f t="shared" si="0"/>
        <v>3.6544850498338874E-2</v>
      </c>
      <c r="X19" s="102">
        <f t="shared" si="1"/>
        <v>3486.3730900085357</v>
      </c>
      <c r="Y19" s="102">
        <f t="shared" si="4"/>
        <v>3618.6148279054114</v>
      </c>
      <c r="Z19" s="102">
        <f>U19/J19</f>
        <v>3618.6148279054114</v>
      </c>
      <c r="AA19" s="102"/>
      <c r="AB19" s="554"/>
      <c r="AC19" s="103">
        <v>45189</v>
      </c>
      <c r="AD19" s="313">
        <v>58000</v>
      </c>
      <c r="AE19" s="313"/>
      <c r="AF19" s="103"/>
      <c r="AG19" s="313"/>
      <c r="AH19" s="103"/>
      <c r="AI19" s="313">
        <v>232000</v>
      </c>
      <c r="AJ19" s="95" t="s">
        <v>222</v>
      </c>
      <c r="AK19" s="95"/>
      <c r="AL19" s="306">
        <v>0.04</v>
      </c>
      <c r="AM19" s="430"/>
      <c r="AN19" s="306"/>
      <c r="AO19" s="306"/>
      <c r="AP19" s="306"/>
      <c r="AQ19" s="95"/>
      <c r="AR19" s="104" t="s">
        <v>17205</v>
      </c>
      <c r="AS19" s="104" t="s">
        <v>265</v>
      </c>
      <c r="AT19" s="104"/>
      <c r="AU19" s="104"/>
      <c r="AV19" s="104"/>
      <c r="AW19" s="104" t="s">
        <v>18255</v>
      </c>
      <c r="AX19" s="104" t="s">
        <v>18256</v>
      </c>
      <c r="AY19" s="104"/>
      <c r="AZ19" s="104"/>
      <c r="BA19" s="115">
        <f t="shared" si="2"/>
        <v>224588.69999999998</v>
      </c>
      <c r="BB19" s="115">
        <v>2700</v>
      </c>
    </row>
    <row r="20" spans="1:54" s="457" customFormat="1" ht="15">
      <c r="A20" s="95">
        <v>19</v>
      </c>
      <c r="B20" s="96" t="s">
        <v>42</v>
      </c>
      <c r="C20" s="97" t="s">
        <v>89</v>
      </c>
      <c r="D20" s="97">
        <v>1</v>
      </c>
      <c r="E20" s="97" t="s">
        <v>38</v>
      </c>
      <c r="F20" s="1005">
        <v>136.19</v>
      </c>
      <c r="G20" s="296">
        <v>6.62</v>
      </c>
      <c r="H20" s="296">
        <v>0</v>
      </c>
      <c r="I20" s="296"/>
      <c r="J20" s="1000">
        <f t="shared" si="3"/>
        <v>138.17599999999999</v>
      </c>
      <c r="K20" s="371" t="s">
        <v>658</v>
      </c>
      <c r="L20" s="95" t="s">
        <v>659</v>
      </c>
      <c r="M20" s="95"/>
      <c r="N20" s="95"/>
      <c r="O20" s="99">
        <v>6</v>
      </c>
      <c r="P20" s="99"/>
      <c r="Q20" s="95" t="s">
        <v>258</v>
      </c>
      <c r="R20" s="100">
        <v>441000</v>
      </c>
      <c r="S20" s="100">
        <v>435000</v>
      </c>
      <c r="T20" s="100">
        <f>0.97*V20</f>
        <v>443290</v>
      </c>
      <c r="U20" s="100">
        <v>452000</v>
      </c>
      <c r="V20" s="100">
        <v>457000</v>
      </c>
      <c r="W20" s="101">
        <f>(T20/V20)-1</f>
        <v>-3.0000000000000027E-2</v>
      </c>
      <c r="X20" s="102">
        <f t="shared" si="1"/>
        <v>3191.5817508105606</v>
      </c>
      <c r="Y20" s="102">
        <f>T20/J20</f>
        <v>3208.1548170449287</v>
      </c>
      <c r="Z20" s="102">
        <f>V20/J20</f>
        <v>3307.3761000463182</v>
      </c>
      <c r="AA20" s="102"/>
      <c r="AB20" s="554"/>
      <c r="AC20" s="103">
        <v>45938</v>
      </c>
      <c r="AD20" s="313">
        <f>5000+83200</f>
        <v>88200</v>
      </c>
      <c r="AE20" s="313"/>
      <c r="AF20" s="132"/>
      <c r="AG20" s="313"/>
      <c r="AH20" s="132"/>
      <c r="AI20" s="313">
        <v>352800</v>
      </c>
      <c r="AJ20" s="95" t="s">
        <v>222</v>
      </c>
      <c r="AK20" s="95"/>
      <c r="AL20" s="306">
        <v>0.04</v>
      </c>
      <c r="AM20" s="430"/>
      <c r="AN20" s="306"/>
      <c r="AO20" s="306"/>
      <c r="AP20" s="306"/>
      <c r="AQ20" s="95"/>
      <c r="AR20" s="104" t="s">
        <v>18366</v>
      </c>
      <c r="AS20" s="104" t="s">
        <v>265</v>
      </c>
      <c r="AT20" s="104"/>
      <c r="AU20" s="104"/>
      <c r="AV20" s="104"/>
      <c r="AW20" s="104"/>
      <c r="AX20" s="104"/>
      <c r="AY20" s="133"/>
      <c r="AZ20" s="133"/>
      <c r="BA20" s="115">
        <f t="shared" si="2"/>
        <v>373075.19999999995</v>
      </c>
      <c r="BB20" s="115">
        <v>2700</v>
      </c>
    </row>
    <row r="21" spans="1:54" s="457" customFormat="1" ht="15">
      <c r="A21" s="95">
        <v>20</v>
      </c>
      <c r="B21" s="96" t="s">
        <v>43</v>
      </c>
      <c r="C21" s="97" t="s">
        <v>91</v>
      </c>
      <c r="D21" s="97">
        <v>1</v>
      </c>
      <c r="E21" s="97" t="s">
        <v>28</v>
      </c>
      <c r="F21" s="1005">
        <v>95.94</v>
      </c>
      <c r="G21" s="296">
        <v>9.5399999999999991</v>
      </c>
      <c r="H21" s="296">
        <v>0</v>
      </c>
      <c r="I21" s="296"/>
      <c r="J21" s="1000">
        <f t="shared" si="3"/>
        <v>98.801999999999992</v>
      </c>
      <c r="K21" s="371" t="s">
        <v>616</v>
      </c>
      <c r="L21" s="95"/>
      <c r="M21" s="95"/>
      <c r="N21" s="95"/>
      <c r="O21" s="105">
        <v>13</v>
      </c>
      <c r="P21" s="105" t="s">
        <v>249</v>
      </c>
      <c r="Q21" s="95" t="s">
        <v>258</v>
      </c>
      <c r="R21" s="100">
        <v>355000</v>
      </c>
      <c r="S21" s="100">
        <v>334000</v>
      </c>
      <c r="T21" s="100">
        <f>0.97*V21</f>
        <v>344350</v>
      </c>
      <c r="U21" s="100">
        <v>347000</v>
      </c>
      <c r="V21" s="100">
        <v>355000</v>
      </c>
      <c r="W21" s="101">
        <f>(T21/V21)-1</f>
        <v>-3.0000000000000027E-2</v>
      </c>
      <c r="X21" s="102">
        <f t="shared" si="1"/>
        <v>3593.0446752090043</v>
      </c>
      <c r="Y21" s="102">
        <f>T21/J21</f>
        <v>3485.2533349527339</v>
      </c>
      <c r="Z21" s="102">
        <f>V21/J21</f>
        <v>3593.0446752090043</v>
      </c>
      <c r="AA21" s="102"/>
      <c r="AB21" s="554"/>
      <c r="AC21" s="103">
        <v>45693</v>
      </c>
      <c r="AD21" s="313">
        <f>20%*R21</f>
        <v>71000</v>
      </c>
      <c r="AE21" s="313"/>
      <c r="AF21" s="103"/>
      <c r="AG21" s="313"/>
      <c r="AH21" s="103"/>
      <c r="AI21" s="313">
        <f>80%*R21</f>
        <v>284000</v>
      </c>
      <c r="AJ21" s="95" t="s">
        <v>222</v>
      </c>
      <c r="AK21" s="95"/>
      <c r="AL21" s="306">
        <v>0.04</v>
      </c>
      <c r="AM21" s="430"/>
      <c r="AN21" s="306"/>
      <c r="AO21" s="306"/>
      <c r="AP21" s="306"/>
      <c r="AQ21" s="95"/>
      <c r="AR21" s="104" t="s">
        <v>17779</v>
      </c>
      <c r="AS21" s="104" t="s">
        <v>265</v>
      </c>
      <c r="AT21" s="104"/>
      <c r="AU21" s="104"/>
      <c r="AV21" s="104"/>
      <c r="AW21" s="104" t="s">
        <v>18257</v>
      </c>
      <c r="AX21" s="104">
        <v>966215197</v>
      </c>
      <c r="AY21" s="104"/>
      <c r="AZ21" s="104"/>
      <c r="BA21" s="115">
        <f t="shared" si="2"/>
        <v>266765.39999999997</v>
      </c>
      <c r="BB21" s="115">
        <v>2700</v>
      </c>
    </row>
    <row r="22" spans="1:54" s="457" customFormat="1" ht="15">
      <c r="A22" s="95">
        <v>21</v>
      </c>
      <c r="B22" s="96" t="s">
        <v>44</v>
      </c>
      <c r="C22" s="97" t="s">
        <v>90</v>
      </c>
      <c r="D22" s="97">
        <v>1</v>
      </c>
      <c r="E22" s="97" t="s">
        <v>28</v>
      </c>
      <c r="F22" s="1005">
        <v>76.319999999999993</v>
      </c>
      <c r="G22" s="296">
        <v>10.54</v>
      </c>
      <c r="H22" s="296">
        <v>0</v>
      </c>
      <c r="I22" s="296"/>
      <c r="J22" s="1000">
        <f t="shared" si="3"/>
        <v>79.481999999999999</v>
      </c>
      <c r="K22" s="371" t="s">
        <v>617</v>
      </c>
      <c r="L22" s="95"/>
      <c r="M22" s="95"/>
      <c r="N22" s="95"/>
      <c r="O22" s="99">
        <v>53</v>
      </c>
      <c r="P22" s="99" t="s">
        <v>249</v>
      </c>
      <c r="Q22" s="95" t="s">
        <v>258</v>
      </c>
      <c r="R22" s="100">
        <v>233000</v>
      </c>
      <c r="S22" s="95"/>
      <c r="T22" s="95"/>
      <c r="U22" s="100">
        <v>233000</v>
      </c>
      <c r="V22" s="100"/>
      <c r="W22" s="101">
        <f t="shared" si="0"/>
        <v>0</v>
      </c>
      <c r="X22" s="102">
        <f t="shared" si="1"/>
        <v>2931.4813416874263</v>
      </c>
      <c r="Y22" s="102">
        <f>U22/J22</f>
        <v>2931.4813416874263</v>
      </c>
      <c r="Z22" s="102"/>
      <c r="AA22" s="102" t="s">
        <v>215</v>
      </c>
      <c r="AB22" s="554"/>
      <c r="AC22" s="103">
        <v>44970</v>
      </c>
      <c r="AD22" s="313">
        <v>46600</v>
      </c>
      <c r="AE22" s="313"/>
      <c r="AF22" s="103"/>
      <c r="AG22" s="313"/>
      <c r="AH22" s="103"/>
      <c r="AI22" s="313">
        <v>186400</v>
      </c>
      <c r="AJ22" s="95" t="s">
        <v>222</v>
      </c>
      <c r="AK22" s="95"/>
      <c r="AL22" s="306">
        <v>0.04</v>
      </c>
      <c r="AM22" s="430"/>
      <c r="AN22" s="306"/>
      <c r="AO22" s="306"/>
      <c r="AP22" s="306" t="s">
        <v>215</v>
      </c>
      <c r="AQ22" s="95" t="s">
        <v>215</v>
      </c>
      <c r="AR22" s="104" t="s">
        <v>560</v>
      </c>
      <c r="AS22" s="104" t="s">
        <v>265</v>
      </c>
      <c r="AT22" s="104"/>
      <c r="AU22" s="104"/>
      <c r="AV22" s="104"/>
      <c r="AW22" s="104" t="s">
        <v>18258</v>
      </c>
      <c r="AX22" s="104">
        <v>966783591</v>
      </c>
      <c r="AY22" s="104"/>
      <c r="AZ22" s="104"/>
      <c r="BA22" s="115">
        <f t="shared" si="2"/>
        <v>214601.4</v>
      </c>
      <c r="BB22" s="115">
        <v>2700</v>
      </c>
    </row>
    <row r="23" spans="1:54" s="457" customFormat="1" ht="15">
      <c r="A23" s="95">
        <v>22</v>
      </c>
      <c r="B23" s="96" t="s">
        <v>45</v>
      </c>
      <c r="C23" s="97" t="s">
        <v>90</v>
      </c>
      <c r="D23" s="97">
        <v>1</v>
      </c>
      <c r="E23" s="97" t="s">
        <v>28</v>
      </c>
      <c r="F23" s="1005">
        <v>70.08</v>
      </c>
      <c r="G23" s="296">
        <v>9.99</v>
      </c>
      <c r="H23" s="296">
        <v>0</v>
      </c>
      <c r="I23" s="296"/>
      <c r="J23" s="1000">
        <f t="shared" si="3"/>
        <v>73.076999999999998</v>
      </c>
      <c r="K23" s="371" t="s">
        <v>618</v>
      </c>
      <c r="L23" s="95"/>
      <c r="M23" s="95"/>
      <c r="N23" s="95"/>
      <c r="O23" s="105">
        <v>44</v>
      </c>
      <c r="P23" s="105"/>
      <c r="Q23" s="95" t="s">
        <v>258</v>
      </c>
      <c r="R23" s="100">
        <v>253440</v>
      </c>
      <c r="S23" s="100">
        <v>254000</v>
      </c>
      <c r="T23" s="100"/>
      <c r="U23" s="100">
        <v>264000</v>
      </c>
      <c r="V23" s="100"/>
      <c r="W23" s="101">
        <f t="shared" si="0"/>
        <v>0.04</v>
      </c>
      <c r="X23" s="102">
        <f t="shared" si="1"/>
        <v>3468.1226651340367</v>
      </c>
      <c r="Y23" s="102">
        <f>S23/J23</f>
        <v>3475.7858149623003</v>
      </c>
      <c r="Z23" s="102">
        <f>U23/J23</f>
        <v>3612.6277761812885</v>
      </c>
      <c r="AA23" s="102"/>
      <c r="AB23" s="554"/>
      <c r="AC23" s="103">
        <v>45183</v>
      </c>
      <c r="AD23" s="313">
        <v>50688</v>
      </c>
      <c r="AE23" s="313"/>
      <c r="AF23" s="103"/>
      <c r="AG23" s="313"/>
      <c r="AH23" s="103"/>
      <c r="AI23" s="313">
        <v>202752</v>
      </c>
      <c r="AJ23" s="95" t="s">
        <v>247</v>
      </c>
      <c r="AK23" s="95"/>
      <c r="AL23" s="306">
        <v>0.04</v>
      </c>
      <c r="AM23" s="430"/>
      <c r="AN23" s="306"/>
      <c r="AO23" s="306"/>
      <c r="AP23" s="306"/>
      <c r="AQ23" s="95"/>
      <c r="AR23" s="104" t="s">
        <v>17184</v>
      </c>
      <c r="AS23" s="104" t="s">
        <v>517</v>
      </c>
      <c r="AT23" s="104"/>
      <c r="AU23" s="104"/>
      <c r="AV23" s="104"/>
      <c r="AW23" s="104" t="s">
        <v>18259</v>
      </c>
      <c r="AX23" s="104">
        <v>972544861238</v>
      </c>
      <c r="AY23" s="104"/>
      <c r="AZ23" s="104"/>
      <c r="BA23" s="115">
        <f t="shared" si="2"/>
        <v>197307.9</v>
      </c>
      <c r="BB23" s="115">
        <v>2700</v>
      </c>
    </row>
    <row r="24" spans="1:54" s="457" customFormat="1" ht="15">
      <c r="A24" s="95">
        <v>23</v>
      </c>
      <c r="B24" s="96" t="s">
        <v>46</v>
      </c>
      <c r="C24" s="97" t="s">
        <v>90</v>
      </c>
      <c r="D24" s="97">
        <v>1</v>
      </c>
      <c r="E24" s="97" t="s">
        <v>28</v>
      </c>
      <c r="F24" s="1005">
        <v>66.67</v>
      </c>
      <c r="G24" s="296">
        <v>7.1</v>
      </c>
      <c r="H24" s="296">
        <v>0</v>
      </c>
      <c r="I24" s="296"/>
      <c r="J24" s="1000">
        <f t="shared" si="3"/>
        <v>68.8</v>
      </c>
      <c r="K24" s="371" t="s">
        <v>619</v>
      </c>
      <c r="L24" s="95"/>
      <c r="M24" s="95"/>
      <c r="N24" s="95"/>
      <c r="O24" s="99">
        <v>34</v>
      </c>
      <c r="P24" s="99"/>
      <c r="Q24" s="95" t="s">
        <v>258</v>
      </c>
      <c r="R24" s="100">
        <v>241920</v>
      </c>
      <c r="S24" s="100">
        <v>242000</v>
      </c>
      <c r="T24" s="100"/>
      <c r="U24" s="100">
        <v>252000</v>
      </c>
      <c r="V24" s="100"/>
      <c r="W24" s="101">
        <f t="shared" si="0"/>
        <v>0.04</v>
      </c>
      <c r="X24" s="102">
        <f t="shared" si="1"/>
        <v>3516.2790697674418</v>
      </c>
      <c r="Y24" s="102">
        <f>S24/J24</f>
        <v>3517.4418604651164</v>
      </c>
      <c r="Z24" s="102">
        <f>U24/J24</f>
        <v>3662.7906976744189</v>
      </c>
      <c r="AA24" s="102"/>
      <c r="AB24" s="554"/>
      <c r="AC24" s="103">
        <v>45183</v>
      </c>
      <c r="AD24" s="313">
        <v>48384</v>
      </c>
      <c r="AE24" s="313"/>
      <c r="AF24" s="103"/>
      <c r="AG24" s="313"/>
      <c r="AH24" s="103"/>
      <c r="AI24" s="313">
        <v>193536</v>
      </c>
      <c r="AJ24" s="95" t="s">
        <v>247</v>
      </c>
      <c r="AK24" s="95"/>
      <c r="AL24" s="306">
        <v>0.04</v>
      </c>
      <c r="AM24" s="430"/>
      <c r="AN24" s="306"/>
      <c r="AO24" s="306"/>
      <c r="AP24" s="306"/>
      <c r="AQ24" s="95"/>
      <c r="AR24" s="104" t="s">
        <v>17184</v>
      </c>
      <c r="AS24" s="104" t="s">
        <v>517</v>
      </c>
      <c r="AT24" s="104"/>
      <c r="AU24" s="104"/>
      <c r="AV24" s="104"/>
      <c r="AW24" s="104" t="s">
        <v>18259</v>
      </c>
      <c r="AX24" s="104">
        <v>972544861238</v>
      </c>
      <c r="AY24" s="104"/>
      <c r="AZ24" s="104"/>
      <c r="BA24" s="115">
        <f t="shared" si="2"/>
        <v>185760</v>
      </c>
      <c r="BB24" s="115">
        <v>2700</v>
      </c>
    </row>
    <row r="25" spans="1:54" s="457" customFormat="1" ht="15">
      <c r="A25" s="95">
        <v>24</v>
      </c>
      <c r="B25" s="96" t="s">
        <v>47</v>
      </c>
      <c r="C25" s="97" t="s">
        <v>91</v>
      </c>
      <c r="D25" s="97">
        <v>1</v>
      </c>
      <c r="E25" s="97" t="s">
        <v>28</v>
      </c>
      <c r="F25" s="1005">
        <v>106.99</v>
      </c>
      <c r="G25" s="296">
        <v>3.7</v>
      </c>
      <c r="H25" s="296">
        <v>0</v>
      </c>
      <c r="I25" s="296"/>
      <c r="J25" s="1000">
        <f t="shared" si="3"/>
        <v>108.1</v>
      </c>
      <c r="K25" s="371" t="s">
        <v>660</v>
      </c>
      <c r="L25" s="95" t="s">
        <v>661</v>
      </c>
      <c r="M25" s="95"/>
      <c r="N25" s="115"/>
      <c r="O25" s="105">
        <v>22</v>
      </c>
      <c r="P25" s="105" t="s">
        <v>249</v>
      </c>
      <c r="Q25" s="95" t="s">
        <v>258</v>
      </c>
      <c r="R25" s="100">
        <v>387515</v>
      </c>
      <c r="S25" s="100">
        <v>388000</v>
      </c>
      <c r="T25" s="100">
        <f>0.97*V25</f>
        <v>387515</v>
      </c>
      <c r="U25" s="100">
        <v>385000</v>
      </c>
      <c r="V25" s="100">
        <v>399500</v>
      </c>
      <c r="W25" s="101">
        <f>(T25/V25)-1</f>
        <v>-3.0000000000000027E-2</v>
      </c>
      <c r="X25" s="102">
        <f t="shared" si="1"/>
        <v>3584.7826086956525</v>
      </c>
      <c r="Y25" s="102">
        <f>T25/J25</f>
        <v>3584.7826086956525</v>
      </c>
      <c r="Z25" s="102">
        <f>V25/J25</f>
        <v>3695.6521739130435</v>
      </c>
      <c r="AA25" s="102"/>
      <c r="AB25" s="554"/>
      <c r="AC25" s="103">
        <v>45555</v>
      </c>
      <c r="AD25" s="313">
        <f>20%*R25</f>
        <v>77503</v>
      </c>
      <c r="AE25" s="313"/>
      <c r="AF25" s="103"/>
      <c r="AG25" s="313">
        <f>AG26*(8%/12)*5</f>
        <v>1143.3333333333335</v>
      </c>
      <c r="AH25" s="103"/>
      <c r="AI25" s="313">
        <f>80%*R25</f>
        <v>310012</v>
      </c>
      <c r="AJ25" s="95" t="s">
        <v>222</v>
      </c>
      <c r="AK25" s="95"/>
      <c r="AL25" s="306">
        <v>0.04</v>
      </c>
      <c r="AM25" s="430"/>
      <c r="AN25" s="306"/>
      <c r="AO25" s="306"/>
      <c r="AP25" s="306"/>
      <c r="AQ25" s="95"/>
      <c r="AR25" s="132" t="s">
        <v>17634</v>
      </c>
      <c r="AS25" s="132" t="s">
        <v>265</v>
      </c>
      <c r="AT25" s="132"/>
      <c r="AU25" s="132"/>
      <c r="AV25" s="132"/>
      <c r="AW25" s="132" t="s">
        <v>18260</v>
      </c>
      <c r="AX25" s="132">
        <v>914393510</v>
      </c>
      <c r="AY25" s="132"/>
      <c r="AZ25" s="132"/>
      <c r="BA25" s="115">
        <f t="shared" si="2"/>
        <v>291870</v>
      </c>
      <c r="BB25" s="115">
        <v>2700</v>
      </c>
    </row>
    <row r="26" spans="1:54" s="457" customFormat="1" ht="15">
      <c r="A26" s="95">
        <v>25</v>
      </c>
      <c r="B26" s="96" t="s">
        <v>48</v>
      </c>
      <c r="C26" s="97" t="s">
        <v>91</v>
      </c>
      <c r="D26" s="97">
        <v>1</v>
      </c>
      <c r="E26" s="97" t="s">
        <v>28</v>
      </c>
      <c r="F26" s="1005">
        <v>108.99</v>
      </c>
      <c r="G26" s="296">
        <v>9.8000000000000007</v>
      </c>
      <c r="H26" s="296">
        <v>0</v>
      </c>
      <c r="I26" s="296"/>
      <c r="J26" s="1000">
        <f t="shared" si="3"/>
        <v>111.92999999999999</v>
      </c>
      <c r="K26" s="371" t="s">
        <v>662</v>
      </c>
      <c r="L26" s="95" t="s">
        <v>663</v>
      </c>
      <c r="M26" s="95"/>
      <c r="N26" s="1355"/>
      <c r="O26" s="99">
        <v>24</v>
      </c>
      <c r="P26" s="99"/>
      <c r="Q26" s="95" t="s">
        <v>258</v>
      </c>
      <c r="R26" s="100">
        <v>343000</v>
      </c>
      <c r="S26" s="95"/>
      <c r="T26" s="95"/>
      <c r="U26" s="100">
        <v>364000</v>
      </c>
      <c r="V26" s="100"/>
      <c r="W26" s="101">
        <f t="shared" si="0"/>
        <v>5.7692307692307696E-2</v>
      </c>
      <c r="X26" s="102">
        <f t="shared" si="1"/>
        <v>3064.4152595372111</v>
      </c>
      <c r="Y26" s="102">
        <f>U26/J26</f>
        <v>3252.0325203252037</v>
      </c>
      <c r="Z26" s="102"/>
      <c r="AA26" s="102" t="s">
        <v>215</v>
      </c>
      <c r="AB26" s="554"/>
      <c r="AC26" s="103">
        <v>45050</v>
      </c>
      <c r="AD26" s="313">
        <v>34300</v>
      </c>
      <c r="AE26" s="313">
        <v>34300</v>
      </c>
      <c r="AF26" s="103">
        <v>45234</v>
      </c>
      <c r="AG26" s="313">
        <v>34300</v>
      </c>
      <c r="AH26" s="103">
        <v>45416</v>
      </c>
      <c r="AI26" s="313">
        <v>240100</v>
      </c>
      <c r="AJ26" s="95" t="s">
        <v>222</v>
      </c>
      <c r="AK26" s="95"/>
      <c r="AL26" s="306">
        <v>0.04</v>
      </c>
      <c r="AM26" s="430"/>
      <c r="AN26" s="306"/>
      <c r="AO26" s="306"/>
      <c r="AP26" s="306" t="s">
        <v>215</v>
      </c>
      <c r="AQ26" s="95" t="s">
        <v>215</v>
      </c>
      <c r="AR26" s="104" t="s">
        <v>540</v>
      </c>
      <c r="AS26" s="104" t="s">
        <v>541</v>
      </c>
      <c r="AT26" s="104"/>
      <c r="AU26" s="104"/>
      <c r="AV26" s="104"/>
      <c r="AW26" s="104" t="s">
        <v>18261</v>
      </c>
      <c r="AX26" s="104" t="s">
        <v>455</v>
      </c>
      <c r="AY26" s="104"/>
      <c r="AZ26" s="104"/>
      <c r="BA26" s="115">
        <f t="shared" si="2"/>
        <v>302211</v>
      </c>
      <c r="BB26" s="115">
        <v>2700</v>
      </c>
    </row>
    <row r="27" spans="1:54" s="457" customFormat="1" ht="15">
      <c r="A27" s="95">
        <v>26</v>
      </c>
      <c r="B27" s="96" t="s">
        <v>49</v>
      </c>
      <c r="C27" s="97" t="s">
        <v>91</v>
      </c>
      <c r="D27" s="97">
        <v>1</v>
      </c>
      <c r="E27" s="97" t="s">
        <v>28</v>
      </c>
      <c r="F27" s="1005">
        <v>88.12</v>
      </c>
      <c r="G27" s="296">
        <v>9.81</v>
      </c>
      <c r="H27" s="296">
        <v>0</v>
      </c>
      <c r="I27" s="296"/>
      <c r="J27" s="1000">
        <f t="shared" si="3"/>
        <v>91.063000000000002</v>
      </c>
      <c r="K27" s="371" t="s">
        <v>620</v>
      </c>
      <c r="L27" s="95"/>
      <c r="M27" s="95"/>
      <c r="N27" s="95"/>
      <c r="O27" s="105">
        <v>14</v>
      </c>
      <c r="P27" s="105"/>
      <c r="Q27" s="95" t="s">
        <v>258</v>
      </c>
      <c r="R27" s="100">
        <v>364000</v>
      </c>
      <c r="S27" s="100">
        <v>347000</v>
      </c>
      <c r="T27" s="100">
        <f>0.97*V27</f>
        <v>353080</v>
      </c>
      <c r="U27" s="100">
        <v>342000</v>
      </c>
      <c r="V27" s="100">
        <v>364000</v>
      </c>
      <c r="W27" s="101">
        <f>(T27/V27)-1</f>
        <v>-3.0000000000000027E-2</v>
      </c>
      <c r="X27" s="102">
        <f t="shared" si="1"/>
        <v>3997.2326850641862</v>
      </c>
      <c r="Y27" s="102">
        <f>T27/J27</f>
        <v>3877.3157045122607</v>
      </c>
      <c r="Z27" s="102">
        <f>V27/J27</f>
        <v>3997.2326850641862</v>
      </c>
      <c r="AA27" s="102"/>
      <c r="AB27" s="554">
        <v>45755</v>
      </c>
      <c r="AC27" s="103">
        <v>45810</v>
      </c>
      <c r="AD27" s="313">
        <v>36400</v>
      </c>
      <c r="AE27" s="313"/>
      <c r="AF27" s="103"/>
      <c r="AG27" s="313"/>
      <c r="AH27" s="103"/>
      <c r="AI27" s="313">
        <v>327600</v>
      </c>
      <c r="AJ27" s="95" t="s">
        <v>222</v>
      </c>
      <c r="AK27" s="95"/>
      <c r="AL27" s="306">
        <v>0.04</v>
      </c>
      <c r="AM27" s="430"/>
      <c r="AN27" s="306"/>
      <c r="AO27" s="306"/>
      <c r="AP27" s="306"/>
      <c r="AQ27" s="95"/>
      <c r="AR27" s="104" t="s">
        <v>18024</v>
      </c>
      <c r="AS27" s="104" t="s">
        <v>565</v>
      </c>
      <c r="AT27" s="104"/>
      <c r="AU27" s="104"/>
      <c r="AV27" s="104"/>
      <c r="AW27" s="104"/>
      <c r="AX27" s="104"/>
      <c r="AY27" s="104"/>
      <c r="AZ27" s="104"/>
      <c r="BA27" s="115">
        <f t="shared" si="2"/>
        <v>245870.1</v>
      </c>
      <c r="BB27" s="115">
        <v>2700</v>
      </c>
    </row>
    <row r="28" spans="1:54" s="457" customFormat="1" ht="15">
      <c r="A28" s="95">
        <v>27</v>
      </c>
      <c r="B28" s="96" t="s">
        <v>50</v>
      </c>
      <c r="C28" s="97" t="s">
        <v>90</v>
      </c>
      <c r="D28" s="97">
        <v>1</v>
      </c>
      <c r="E28" s="97" t="s">
        <v>28</v>
      </c>
      <c r="F28" s="1005">
        <v>58</v>
      </c>
      <c r="G28" s="296">
        <v>9.81</v>
      </c>
      <c r="H28" s="296">
        <v>0</v>
      </c>
      <c r="I28" s="296"/>
      <c r="J28" s="1000">
        <f t="shared" si="3"/>
        <v>60.942999999999998</v>
      </c>
      <c r="K28" s="371" t="s">
        <v>621</v>
      </c>
      <c r="L28" s="95"/>
      <c r="M28" s="95"/>
      <c r="N28" s="95"/>
      <c r="O28" s="99">
        <v>28</v>
      </c>
      <c r="P28" s="99"/>
      <c r="Q28" s="95" t="s">
        <v>258</v>
      </c>
      <c r="R28" s="100">
        <v>161500</v>
      </c>
      <c r="S28" s="95"/>
      <c r="T28" s="95"/>
      <c r="U28" s="100">
        <v>170000</v>
      </c>
      <c r="V28" s="100"/>
      <c r="W28" s="101">
        <f t="shared" si="0"/>
        <v>0.05</v>
      </c>
      <c r="X28" s="102">
        <f t="shared" si="1"/>
        <v>2650.0172292141838</v>
      </c>
      <c r="Y28" s="102">
        <f>U28/J28</f>
        <v>2789.4918202254566</v>
      </c>
      <c r="Z28" s="102"/>
      <c r="AA28" s="102" t="s">
        <v>215</v>
      </c>
      <c r="AB28" s="554"/>
      <c r="AC28" s="103">
        <v>44889</v>
      </c>
      <c r="AD28" s="313">
        <v>32300</v>
      </c>
      <c r="AE28" s="313"/>
      <c r="AF28" s="103"/>
      <c r="AG28" s="313"/>
      <c r="AH28" s="103"/>
      <c r="AI28" s="313">
        <v>129200</v>
      </c>
      <c r="AJ28" s="95" t="s">
        <v>222</v>
      </c>
      <c r="AK28" s="95"/>
      <c r="AL28" s="306">
        <v>0.04</v>
      </c>
      <c r="AM28" s="430"/>
      <c r="AN28" s="306"/>
      <c r="AO28" s="306"/>
      <c r="AP28" s="306" t="s">
        <v>215</v>
      </c>
      <c r="AQ28" s="95" t="s">
        <v>215</v>
      </c>
      <c r="AR28" s="104" t="s">
        <v>290</v>
      </c>
      <c r="AS28" s="104" t="s">
        <v>561</v>
      </c>
      <c r="AT28" s="104"/>
      <c r="AU28" s="104"/>
      <c r="AV28" s="104"/>
      <c r="AW28" s="104" t="s">
        <v>18262</v>
      </c>
      <c r="AX28" s="104" t="s">
        <v>455</v>
      </c>
      <c r="AY28" s="104"/>
      <c r="AZ28" s="104"/>
      <c r="BA28" s="115">
        <f t="shared" si="2"/>
        <v>164546.1</v>
      </c>
      <c r="BB28" s="115">
        <v>2700</v>
      </c>
    </row>
    <row r="29" spans="1:54" s="457" customFormat="1" ht="15">
      <c r="A29" s="95">
        <v>28</v>
      </c>
      <c r="B29" s="96" t="s">
        <v>51</v>
      </c>
      <c r="C29" s="97" t="s">
        <v>91</v>
      </c>
      <c r="D29" s="97">
        <v>1</v>
      </c>
      <c r="E29" s="97" t="s">
        <v>28</v>
      </c>
      <c r="F29" s="1005">
        <v>84.76</v>
      </c>
      <c r="G29" s="296">
        <v>10</v>
      </c>
      <c r="H29" s="296">
        <v>0</v>
      </c>
      <c r="I29" s="296"/>
      <c r="J29" s="1000">
        <f t="shared" si="3"/>
        <v>87.76</v>
      </c>
      <c r="K29" s="371" t="s">
        <v>622</v>
      </c>
      <c r="L29" s="95"/>
      <c r="M29" s="95"/>
      <c r="N29" s="95"/>
      <c r="O29" s="105">
        <v>67</v>
      </c>
      <c r="P29" s="105" t="s">
        <v>249</v>
      </c>
      <c r="Q29" s="95" t="s">
        <v>258</v>
      </c>
      <c r="R29" s="100">
        <v>297000</v>
      </c>
      <c r="S29" s="100"/>
      <c r="T29" s="100"/>
      <c r="U29" s="100">
        <v>297000</v>
      </c>
      <c r="V29" s="100"/>
      <c r="W29" s="101">
        <f t="shared" si="0"/>
        <v>0</v>
      </c>
      <c r="X29" s="102">
        <f t="shared" si="1"/>
        <v>3384.2297174111209</v>
      </c>
      <c r="Y29" s="102">
        <f>U29/J29</f>
        <v>3384.2297174111209</v>
      </c>
      <c r="Z29" s="102"/>
      <c r="AA29" s="102" t="s">
        <v>215</v>
      </c>
      <c r="AB29" s="554"/>
      <c r="AC29" s="103">
        <v>44993</v>
      </c>
      <c r="AD29" s="313">
        <v>59400</v>
      </c>
      <c r="AE29" s="313">
        <v>29700</v>
      </c>
      <c r="AF29" s="103">
        <v>45359</v>
      </c>
      <c r="AG29" s="313"/>
      <c r="AH29" s="103"/>
      <c r="AI29" s="313">
        <v>207900</v>
      </c>
      <c r="AJ29" s="95" t="s">
        <v>222</v>
      </c>
      <c r="AK29" s="95"/>
      <c r="AL29" s="306">
        <v>0.04</v>
      </c>
      <c r="AM29" s="430"/>
      <c r="AN29" s="306"/>
      <c r="AO29" s="306"/>
      <c r="AP29" s="306" t="s">
        <v>215</v>
      </c>
      <c r="AQ29" s="95" t="s">
        <v>215</v>
      </c>
      <c r="AR29" s="104" t="s">
        <v>562</v>
      </c>
      <c r="AS29" s="104" t="s">
        <v>265</v>
      </c>
      <c r="AT29" s="104"/>
      <c r="AU29" s="104"/>
      <c r="AV29" s="104"/>
      <c r="AW29" s="104" t="s">
        <v>455</v>
      </c>
      <c r="AX29" s="104">
        <v>914318820</v>
      </c>
      <c r="AY29" s="104"/>
      <c r="AZ29" s="104"/>
      <c r="BA29" s="115">
        <f t="shared" si="2"/>
        <v>236952</v>
      </c>
      <c r="BB29" s="115">
        <v>2700</v>
      </c>
    </row>
    <row r="30" spans="1:54" s="457" customFormat="1" ht="15">
      <c r="A30" s="95">
        <v>29</v>
      </c>
      <c r="B30" s="96" t="s">
        <v>52</v>
      </c>
      <c r="C30" s="97" t="s">
        <v>89</v>
      </c>
      <c r="D30" s="97">
        <v>1</v>
      </c>
      <c r="E30" s="97" t="s">
        <v>28</v>
      </c>
      <c r="F30" s="1005">
        <v>140.24</v>
      </c>
      <c r="G30" s="296">
        <v>10.34</v>
      </c>
      <c r="H30" s="296">
        <v>0</v>
      </c>
      <c r="I30" s="296">
        <f>63-G30</f>
        <v>52.66</v>
      </c>
      <c r="J30" s="1000">
        <f t="shared" si="3"/>
        <v>153.87400000000002</v>
      </c>
      <c r="K30" s="371" t="s">
        <v>666</v>
      </c>
      <c r="L30" s="95" t="s">
        <v>664</v>
      </c>
      <c r="M30" s="95"/>
      <c r="N30" s="95"/>
      <c r="O30" s="99">
        <v>5</v>
      </c>
      <c r="P30" s="99"/>
      <c r="Q30" s="95" t="s">
        <v>258</v>
      </c>
      <c r="R30" s="100">
        <v>473100</v>
      </c>
      <c r="S30" s="95"/>
      <c r="T30" s="95"/>
      <c r="U30" s="100">
        <v>498000</v>
      </c>
      <c r="V30" s="100"/>
      <c r="W30" s="101">
        <f t="shared" si="0"/>
        <v>0.05</v>
      </c>
      <c r="X30" s="102">
        <f t="shared" si="1"/>
        <v>3074.5934985767572</v>
      </c>
      <c r="Y30" s="102">
        <f>U30/J30</f>
        <v>3236.4142090281653</v>
      </c>
      <c r="Z30" s="102"/>
      <c r="AA30" s="102" t="s">
        <v>312</v>
      </c>
      <c r="AB30" s="554"/>
      <c r="AC30" s="103">
        <v>45036</v>
      </c>
      <c r="AD30" s="313">
        <v>94620</v>
      </c>
      <c r="AE30" s="313">
        <v>47310</v>
      </c>
      <c r="AF30" s="103">
        <v>45402</v>
      </c>
      <c r="AG30" s="313"/>
      <c r="AH30" s="103"/>
      <c r="AI30" s="313">
        <v>331170</v>
      </c>
      <c r="AJ30" s="95" t="s">
        <v>222</v>
      </c>
      <c r="AK30" s="95"/>
      <c r="AL30" s="306">
        <v>0.04</v>
      </c>
      <c r="AM30" s="430"/>
      <c r="AN30" s="306"/>
      <c r="AO30" s="306"/>
      <c r="AP30" s="306" t="s">
        <v>215</v>
      </c>
      <c r="AQ30" s="95" t="s">
        <v>215</v>
      </c>
      <c r="AR30" s="104" t="s">
        <v>322</v>
      </c>
      <c r="AS30" s="104" t="s">
        <v>563</v>
      </c>
      <c r="AT30" s="104"/>
      <c r="AU30" s="104"/>
      <c r="AV30" s="104"/>
      <c r="AW30" s="104" t="s">
        <v>18263</v>
      </c>
      <c r="AX30" s="104">
        <f>971-56-896-900</f>
        <v>-881</v>
      </c>
      <c r="AY30" s="133"/>
      <c r="AZ30" s="133"/>
      <c r="BA30" s="115">
        <f t="shared" si="2"/>
        <v>415459.80000000005</v>
      </c>
      <c r="BB30" s="115">
        <v>2700</v>
      </c>
    </row>
    <row r="31" spans="1:54" s="457" customFormat="1" ht="15">
      <c r="A31" s="95">
        <v>30</v>
      </c>
      <c r="B31" s="1786" t="s">
        <v>53</v>
      </c>
      <c r="C31" s="97" t="s">
        <v>89</v>
      </c>
      <c r="D31" s="97">
        <v>1</v>
      </c>
      <c r="E31" s="97" t="s">
        <v>28</v>
      </c>
      <c r="F31" s="1005">
        <v>143.82</v>
      </c>
      <c r="G31" s="296">
        <v>0</v>
      </c>
      <c r="H31" s="296">
        <v>0</v>
      </c>
      <c r="I31" s="296"/>
      <c r="J31" s="1000">
        <f t="shared" si="3"/>
        <v>143.82</v>
      </c>
      <c r="K31" s="371" t="s">
        <v>667</v>
      </c>
      <c r="L31" s="95" t="s">
        <v>668</v>
      </c>
      <c r="M31" s="95"/>
      <c r="N31" s="95"/>
      <c r="O31" s="105">
        <v>4</v>
      </c>
      <c r="P31" s="105"/>
      <c r="Q31" s="95" t="s">
        <v>258</v>
      </c>
      <c r="R31" s="100">
        <v>318500</v>
      </c>
      <c r="S31" s="100">
        <v>350000</v>
      </c>
      <c r="T31" s="100">
        <f>0.97*V31</f>
        <v>431650</v>
      </c>
      <c r="U31" s="100">
        <v>350000</v>
      </c>
      <c r="V31" s="100">
        <v>445000</v>
      </c>
      <c r="W31" s="101">
        <f t="shared" si="0"/>
        <v>0.09</v>
      </c>
      <c r="X31" s="102">
        <f>R31/J31</f>
        <v>2214.57377277152</v>
      </c>
      <c r="Y31" s="102">
        <f>S31/J31</f>
        <v>2433.5975524961759</v>
      </c>
      <c r="Z31" s="102">
        <f>U31/J31</f>
        <v>2433.5975524961759</v>
      </c>
      <c r="AA31" s="102" t="s">
        <v>215</v>
      </c>
      <c r="AB31" s="554">
        <v>45717</v>
      </c>
      <c r="AC31" s="103">
        <v>45897</v>
      </c>
      <c r="AD31" s="313"/>
      <c r="AE31" s="313"/>
      <c r="AF31" s="103"/>
      <c r="AG31" s="313"/>
      <c r="AH31" s="103"/>
      <c r="AI31" s="313"/>
      <c r="AJ31" s="95" t="s">
        <v>326</v>
      </c>
      <c r="AK31" s="95"/>
      <c r="AL31" s="306">
        <v>0.04</v>
      </c>
      <c r="AM31" s="430"/>
      <c r="AN31" s="306"/>
      <c r="AO31" s="306"/>
      <c r="AP31" s="306" t="s">
        <v>215</v>
      </c>
      <c r="AQ31" s="95" t="s">
        <v>312</v>
      </c>
      <c r="AR31" s="104" t="s">
        <v>17595</v>
      </c>
      <c r="AS31" s="104" t="s">
        <v>517</v>
      </c>
      <c r="AT31" s="104"/>
      <c r="AU31" s="104"/>
      <c r="AV31" s="104"/>
      <c r="AW31" s="104"/>
      <c r="AX31" s="104"/>
      <c r="AY31" s="104"/>
      <c r="AZ31" s="104"/>
      <c r="BA31" s="115">
        <f t="shared" si="2"/>
        <v>388314</v>
      </c>
      <c r="BB31" s="115">
        <v>2700</v>
      </c>
    </row>
    <row r="32" spans="1:54" s="457" customFormat="1" ht="15">
      <c r="A32" s="95">
        <v>31</v>
      </c>
      <c r="B32" s="96" t="s">
        <v>54</v>
      </c>
      <c r="C32" s="97" t="s">
        <v>90</v>
      </c>
      <c r="D32" s="97">
        <v>1</v>
      </c>
      <c r="E32" s="97" t="s">
        <v>28</v>
      </c>
      <c r="F32" s="1005">
        <v>67.23</v>
      </c>
      <c r="G32" s="296">
        <v>0</v>
      </c>
      <c r="H32" s="296">
        <v>0</v>
      </c>
      <c r="I32" s="296"/>
      <c r="J32" s="1000">
        <f t="shared" si="3"/>
        <v>67.23</v>
      </c>
      <c r="K32" s="371" t="s">
        <v>623</v>
      </c>
      <c r="L32" s="95"/>
      <c r="M32" s="95"/>
      <c r="N32" s="95"/>
      <c r="O32" s="99">
        <v>25</v>
      </c>
      <c r="P32" s="99"/>
      <c r="Q32" s="95" t="s">
        <v>258</v>
      </c>
      <c r="R32" s="100">
        <v>165000</v>
      </c>
      <c r="S32" s="95"/>
      <c r="T32" s="95"/>
      <c r="U32" s="100">
        <v>165000</v>
      </c>
      <c r="V32" s="100"/>
      <c r="W32" s="101">
        <f t="shared" si="0"/>
        <v>0</v>
      </c>
      <c r="X32" s="102">
        <f t="shared" si="1"/>
        <v>2454.2614904060688</v>
      </c>
      <c r="Y32" s="102">
        <f>U32/J32</f>
        <v>2454.2614904060688</v>
      </c>
      <c r="Z32" s="102"/>
      <c r="AA32" s="102" t="s">
        <v>215</v>
      </c>
      <c r="AB32" s="554"/>
      <c r="AC32" s="103">
        <v>44949</v>
      </c>
      <c r="AD32" s="313">
        <v>16500</v>
      </c>
      <c r="AE32" s="313">
        <v>16500</v>
      </c>
      <c r="AF32" s="103">
        <v>45314</v>
      </c>
      <c r="AG32" s="313"/>
      <c r="AH32" s="103"/>
      <c r="AI32" s="313">
        <v>132000</v>
      </c>
      <c r="AJ32" s="95" t="s">
        <v>222</v>
      </c>
      <c r="AK32" s="95"/>
      <c r="AL32" s="306">
        <v>0.04</v>
      </c>
      <c r="AM32" s="430"/>
      <c r="AN32" s="306"/>
      <c r="AO32" s="306"/>
      <c r="AP32" s="306" t="s">
        <v>215</v>
      </c>
      <c r="AQ32" s="95" t="s">
        <v>215</v>
      </c>
      <c r="AR32" s="104" t="s">
        <v>304</v>
      </c>
      <c r="AS32" s="104" t="s">
        <v>265</v>
      </c>
      <c r="AT32" s="104"/>
      <c r="AU32" s="104"/>
      <c r="AV32" s="104"/>
      <c r="AW32" s="104" t="s">
        <v>18264</v>
      </c>
      <c r="AX32" s="104">
        <v>968729423</v>
      </c>
      <c r="AY32" s="104"/>
      <c r="AZ32" s="104"/>
      <c r="BA32" s="115">
        <f t="shared" si="2"/>
        <v>181521</v>
      </c>
      <c r="BB32" s="115">
        <v>2700</v>
      </c>
    </row>
    <row r="33" spans="1:54" s="457" customFormat="1" ht="15">
      <c r="A33" s="95">
        <v>32</v>
      </c>
      <c r="B33" s="96" t="s">
        <v>55</v>
      </c>
      <c r="C33" s="97" t="s">
        <v>91</v>
      </c>
      <c r="D33" s="97">
        <v>1</v>
      </c>
      <c r="E33" s="97" t="s">
        <v>28</v>
      </c>
      <c r="F33" s="1005">
        <v>94.7</v>
      </c>
      <c r="G33" s="296">
        <v>0</v>
      </c>
      <c r="H33" s="296">
        <v>0</v>
      </c>
      <c r="I33" s="296"/>
      <c r="J33" s="1000">
        <f t="shared" si="3"/>
        <v>94.7</v>
      </c>
      <c r="K33" s="371" t="s">
        <v>624</v>
      </c>
      <c r="L33" s="95"/>
      <c r="M33" s="95"/>
      <c r="N33" s="95"/>
      <c r="O33" s="105">
        <v>68</v>
      </c>
      <c r="P33" s="105"/>
      <c r="Q33" s="95" t="s">
        <v>258</v>
      </c>
      <c r="R33" s="100">
        <v>270000</v>
      </c>
      <c r="S33" s="95"/>
      <c r="T33" s="95"/>
      <c r="U33" s="100">
        <v>280000</v>
      </c>
      <c r="V33" s="100"/>
      <c r="W33" s="101">
        <f t="shared" si="0"/>
        <v>3.5714285714285712E-2</v>
      </c>
      <c r="X33" s="102">
        <f t="shared" si="1"/>
        <v>2851.1087645195353</v>
      </c>
      <c r="Y33" s="102">
        <f>U33/J33</f>
        <v>2956.7053854276664</v>
      </c>
      <c r="Z33" s="102"/>
      <c r="AA33" s="102" t="s">
        <v>215</v>
      </c>
      <c r="AB33" s="554"/>
      <c r="AC33" s="103">
        <v>44936</v>
      </c>
      <c r="AD33" s="313">
        <v>54000</v>
      </c>
      <c r="AE33" s="313"/>
      <c r="AF33" s="103"/>
      <c r="AG33" s="313"/>
      <c r="AH33" s="103"/>
      <c r="AI33" s="313">
        <v>216000</v>
      </c>
      <c r="AJ33" s="95" t="s">
        <v>326</v>
      </c>
      <c r="AK33" s="95"/>
      <c r="AL33" s="306">
        <v>0.04</v>
      </c>
      <c r="AM33" s="430"/>
      <c r="AN33" s="306"/>
      <c r="AO33" s="306"/>
      <c r="AP33" s="306" t="s">
        <v>215</v>
      </c>
      <c r="AQ33" s="95" t="s">
        <v>215</v>
      </c>
      <c r="AR33" s="104" t="s">
        <v>307</v>
      </c>
      <c r="AS33" s="104" t="s">
        <v>517</v>
      </c>
      <c r="AT33" s="104"/>
      <c r="AU33" s="104"/>
      <c r="AV33" s="104"/>
      <c r="AW33" s="104" t="s">
        <v>18265</v>
      </c>
      <c r="AX33" s="104">
        <v>972546337989</v>
      </c>
      <c r="AY33" s="104"/>
      <c r="AZ33" s="104"/>
      <c r="BA33" s="115">
        <f t="shared" si="2"/>
        <v>255690</v>
      </c>
      <c r="BB33" s="115">
        <v>2700</v>
      </c>
    </row>
    <row r="34" spans="1:54" s="457" customFormat="1" ht="15.75" thickBot="1">
      <c r="A34" s="95">
        <v>33</v>
      </c>
      <c r="B34" s="96" t="s">
        <v>56</v>
      </c>
      <c r="C34" s="97" t="s">
        <v>144</v>
      </c>
      <c r="D34" s="97">
        <v>1</v>
      </c>
      <c r="E34" s="97" t="s">
        <v>38</v>
      </c>
      <c r="F34" s="1006">
        <v>32.32</v>
      </c>
      <c r="G34" s="296">
        <v>0</v>
      </c>
      <c r="H34" s="296">
        <v>0</v>
      </c>
      <c r="I34" s="296"/>
      <c r="J34" s="1000">
        <f t="shared" si="3"/>
        <v>32.32</v>
      </c>
      <c r="K34" s="372" t="s">
        <v>625</v>
      </c>
      <c r="L34" s="95"/>
      <c r="M34" s="95"/>
      <c r="N34" s="95"/>
      <c r="O34" s="300">
        <v>43</v>
      </c>
      <c r="P34" s="1158"/>
      <c r="Q34" s="95" t="s">
        <v>258</v>
      </c>
      <c r="R34" s="100">
        <v>108000</v>
      </c>
      <c r="S34" s="95"/>
      <c r="T34" s="95"/>
      <c r="U34" s="100">
        <v>110000</v>
      </c>
      <c r="V34" s="100"/>
      <c r="W34" s="101">
        <f t="shared" ref="W34:W65" si="5">(U34-R34)/U34</f>
        <v>1.8181818181818181E-2</v>
      </c>
      <c r="X34" s="102">
        <f t="shared" ref="X34:X65" si="6">R34/J34</f>
        <v>3341.5841584158416</v>
      </c>
      <c r="Y34" s="102">
        <f>U34/J34</f>
        <v>3403.4653465346532</v>
      </c>
      <c r="Z34" s="102"/>
      <c r="AA34" s="102" t="s">
        <v>215</v>
      </c>
      <c r="AB34" s="554"/>
      <c r="AC34" s="103">
        <v>45030</v>
      </c>
      <c r="AD34" s="313">
        <v>32375</v>
      </c>
      <c r="AE34" s="313"/>
      <c r="AF34" s="103"/>
      <c r="AG34" s="313"/>
      <c r="AH34" s="103"/>
      <c r="AI34" s="313">
        <v>75625</v>
      </c>
      <c r="AJ34" s="95" t="s">
        <v>274</v>
      </c>
      <c r="AK34" s="95"/>
      <c r="AL34" s="306">
        <v>0.04</v>
      </c>
      <c r="AM34" s="430"/>
      <c r="AN34" s="306"/>
      <c r="AO34" s="306"/>
      <c r="AP34" s="306" t="s">
        <v>215</v>
      </c>
      <c r="AQ34" s="306" t="s">
        <v>215</v>
      </c>
      <c r="AR34" s="104" t="s">
        <v>230</v>
      </c>
      <c r="AS34" s="104" t="s">
        <v>517</v>
      </c>
      <c r="AT34" s="104"/>
      <c r="AU34" s="104"/>
      <c r="AV34" s="104"/>
      <c r="AW34" s="104" t="s">
        <v>18266</v>
      </c>
      <c r="AX34" s="104">
        <v>972546702254</v>
      </c>
      <c r="AY34" s="104"/>
      <c r="AZ34" s="104"/>
      <c r="BA34" s="115">
        <f t="shared" ref="BA34:BA65" si="7">BB34*J34</f>
        <v>87264</v>
      </c>
      <c r="BB34" s="115">
        <v>2700</v>
      </c>
    </row>
    <row r="35" spans="1:54" s="457" customFormat="1" ht="15">
      <c r="A35" s="95">
        <v>34</v>
      </c>
      <c r="B35" s="96" t="s">
        <v>57</v>
      </c>
      <c r="C35" s="97" t="s">
        <v>91</v>
      </c>
      <c r="D35" s="97">
        <v>2</v>
      </c>
      <c r="E35" s="97" t="s">
        <v>38</v>
      </c>
      <c r="F35" s="1003">
        <v>104.89</v>
      </c>
      <c r="G35" s="296">
        <v>6.65</v>
      </c>
      <c r="H35" s="296">
        <v>0</v>
      </c>
      <c r="I35" s="296"/>
      <c r="J35" s="1000">
        <f t="shared" si="3"/>
        <v>106.88500000000001</v>
      </c>
      <c r="K35" s="370" t="s">
        <v>670</v>
      </c>
      <c r="L35" s="95" t="s">
        <v>669</v>
      </c>
      <c r="M35" s="95"/>
      <c r="N35" s="95"/>
      <c r="O35" s="533">
        <v>55</v>
      </c>
      <c r="P35" s="533" t="s">
        <v>249</v>
      </c>
      <c r="Q35" s="95" t="s">
        <v>258</v>
      </c>
      <c r="R35" s="100">
        <v>378000</v>
      </c>
      <c r="S35" s="100">
        <v>363000</v>
      </c>
      <c r="T35" s="100">
        <v>363000</v>
      </c>
      <c r="U35" s="100">
        <v>378000</v>
      </c>
      <c r="V35" s="100"/>
      <c r="W35" s="101">
        <f t="shared" si="5"/>
        <v>0</v>
      </c>
      <c r="X35" s="102">
        <f t="shared" si="6"/>
        <v>3536.5112036300698</v>
      </c>
      <c r="Y35" s="102">
        <f>S35/J35</f>
        <v>3396.1734574542729</v>
      </c>
      <c r="Z35" s="102">
        <f>U35/J35</f>
        <v>3536.5112036300698</v>
      </c>
      <c r="AA35" s="102"/>
      <c r="AB35" s="554"/>
      <c r="AC35" s="103">
        <v>45321</v>
      </c>
      <c r="AD35" s="313">
        <v>75600</v>
      </c>
      <c r="AE35" s="313">
        <v>37800</v>
      </c>
      <c r="AF35" s="103">
        <f>365+AC35</f>
        <v>45686</v>
      </c>
      <c r="AG35" s="313"/>
      <c r="AH35" s="103"/>
      <c r="AI35" s="313">
        <v>264600</v>
      </c>
      <c r="AJ35" s="95" t="s">
        <v>222</v>
      </c>
      <c r="AK35" s="95"/>
      <c r="AL35" s="306">
        <v>0.04</v>
      </c>
      <c r="AM35" s="430"/>
      <c r="AN35" s="306"/>
      <c r="AO35" s="306"/>
      <c r="AP35" s="306"/>
      <c r="AQ35" s="95"/>
      <c r="AR35" s="132" t="s">
        <v>17289</v>
      </c>
      <c r="AS35" s="132" t="s">
        <v>17219</v>
      </c>
      <c r="AT35" s="132"/>
      <c r="AU35" s="132"/>
      <c r="AV35" s="132"/>
      <c r="AW35" s="132" t="s">
        <v>18267</v>
      </c>
      <c r="AX35" s="132">
        <v>910782658</v>
      </c>
      <c r="AY35" s="132"/>
      <c r="AZ35" s="132"/>
      <c r="BA35" s="115">
        <f t="shared" si="7"/>
        <v>288589.5</v>
      </c>
      <c r="BB35" s="115">
        <v>2700</v>
      </c>
    </row>
    <row r="36" spans="1:54" s="457" customFormat="1" ht="15">
      <c r="A36" s="95">
        <v>35</v>
      </c>
      <c r="B36" s="96" t="s">
        <v>58</v>
      </c>
      <c r="C36" s="97" t="s">
        <v>90</v>
      </c>
      <c r="D36" s="97">
        <v>2</v>
      </c>
      <c r="E36" s="97" t="s">
        <v>38</v>
      </c>
      <c r="F36" s="1005">
        <v>69.959999999999994</v>
      </c>
      <c r="G36" s="296">
        <v>6.63</v>
      </c>
      <c r="H36" s="296">
        <v>0</v>
      </c>
      <c r="I36" s="296"/>
      <c r="J36" s="1000">
        <f t="shared" si="3"/>
        <v>71.948999999999998</v>
      </c>
      <c r="K36" s="371" t="s">
        <v>626</v>
      </c>
      <c r="L36" s="544"/>
      <c r="M36" s="95"/>
      <c r="N36" s="95"/>
      <c r="O36" s="99">
        <v>37</v>
      </c>
      <c r="P36" s="99"/>
      <c r="Q36" s="95" t="s">
        <v>258</v>
      </c>
      <c r="R36" s="100">
        <v>248640</v>
      </c>
      <c r="S36" s="100">
        <v>249000</v>
      </c>
      <c r="T36" s="100"/>
      <c r="U36" s="100">
        <v>259000</v>
      </c>
      <c r="V36" s="100"/>
      <c r="W36" s="101">
        <f t="shared" si="5"/>
        <v>0.04</v>
      </c>
      <c r="X36" s="102">
        <f t="shared" si="6"/>
        <v>3455.7811783346538</v>
      </c>
      <c r="Y36" s="102">
        <f>S36/J36</f>
        <v>3460.7847225117794</v>
      </c>
      <c r="Z36" s="102">
        <f>U36/J36</f>
        <v>3599.7720607652645</v>
      </c>
      <c r="AA36" s="102"/>
      <c r="AB36" s="554"/>
      <c r="AC36" s="103">
        <v>45184</v>
      </c>
      <c r="AD36" s="313">
        <v>33100</v>
      </c>
      <c r="AE36" s="313">
        <v>16628</v>
      </c>
      <c r="AF36" s="103">
        <v>45230</v>
      </c>
      <c r="AG36" s="313"/>
      <c r="AH36" s="103"/>
      <c r="AI36" s="313">
        <v>198912</v>
      </c>
      <c r="AJ36" s="95" t="s">
        <v>247</v>
      </c>
      <c r="AK36" s="95"/>
      <c r="AL36" s="306">
        <v>0.04</v>
      </c>
      <c r="AM36" s="430"/>
      <c r="AN36" s="306"/>
      <c r="AO36" s="306"/>
      <c r="AP36" s="306"/>
      <c r="AQ36" s="95"/>
      <c r="AR36" s="104" t="s">
        <v>17185</v>
      </c>
      <c r="AS36" s="104" t="s">
        <v>517</v>
      </c>
      <c r="AT36" s="104"/>
      <c r="AU36" s="104"/>
      <c r="AV36" s="104"/>
      <c r="AW36" s="104" t="s">
        <v>18268</v>
      </c>
      <c r="AX36" s="104">
        <v>972542399551</v>
      </c>
      <c r="AY36" s="104"/>
      <c r="AZ36" s="104"/>
      <c r="BA36" s="115">
        <f t="shared" si="7"/>
        <v>194262.3</v>
      </c>
      <c r="BB36" s="115">
        <v>2700</v>
      </c>
    </row>
    <row r="37" spans="1:54" s="457" customFormat="1" ht="15">
      <c r="A37" s="95">
        <v>36</v>
      </c>
      <c r="B37" s="96" t="s">
        <v>59</v>
      </c>
      <c r="C37" s="97" t="s">
        <v>90</v>
      </c>
      <c r="D37" s="97">
        <v>2</v>
      </c>
      <c r="E37" s="97" t="s">
        <v>38</v>
      </c>
      <c r="F37" s="1005">
        <v>69.94</v>
      </c>
      <c r="G37" s="296">
        <v>6.62</v>
      </c>
      <c r="H37" s="296">
        <v>0</v>
      </c>
      <c r="I37" s="296"/>
      <c r="J37" s="1000">
        <f t="shared" si="3"/>
        <v>71.926000000000002</v>
      </c>
      <c r="K37" s="371" t="s">
        <v>627</v>
      </c>
      <c r="L37" s="95"/>
      <c r="M37" s="95"/>
      <c r="N37" s="95"/>
      <c r="O37" s="105">
        <v>38</v>
      </c>
      <c r="P37" s="105" t="s">
        <v>249</v>
      </c>
      <c r="Q37" s="95" t="s">
        <v>258</v>
      </c>
      <c r="R37" s="100">
        <v>259000</v>
      </c>
      <c r="S37" s="100">
        <v>249000</v>
      </c>
      <c r="T37" s="100"/>
      <c r="U37" s="100">
        <v>259000</v>
      </c>
      <c r="V37" s="100"/>
      <c r="W37" s="101">
        <f t="shared" si="5"/>
        <v>0</v>
      </c>
      <c r="X37" s="102">
        <f t="shared" si="6"/>
        <v>3600.923171036899</v>
      </c>
      <c r="Y37" s="102">
        <f>S37/J37</f>
        <v>3461.8913883713817</v>
      </c>
      <c r="Z37" s="102">
        <f>U37/J37</f>
        <v>3600.923171036899</v>
      </c>
      <c r="AA37" s="102"/>
      <c r="AB37" s="554"/>
      <c r="AC37" s="103">
        <v>45237</v>
      </c>
      <c r="AD37" s="313">
        <v>51800</v>
      </c>
      <c r="AE37" s="313">
        <v>25900</v>
      </c>
      <c r="AF37" s="103">
        <f>365+AC37</f>
        <v>45602</v>
      </c>
      <c r="AG37" s="313"/>
      <c r="AH37" s="103"/>
      <c r="AI37" s="313">
        <v>181300</v>
      </c>
      <c r="AJ37" s="95" t="s">
        <v>222</v>
      </c>
      <c r="AK37" s="95"/>
      <c r="AL37" s="306">
        <v>0.04</v>
      </c>
      <c r="AM37" s="430">
        <v>136</v>
      </c>
      <c r="AN37" s="306"/>
      <c r="AO37" s="306"/>
      <c r="AP37" s="306"/>
      <c r="AQ37" s="95"/>
      <c r="AR37" s="104" t="s">
        <v>17237</v>
      </c>
      <c r="AS37" s="104" t="s">
        <v>563</v>
      </c>
      <c r="AT37" s="104"/>
      <c r="AU37" s="104"/>
      <c r="AV37" s="104"/>
      <c r="AW37" s="104" t="s">
        <v>18269</v>
      </c>
      <c r="AX37" s="104">
        <v>34640236574</v>
      </c>
      <c r="AY37" s="104"/>
      <c r="AZ37" s="104"/>
      <c r="BA37" s="115">
        <f t="shared" si="7"/>
        <v>194200.2</v>
      </c>
      <c r="BB37" s="115">
        <v>2700</v>
      </c>
    </row>
    <row r="38" spans="1:54" s="457" customFormat="1" ht="14.25" customHeight="1">
      <c r="A38" s="95">
        <v>37</v>
      </c>
      <c r="B38" s="96" t="s">
        <v>60</v>
      </c>
      <c r="C38" s="97" t="s">
        <v>91</v>
      </c>
      <c r="D38" s="97">
        <v>2</v>
      </c>
      <c r="E38" s="97" t="s">
        <v>38</v>
      </c>
      <c r="F38" s="1005">
        <v>102.6</v>
      </c>
      <c r="G38" s="296">
        <v>6.27</v>
      </c>
      <c r="H38" s="296">
        <v>0</v>
      </c>
      <c r="I38" s="296"/>
      <c r="J38" s="1000">
        <f t="shared" si="3"/>
        <v>104.48099999999999</v>
      </c>
      <c r="K38" s="371" t="s">
        <v>671</v>
      </c>
      <c r="L38" s="95" t="s">
        <v>672</v>
      </c>
      <c r="M38" s="95"/>
      <c r="N38" s="115"/>
      <c r="O38" s="99">
        <v>56</v>
      </c>
      <c r="P38" s="99"/>
      <c r="Q38" s="95" t="s">
        <v>258</v>
      </c>
      <c r="R38" s="100">
        <v>398000</v>
      </c>
      <c r="S38" s="100">
        <v>374000</v>
      </c>
      <c r="T38" s="100">
        <f>0.97*V38</f>
        <v>386060</v>
      </c>
      <c r="U38" s="100">
        <v>389000</v>
      </c>
      <c r="V38" s="100">
        <v>398000</v>
      </c>
      <c r="W38" s="101">
        <f>(T38/V38)-1</f>
        <v>-3.0000000000000027E-2</v>
      </c>
      <c r="X38" s="102">
        <f t="shared" si="6"/>
        <v>3809.305041107953</v>
      </c>
      <c r="Y38" s="102">
        <f>T38/J38</f>
        <v>3695.0258898747143</v>
      </c>
      <c r="Z38" s="102">
        <f>V38/J38</f>
        <v>3809.305041107953</v>
      </c>
      <c r="AA38" s="102"/>
      <c r="AB38" s="554"/>
      <c r="AC38" s="103">
        <v>45679</v>
      </c>
      <c r="AD38" s="313">
        <f>10%*R38</f>
        <v>39800</v>
      </c>
      <c r="AE38" s="313">
        <v>39800</v>
      </c>
      <c r="AF38" s="103">
        <v>45747</v>
      </c>
      <c r="AG38" s="313"/>
      <c r="AH38" s="103"/>
      <c r="AI38" s="313">
        <f>80%*R38</f>
        <v>318400</v>
      </c>
      <c r="AJ38" s="95" t="s">
        <v>222</v>
      </c>
      <c r="AK38" s="95"/>
      <c r="AL38" s="306">
        <v>0.04</v>
      </c>
      <c r="AM38" s="430"/>
      <c r="AN38" s="306"/>
      <c r="AO38" s="306"/>
      <c r="AP38" s="306"/>
      <c r="AQ38" s="95"/>
      <c r="AR38" s="132" t="s">
        <v>17822</v>
      </c>
      <c r="AS38" s="132" t="s">
        <v>565</v>
      </c>
      <c r="AT38" s="132"/>
      <c r="AU38" s="132"/>
      <c r="AV38" s="132"/>
      <c r="AW38" s="132" t="s">
        <v>18270</v>
      </c>
      <c r="AX38" s="132">
        <f>55-8399985-1646/911875736</f>
        <v>-8399930.0000018049</v>
      </c>
      <c r="AY38" s="132"/>
      <c r="AZ38" s="132"/>
      <c r="BA38" s="115">
        <f t="shared" si="7"/>
        <v>282098.7</v>
      </c>
      <c r="BB38" s="115">
        <v>2700</v>
      </c>
    </row>
    <row r="39" spans="1:54" s="457" customFormat="1" ht="15">
      <c r="A39" s="95">
        <v>38</v>
      </c>
      <c r="B39" s="96" t="s">
        <v>61</v>
      </c>
      <c r="C39" s="97" t="s">
        <v>91</v>
      </c>
      <c r="D39" s="97">
        <v>2</v>
      </c>
      <c r="E39" s="97" t="s">
        <v>38</v>
      </c>
      <c r="F39" s="1005">
        <v>81.28</v>
      </c>
      <c r="G39" s="296">
        <v>6.27</v>
      </c>
      <c r="H39" s="296">
        <v>0</v>
      </c>
      <c r="I39" s="296"/>
      <c r="J39" s="1000">
        <f t="shared" si="3"/>
        <v>83.161000000000001</v>
      </c>
      <c r="K39" s="371" t="s">
        <v>628</v>
      </c>
      <c r="L39" s="95"/>
      <c r="M39" s="95"/>
      <c r="N39" s="115"/>
      <c r="O39" s="105">
        <v>69</v>
      </c>
      <c r="P39" s="105" t="s">
        <v>249</v>
      </c>
      <c r="Q39" s="95" t="s">
        <v>258</v>
      </c>
      <c r="R39" s="100">
        <v>280000</v>
      </c>
      <c r="S39" s="95"/>
      <c r="T39" s="95"/>
      <c r="U39" s="100">
        <v>280000</v>
      </c>
      <c r="V39" s="100"/>
      <c r="W39" s="101">
        <f t="shared" si="5"/>
        <v>0</v>
      </c>
      <c r="X39" s="102">
        <f t="shared" si="6"/>
        <v>3366.9628792342564</v>
      </c>
      <c r="Y39" s="102">
        <f>U39/J39</f>
        <v>3366.9628792342564</v>
      </c>
      <c r="Z39" s="102"/>
      <c r="AA39" s="102" t="s">
        <v>215</v>
      </c>
      <c r="AB39" s="554"/>
      <c r="AC39" s="103">
        <v>44967</v>
      </c>
      <c r="AD39" s="313">
        <v>56000</v>
      </c>
      <c r="AE39" s="313">
        <v>28000</v>
      </c>
      <c r="AF39" s="103">
        <v>44967</v>
      </c>
      <c r="AG39" s="313"/>
      <c r="AH39" s="103"/>
      <c r="AI39" s="313">
        <v>196000</v>
      </c>
      <c r="AJ39" s="95" t="s">
        <v>222</v>
      </c>
      <c r="AK39" s="95"/>
      <c r="AL39" s="306">
        <v>0.04</v>
      </c>
      <c r="AM39" s="430"/>
      <c r="AN39" s="306"/>
      <c r="AO39" s="306"/>
      <c r="AP39" s="306" t="s">
        <v>215</v>
      </c>
      <c r="AQ39" s="95" t="s">
        <v>215</v>
      </c>
      <c r="AR39" s="104" t="s">
        <v>324</v>
      </c>
      <c r="AS39" s="104" t="s">
        <v>265</v>
      </c>
      <c r="AT39" s="104"/>
      <c r="AU39" s="104"/>
      <c r="AV39" s="104"/>
      <c r="AW39" s="104" t="s">
        <v>18271</v>
      </c>
      <c r="AX39" s="104">
        <f>2017084848/913566737</f>
        <v>2.2079228219536193</v>
      </c>
      <c r="AY39" s="104"/>
      <c r="AZ39" s="104"/>
      <c r="BA39" s="115">
        <f t="shared" si="7"/>
        <v>224534.7</v>
      </c>
      <c r="BB39" s="115">
        <v>2700</v>
      </c>
    </row>
    <row r="40" spans="1:54" s="457" customFormat="1" ht="15">
      <c r="A40" s="95">
        <v>39</v>
      </c>
      <c r="B40" s="96" t="s">
        <v>62</v>
      </c>
      <c r="C40" s="97" t="s">
        <v>89</v>
      </c>
      <c r="D40" s="97">
        <v>2</v>
      </c>
      <c r="E40" s="97" t="s">
        <v>38</v>
      </c>
      <c r="F40" s="1005">
        <v>136.19999999999999</v>
      </c>
      <c r="G40" s="296">
        <v>6.62</v>
      </c>
      <c r="H40" s="296">
        <v>0</v>
      </c>
      <c r="I40" s="296"/>
      <c r="J40" s="1000">
        <f t="shared" si="3"/>
        <v>138.18599999999998</v>
      </c>
      <c r="K40" s="371" t="s">
        <v>673</v>
      </c>
      <c r="L40" s="95" t="s">
        <v>674</v>
      </c>
      <c r="M40" s="95"/>
      <c r="N40" s="115"/>
      <c r="O40" s="99">
        <v>1</v>
      </c>
      <c r="P40" s="99" t="s">
        <v>249</v>
      </c>
      <c r="Q40" s="95" t="s">
        <v>258</v>
      </c>
      <c r="R40" s="100">
        <v>471000</v>
      </c>
      <c r="S40" s="100">
        <v>446000</v>
      </c>
      <c r="T40" s="100">
        <f>0.97*V40</f>
        <v>456870</v>
      </c>
      <c r="U40" s="100">
        <v>464000</v>
      </c>
      <c r="V40" s="100">
        <v>471000</v>
      </c>
      <c r="W40" s="101">
        <f>(T40/V40)-1</f>
        <v>-3.0000000000000027E-2</v>
      </c>
      <c r="X40" s="102">
        <f t="shared" si="6"/>
        <v>3408.4494811341242</v>
      </c>
      <c r="Y40" s="102">
        <f>T40/J40</f>
        <v>3306.1959967001003</v>
      </c>
      <c r="Z40" s="102">
        <f>V40/J40</f>
        <v>3408.4494811341242</v>
      </c>
      <c r="AA40" s="102"/>
      <c r="AB40" s="554"/>
      <c r="AC40" s="305">
        <v>45603</v>
      </c>
      <c r="AD40" s="325">
        <v>94200</v>
      </c>
      <c r="AE40" s="327"/>
      <c r="AF40" s="1401"/>
      <c r="AG40" s="327"/>
      <c r="AH40" s="1401"/>
      <c r="AI40" s="327">
        <v>376800</v>
      </c>
      <c r="AJ40" s="95" t="s">
        <v>222</v>
      </c>
      <c r="AK40" s="95"/>
      <c r="AL40" s="306">
        <v>0.04</v>
      </c>
      <c r="AM40" s="430"/>
      <c r="AN40" s="306"/>
      <c r="AO40" s="306"/>
      <c r="AP40" s="306"/>
      <c r="AQ40" s="95"/>
      <c r="AR40" s="330" t="s">
        <v>17689</v>
      </c>
      <c r="AS40" s="330" t="s">
        <v>265</v>
      </c>
      <c r="AT40" s="330"/>
      <c r="AU40" s="330"/>
      <c r="AV40" s="330"/>
      <c r="AW40" s="330" t="s">
        <v>18272</v>
      </c>
      <c r="AX40" s="330">
        <v>916571832</v>
      </c>
      <c r="AY40" s="134"/>
      <c r="AZ40" s="134"/>
      <c r="BA40" s="115">
        <f t="shared" si="7"/>
        <v>373102.19999999995</v>
      </c>
      <c r="BB40" s="115">
        <v>2700</v>
      </c>
    </row>
    <row r="41" spans="1:54" s="457" customFormat="1" ht="13.5" customHeight="1">
      <c r="A41" s="95">
        <v>40</v>
      </c>
      <c r="B41" s="96" t="s">
        <v>63</v>
      </c>
      <c r="C41" s="97" t="s">
        <v>91</v>
      </c>
      <c r="D41" s="97">
        <v>2</v>
      </c>
      <c r="E41" s="97" t="s">
        <v>28</v>
      </c>
      <c r="F41" s="1005">
        <v>95.94</v>
      </c>
      <c r="G41" s="296">
        <v>9.5399999999999991</v>
      </c>
      <c r="H41" s="296">
        <v>0</v>
      </c>
      <c r="I41" s="296"/>
      <c r="J41" s="1000">
        <f t="shared" si="3"/>
        <v>98.801999999999992</v>
      </c>
      <c r="K41" s="371" t="s">
        <v>676</v>
      </c>
      <c r="L41" s="95" t="s">
        <v>675</v>
      </c>
      <c r="M41" s="95"/>
      <c r="N41" s="115"/>
      <c r="O41" s="105">
        <v>19</v>
      </c>
      <c r="P41" s="105"/>
      <c r="Q41" s="95" t="s">
        <v>258</v>
      </c>
      <c r="R41" s="100">
        <v>301000</v>
      </c>
      <c r="S41" s="95"/>
      <c r="T41" s="95"/>
      <c r="U41" s="100">
        <v>310000</v>
      </c>
      <c r="V41" s="100"/>
      <c r="W41" s="101">
        <f t="shared" si="5"/>
        <v>2.903225806451613E-2</v>
      </c>
      <c r="X41" s="102">
        <f t="shared" si="6"/>
        <v>3046.4970344729868</v>
      </c>
      <c r="Y41" s="102">
        <f>U41/J41</f>
        <v>3137.5883079289897</v>
      </c>
      <c r="Z41" s="102"/>
      <c r="AA41" s="102" t="s">
        <v>215</v>
      </c>
      <c r="AB41" s="554"/>
      <c r="AC41" s="103">
        <v>44886</v>
      </c>
      <c r="AD41" s="313">
        <f>5000+57000</f>
        <v>62000</v>
      </c>
      <c r="AE41" s="313"/>
      <c r="AF41" s="103"/>
      <c r="AG41" s="313"/>
      <c r="AH41" s="103"/>
      <c r="AI41" s="313">
        <v>239000</v>
      </c>
      <c r="AJ41" s="95" t="s">
        <v>274</v>
      </c>
      <c r="AK41" s="95"/>
      <c r="AL41" s="306">
        <v>0.04</v>
      </c>
      <c r="AM41" s="430"/>
      <c r="AN41" s="306"/>
      <c r="AO41" s="306"/>
      <c r="AP41" s="306" t="s">
        <v>215</v>
      </c>
      <c r="AQ41" s="306" t="s">
        <v>215</v>
      </c>
      <c r="AR41" s="132" t="s">
        <v>235</v>
      </c>
      <c r="AS41" s="132" t="s">
        <v>517</v>
      </c>
      <c r="AT41" s="132"/>
      <c r="AU41" s="132"/>
      <c r="AV41" s="132"/>
      <c r="AW41" s="132" t="s">
        <v>18273</v>
      </c>
      <c r="AX41" s="132" t="s">
        <v>455</v>
      </c>
      <c r="AY41" s="132"/>
      <c r="AZ41" s="132"/>
      <c r="BA41" s="115">
        <f t="shared" si="7"/>
        <v>266765.39999999997</v>
      </c>
      <c r="BB41" s="115">
        <v>2700</v>
      </c>
    </row>
    <row r="42" spans="1:54" s="457" customFormat="1" ht="15">
      <c r="A42" s="95">
        <v>41</v>
      </c>
      <c r="B42" s="96" t="s">
        <v>64</v>
      </c>
      <c r="C42" s="97" t="s">
        <v>90</v>
      </c>
      <c r="D42" s="97">
        <v>2</v>
      </c>
      <c r="E42" s="97" t="s">
        <v>28</v>
      </c>
      <c r="F42" s="1005">
        <v>76.319999999999993</v>
      </c>
      <c r="G42" s="296">
        <v>10.54</v>
      </c>
      <c r="H42" s="296">
        <v>0</v>
      </c>
      <c r="I42" s="296"/>
      <c r="J42" s="1000">
        <f t="shared" si="3"/>
        <v>79.481999999999999</v>
      </c>
      <c r="K42" s="371" t="s">
        <v>629</v>
      </c>
      <c r="L42" s="95"/>
      <c r="M42" s="95"/>
      <c r="N42" s="115"/>
      <c r="O42" s="99">
        <v>62</v>
      </c>
      <c r="P42" s="99"/>
      <c r="Q42" s="95" t="s">
        <v>258</v>
      </c>
      <c r="R42" s="100">
        <v>255000</v>
      </c>
      <c r="S42" s="100">
        <v>255000</v>
      </c>
      <c r="T42" s="100"/>
      <c r="U42" s="100">
        <v>270000</v>
      </c>
      <c r="V42" s="100"/>
      <c r="W42" s="101">
        <f t="shared" si="5"/>
        <v>5.5555555555555552E-2</v>
      </c>
      <c r="X42" s="102">
        <f t="shared" si="6"/>
        <v>3208.2735713746511</v>
      </c>
      <c r="Y42" s="102">
        <f>U42/J42</f>
        <v>3396.9955461613949</v>
      </c>
      <c r="Z42" s="102"/>
      <c r="AA42" s="102" t="s">
        <v>215</v>
      </c>
      <c r="AB42" s="554"/>
      <c r="AC42" s="103">
        <v>45061</v>
      </c>
      <c r="AD42" s="313">
        <v>51000</v>
      </c>
      <c r="AE42" s="313">
        <v>25500</v>
      </c>
      <c r="AF42" s="103">
        <v>45427</v>
      </c>
      <c r="AG42" s="313"/>
      <c r="AH42" s="103"/>
      <c r="AI42" s="313">
        <v>178500</v>
      </c>
      <c r="AJ42" s="95" t="s">
        <v>222</v>
      </c>
      <c r="AK42" s="95"/>
      <c r="AL42" s="306">
        <v>0.04</v>
      </c>
      <c r="AM42" s="430"/>
      <c r="AN42" s="306"/>
      <c r="AO42" s="306"/>
      <c r="AP42" s="306" t="s">
        <v>215</v>
      </c>
      <c r="AQ42" s="95" t="s">
        <v>312</v>
      </c>
      <c r="AR42" s="104" t="s">
        <v>337</v>
      </c>
      <c r="AS42" s="104" t="s">
        <v>265</v>
      </c>
      <c r="AT42" s="104"/>
      <c r="AU42" s="104"/>
      <c r="AV42" s="104"/>
      <c r="AW42" s="104"/>
      <c r="AX42" s="104"/>
      <c r="AY42" s="104"/>
      <c r="AZ42" s="104"/>
      <c r="BA42" s="115">
        <f t="shared" si="7"/>
        <v>214601.4</v>
      </c>
      <c r="BB42" s="115">
        <v>2700</v>
      </c>
    </row>
    <row r="43" spans="1:54" s="457" customFormat="1" ht="15">
      <c r="A43" s="95">
        <v>42</v>
      </c>
      <c r="B43" s="96" t="s">
        <v>65</v>
      </c>
      <c r="C43" s="97" t="s">
        <v>90</v>
      </c>
      <c r="D43" s="97">
        <v>2</v>
      </c>
      <c r="E43" s="97" t="s">
        <v>28</v>
      </c>
      <c r="F43" s="1005">
        <v>70.08</v>
      </c>
      <c r="G43" s="296">
        <v>9.99</v>
      </c>
      <c r="H43" s="296">
        <v>0</v>
      </c>
      <c r="I43" s="296"/>
      <c r="J43" s="1000">
        <f t="shared" si="3"/>
        <v>73.076999999999998</v>
      </c>
      <c r="K43" s="371" t="s">
        <v>630</v>
      </c>
      <c r="L43" s="95"/>
      <c r="M43" s="95"/>
      <c r="N43" s="95"/>
      <c r="O43" s="105">
        <v>51</v>
      </c>
      <c r="P43" s="105"/>
      <c r="Q43" s="95" t="s">
        <v>258</v>
      </c>
      <c r="R43" s="115">
        <v>266750</v>
      </c>
      <c r="S43" s="115"/>
      <c r="T43" s="115">
        <f>0.97*U43</f>
        <v>266750</v>
      </c>
      <c r="U43" s="100">
        <v>275000</v>
      </c>
      <c r="V43" s="100">
        <v>275000</v>
      </c>
      <c r="W43" s="101">
        <f>(T43/V43)-1</f>
        <v>-3.0000000000000027E-2</v>
      </c>
      <c r="X43" s="102">
        <f t="shared" si="6"/>
        <v>3650.25931551651</v>
      </c>
      <c r="Y43" s="102">
        <f>S43/J43</f>
        <v>0</v>
      </c>
      <c r="Z43" s="102">
        <f>U43/J43</f>
        <v>3763.1539335221755</v>
      </c>
      <c r="AA43" s="102"/>
      <c r="AB43" s="554"/>
      <c r="AC43" s="103">
        <v>45320</v>
      </c>
      <c r="AD43" s="313">
        <f>20%*R43</f>
        <v>53350</v>
      </c>
      <c r="AE43" s="313">
        <f>10%*R43</f>
        <v>26675</v>
      </c>
      <c r="AF43" s="103">
        <f>365+AC43</f>
        <v>45685</v>
      </c>
      <c r="AG43" s="313"/>
      <c r="AH43" s="103"/>
      <c r="AI43" s="313">
        <f>70%*R43</f>
        <v>186725</v>
      </c>
      <c r="AJ43" s="95" t="s">
        <v>222</v>
      </c>
      <c r="AK43" s="95"/>
      <c r="AL43" s="306">
        <v>0.04</v>
      </c>
      <c r="AM43" s="430"/>
      <c r="AN43" s="306"/>
      <c r="AO43" s="306"/>
      <c r="AP43" s="306"/>
      <c r="AQ43" s="95"/>
      <c r="AR43" s="104" t="s">
        <v>17255</v>
      </c>
      <c r="AS43" s="104" t="s">
        <v>265</v>
      </c>
      <c r="AT43" s="104"/>
      <c r="AU43" s="104"/>
      <c r="AV43" s="104"/>
      <c r="AW43" s="104" t="s">
        <v>18274</v>
      </c>
      <c r="AX43" s="104">
        <v>938605201</v>
      </c>
      <c r="AY43" s="104"/>
      <c r="AZ43" s="104"/>
      <c r="BA43" s="115">
        <f t="shared" si="7"/>
        <v>197307.9</v>
      </c>
      <c r="BB43" s="115">
        <v>2700</v>
      </c>
    </row>
    <row r="44" spans="1:54" s="457" customFormat="1" ht="15">
      <c r="A44" s="95">
        <v>43</v>
      </c>
      <c r="B44" s="96" t="s">
        <v>66</v>
      </c>
      <c r="C44" s="97" t="s">
        <v>90</v>
      </c>
      <c r="D44" s="97">
        <v>2</v>
      </c>
      <c r="E44" s="97" t="s">
        <v>28</v>
      </c>
      <c r="F44" s="1005">
        <v>66.680000000000007</v>
      </c>
      <c r="G44" s="296">
        <v>7.1</v>
      </c>
      <c r="H44" s="296">
        <v>0</v>
      </c>
      <c r="I44" s="296"/>
      <c r="J44" s="1000">
        <f t="shared" si="3"/>
        <v>68.81</v>
      </c>
      <c r="K44" s="371" t="s">
        <v>631</v>
      </c>
      <c r="L44" s="95"/>
      <c r="M44" s="95"/>
      <c r="N44" s="95"/>
      <c r="O44" s="99">
        <v>45</v>
      </c>
      <c r="P44" s="99" t="s">
        <v>249</v>
      </c>
      <c r="Q44" s="95" t="s">
        <v>258</v>
      </c>
      <c r="R44" s="100">
        <v>220000</v>
      </c>
      <c r="S44" s="95"/>
      <c r="T44" s="95"/>
      <c r="U44" s="100">
        <v>220000</v>
      </c>
      <c r="V44" s="100"/>
      <c r="W44" s="101">
        <f t="shared" si="5"/>
        <v>0</v>
      </c>
      <c r="X44" s="102">
        <f t="shared" si="6"/>
        <v>3197.2097078912948</v>
      </c>
      <c r="Y44" s="102">
        <f>U44/J44</f>
        <v>3197.2097078912948</v>
      </c>
      <c r="Z44" s="102"/>
      <c r="AA44" s="102" t="s">
        <v>215</v>
      </c>
      <c r="AB44" s="554"/>
      <c r="AC44" s="103">
        <v>44964</v>
      </c>
      <c r="AD44" s="313">
        <v>44000</v>
      </c>
      <c r="AE44" s="313">
        <v>22000</v>
      </c>
      <c r="AF44" s="103">
        <v>45329</v>
      </c>
      <c r="AG44" s="313"/>
      <c r="AH44" s="103"/>
      <c r="AI44" s="313">
        <v>154000</v>
      </c>
      <c r="AJ44" s="95" t="s">
        <v>222</v>
      </c>
      <c r="AK44" s="95"/>
      <c r="AL44" s="306">
        <v>0.04</v>
      </c>
      <c r="AM44" s="430"/>
      <c r="AN44" s="306"/>
      <c r="AO44" s="306"/>
      <c r="AP44" s="306" t="s">
        <v>215</v>
      </c>
      <c r="AQ44" s="95" t="s">
        <v>215</v>
      </c>
      <c r="AR44" s="104" t="s">
        <v>325</v>
      </c>
      <c r="AS44" s="104" t="s">
        <v>265</v>
      </c>
      <c r="AT44" s="104"/>
      <c r="AU44" s="104"/>
      <c r="AV44" s="104"/>
      <c r="AW44" s="104" t="s">
        <v>455</v>
      </c>
      <c r="AX44" s="104">
        <v>244924549348</v>
      </c>
      <c r="AY44" s="104"/>
      <c r="AZ44" s="104"/>
      <c r="BA44" s="115">
        <f t="shared" si="7"/>
        <v>185787</v>
      </c>
      <c r="BB44" s="115">
        <v>2700</v>
      </c>
    </row>
    <row r="45" spans="1:54" s="457" customFormat="1" ht="15">
      <c r="A45" s="95">
        <v>44</v>
      </c>
      <c r="B45" s="96" t="s">
        <v>67</v>
      </c>
      <c r="C45" s="97" t="s">
        <v>91</v>
      </c>
      <c r="D45" s="97">
        <v>2</v>
      </c>
      <c r="E45" s="97" t="s">
        <v>28</v>
      </c>
      <c r="F45" s="1005">
        <v>106.97</v>
      </c>
      <c r="G45" s="296">
        <v>3.7</v>
      </c>
      <c r="H45" s="296">
        <v>0</v>
      </c>
      <c r="I45" s="296"/>
      <c r="J45" s="1000">
        <f t="shared" si="3"/>
        <v>108.08</v>
      </c>
      <c r="K45" s="371" t="s">
        <v>678</v>
      </c>
      <c r="L45" s="95" t="s">
        <v>677</v>
      </c>
      <c r="M45" s="95"/>
      <c r="N45" s="115"/>
      <c r="O45" s="105">
        <v>57</v>
      </c>
      <c r="P45" s="105"/>
      <c r="Q45" s="95" t="s">
        <v>258</v>
      </c>
      <c r="R45" s="100">
        <v>393335</v>
      </c>
      <c r="S45" s="100">
        <v>366000</v>
      </c>
      <c r="T45" s="100">
        <f>0.97*V45</f>
        <v>393335</v>
      </c>
      <c r="U45" s="100">
        <v>381000</v>
      </c>
      <c r="V45" s="100">
        <v>405500</v>
      </c>
      <c r="W45" s="101">
        <f>(R45/V45)-1</f>
        <v>-3.0000000000000027E-2</v>
      </c>
      <c r="X45" s="102">
        <f t="shared" si="6"/>
        <v>3639.2949666913396</v>
      </c>
      <c r="Y45" s="102">
        <f>T45/J45</f>
        <v>3639.2949666913396</v>
      </c>
      <c r="Z45" s="102">
        <f>V45/J45</f>
        <v>3751.8504811250928</v>
      </c>
      <c r="AA45" s="102"/>
      <c r="AB45" s="554">
        <v>45737</v>
      </c>
      <c r="AC45" s="103">
        <v>45792</v>
      </c>
      <c r="AD45" s="313">
        <f>30%*R45</f>
        <v>118000.5</v>
      </c>
      <c r="AE45" s="313"/>
      <c r="AF45" s="103"/>
      <c r="AG45" s="313"/>
      <c r="AH45" s="103"/>
      <c r="AI45" s="313">
        <f>70%*R45</f>
        <v>275334.5</v>
      </c>
      <c r="AJ45" s="95" t="s">
        <v>222</v>
      </c>
      <c r="AK45" s="95"/>
      <c r="AL45" s="306">
        <v>0.04</v>
      </c>
      <c r="AM45" s="430"/>
      <c r="AN45" s="306"/>
      <c r="AO45" s="306"/>
      <c r="AP45" s="306"/>
      <c r="AQ45" s="95"/>
      <c r="AR45" s="104" t="s">
        <v>18011</v>
      </c>
      <c r="AS45" s="104" t="s">
        <v>265</v>
      </c>
      <c r="AT45" s="104"/>
      <c r="AU45" s="104"/>
      <c r="AV45" s="104"/>
      <c r="AW45" s="104" t="s">
        <v>18275</v>
      </c>
      <c r="AX45" s="104">
        <v>966366311</v>
      </c>
      <c r="AY45" s="104"/>
      <c r="AZ45" s="104"/>
      <c r="BA45" s="115">
        <f t="shared" si="7"/>
        <v>291816</v>
      </c>
      <c r="BB45" s="115">
        <v>2700</v>
      </c>
    </row>
    <row r="46" spans="1:54" s="457" customFormat="1" ht="15">
      <c r="A46" s="95">
        <v>45</v>
      </c>
      <c r="B46" s="96" t="s">
        <v>68</v>
      </c>
      <c r="C46" s="97" t="s">
        <v>91</v>
      </c>
      <c r="D46" s="97">
        <v>2</v>
      </c>
      <c r="E46" s="97" t="s">
        <v>28</v>
      </c>
      <c r="F46" s="1005">
        <v>108.97</v>
      </c>
      <c r="G46" s="296">
        <v>9.8000000000000007</v>
      </c>
      <c r="H46" s="296">
        <v>0</v>
      </c>
      <c r="I46" s="296"/>
      <c r="J46" s="1000">
        <f t="shared" si="3"/>
        <v>111.91</v>
      </c>
      <c r="K46" s="371" t="s">
        <v>679</v>
      </c>
      <c r="L46" s="95" t="s">
        <v>680</v>
      </c>
      <c r="M46" s="95"/>
      <c r="N46" s="115"/>
      <c r="O46" s="99">
        <v>11</v>
      </c>
      <c r="P46" s="99"/>
      <c r="Q46" s="95" t="s">
        <v>258</v>
      </c>
      <c r="R46" s="100">
        <v>339000</v>
      </c>
      <c r="S46" s="95"/>
      <c r="T46" s="95"/>
      <c r="U46" s="100">
        <v>350000</v>
      </c>
      <c r="V46" s="100"/>
      <c r="W46" s="101">
        <f t="shared" si="5"/>
        <v>3.1428571428571431E-2</v>
      </c>
      <c r="X46" s="102">
        <f t="shared" si="6"/>
        <v>3029.2199088553302</v>
      </c>
      <c r="Y46" s="102">
        <f>U46/J46</f>
        <v>3127.5131802341166</v>
      </c>
      <c r="Z46" s="102"/>
      <c r="AA46" s="102" t="s">
        <v>215</v>
      </c>
      <c r="AB46" s="554"/>
      <c r="AC46" s="135">
        <v>44886</v>
      </c>
      <c r="AD46" s="326">
        <v>70000</v>
      </c>
      <c r="AE46" s="326"/>
      <c r="AF46" s="135"/>
      <c r="AG46" s="326"/>
      <c r="AH46" s="135"/>
      <c r="AI46" s="326">
        <f>339000-AD46</f>
        <v>269000</v>
      </c>
      <c r="AJ46" s="95" t="s">
        <v>274</v>
      </c>
      <c r="AK46" s="95"/>
      <c r="AL46" s="306">
        <v>0.04</v>
      </c>
      <c r="AM46" s="430"/>
      <c r="AN46" s="306"/>
      <c r="AO46" s="306"/>
      <c r="AP46" s="306" t="s">
        <v>215</v>
      </c>
      <c r="AQ46" s="306" t="s">
        <v>215</v>
      </c>
      <c r="AR46" s="132" t="s">
        <v>235</v>
      </c>
      <c r="AS46" s="132" t="s">
        <v>517</v>
      </c>
      <c r="AT46" s="132"/>
      <c r="AU46" s="132"/>
      <c r="AV46" s="132"/>
      <c r="AW46" s="132" t="s">
        <v>18273</v>
      </c>
      <c r="AX46" s="132"/>
      <c r="AY46" s="132"/>
      <c r="AZ46" s="132"/>
      <c r="BA46" s="115">
        <f t="shared" si="7"/>
        <v>302157</v>
      </c>
      <c r="BB46" s="115">
        <v>2700</v>
      </c>
    </row>
    <row r="47" spans="1:54" s="457" customFormat="1" ht="15">
      <c r="A47" s="95">
        <v>46</v>
      </c>
      <c r="B47" s="96" t="s">
        <v>69</v>
      </c>
      <c r="C47" s="97" t="s">
        <v>91</v>
      </c>
      <c r="D47" s="97">
        <v>2</v>
      </c>
      <c r="E47" s="97" t="s">
        <v>28</v>
      </c>
      <c r="F47" s="1005">
        <v>88.12</v>
      </c>
      <c r="G47" s="296">
        <v>9.81</v>
      </c>
      <c r="H47" s="296">
        <v>0</v>
      </c>
      <c r="I47" s="296"/>
      <c r="J47" s="1000">
        <f t="shared" si="3"/>
        <v>91.063000000000002</v>
      </c>
      <c r="K47" s="371" t="s">
        <v>632</v>
      </c>
      <c r="L47" s="95"/>
      <c r="M47" s="95"/>
      <c r="N47" s="115"/>
      <c r="O47" s="105">
        <v>15</v>
      </c>
      <c r="P47" s="105" t="s">
        <v>249</v>
      </c>
      <c r="Q47" s="95" t="s">
        <v>258</v>
      </c>
      <c r="R47" s="100">
        <v>376000</v>
      </c>
      <c r="S47" s="100">
        <v>358000</v>
      </c>
      <c r="T47" s="100">
        <f>0.97*V47</f>
        <v>364720</v>
      </c>
      <c r="U47" s="100">
        <v>351000</v>
      </c>
      <c r="V47" s="100">
        <v>376000</v>
      </c>
      <c r="W47" s="101">
        <f>(T47/V47)-1</f>
        <v>-3.0000000000000027E-2</v>
      </c>
      <c r="X47" s="102">
        <f t="shared" si="6"/>
        <v>4129.0095867695991</v>
      </c>
      <c r="Y47" s="102">
        <f>T47/J47</f>
        <v>4005.1392991665111</v>
      </c>
      <c r="Z47" s="102">
        <f>V47/J47</f>
        <v>4129.0095867695991</v>
      </c>
      <c r="AA47" s="102"/>
      <c r="AB47" s="554"/>
      <c r="AC47" s="103">
        <v>45744</v>
      </c>
      <c r="AD47" s="313">
        <v>75200</v>
      </c>
      <c r="AE47" s="313"/>
      <c r="AF47" s="103"/>
      <c r="AG47" s="313"/>
      <c r="AH47" s="103"/>
      <c r="AI47" s="313">
        <v>300800</v>
      </c>
      <c r="AJ47" s="95" t="s">
        <v>222</v>
      </c>
      <c r="AK47" s="95"/>
      <c r="AL47" s="306">
        <v>0.04</v>
      </c>
      <c r="AM47" s="430"/>
      <c r="AN47" s="306"/>
      <c r="AO47" s="306"/>
      <c r="AP47" s="306"/>
      <c r="AQ47" s="95"/>
      <c r="AR47" s="104" t="s">
        <v>17874</v>
      </c>
      <c r="AS47" s="104" t="s">
        <v>563</v>
      </c>
      <c r="AT47" s="104"/>
      <c r="AU47" s="104"/>
      <c r="AV47" s="104"/>
      <c r="AW47" s="104" t="s">
        <v>18276</v>
      </c>
      <c r="AX47" s="104">
        <v>310611512917</v>
      </c>
      <c r="AY47" s="104"/>
      <c r="AZ47" s="104"/>
      <c r="BA47" s="115">
        <f t="shared" si="7"/>
        <v>245870.1</v>
      </c>
      <c r="BB47" s="115">
        <v>2700</v>
      </c>
    </row>
    <row r="48" spans="1:54" s="457" customFormat="1" ht="15">
      <c r="A48" s="95">
        <v>47</v>
      </c>
      <c r="B48" s="96" t="s">
        <v>70</v>
      </c>
      <c r="C48" s="97" t="s">
        <v>90</v>
      </c>
      <c r="D48" s="97">
        <v>2</v>
      </c>
      <c r="E48" s="97" t="s">
        <v>28</v>
      </c>
      <c r="F48" s="1005">
        <v>58</v>
      </c>
      <c r="G48" s="296">
        <v>9.81</v>
      </c>
      <c r="H48" s="296">
        <v>0</v>
      </c>
      <c r="I48" s="296"/>
      <c r="J48" s="1000">
        <f t="shared" si="3"/>
        <v>60.942999999999998</v>
      </c>
      <c r="K48" s="371" t="s">
        <v>633</v>
      </c>
      <c r="L48" s="95"/>
      <c r="M48" s="95"/>
      <c r="N48" s="115"/>
      <c r="O48" s="99">
        <v>29</v>
      </c>
      <c r="P48" s="99"/>
      <c r="Q48" s="95" t="s">
        <v>258</v>
      </c>
      <c r="R48" s="100">
        <v>245000</v>
      </c>
      <c r="S48" s="100">
        <v>231000</v>
      </c>
      <c r="T48" s="100">
        <f>0.97*V48</f>
        <v>237650</v>
      </c>
      <c r="U48" s="100">
        <v>231000</v>
      </c>
      <c r="V48" s="100">
        <v>245000</v>
      </c>
      <c r="W48" s="101">
        <f>(T48/V48)-1</f>
        <v>-3.0000000000000027E-2</v>
      </c>
      <c r="X48" s="102">
        <f t="shared" si="6"/>
        <v>4020.1499762072758</v>
      </c>
      <c r="Y48" s="102">
        <f>T48/J48</f>
        <v>3899.5454769210573</v>
      </c>
      <c r="Z48" s="102">
        <f>V48/J48</f>
        <v>4020.1499762072758</v>
      </c>
      <c r="AA48" s="102"/>
      <c r="AB48" s="554"/>
      <c r="AC48" s="103">
        <v>45412</v>
      </c>
      <c r="AD48" s="313">
        <v>24500</v>
      </c>
      <c r="AE48" s="313">
        <v>24500</v>
      </c>
      <c r="AF48" s="103">
        <v>45657</v>
      </c>
      <c r="AG48" s="313"/>
      <c r="AH48" s="103"/>
      <c r="AI48" s="313">
        <v>196000</v>
      </c>
      <c r="AJ48" s="95" t="s">
        <v>222</v>
      </c>
      <c r="AK48" s="95"/>
      <c r="AL48" s="306">
        <v>0.04</v>
      </c>
      <c r="AM48" s="430"/>
      <c r="AN48" s="306"/>
      <c r="AO48" s="306"/>
      <c r="AP48" s="306"/>
      <c r="AQ48" s="95"/>
      <c r="AR48" s="104" t="s">
        <v>17357</v>
      </c>
      <c r="AS48" s="104" t="s">
        <v>265</v>
      </c>
      <c r="AT48" s="104"/>
      <c r="AU48" s="104"/>
      <c r="AV48" s="104"/>
      <c r="AW48" s="104" t="s">
        <v>18277</v>
      </c>
      <c r="AX48" s="104">
        <v>964030070</v>
      </c>
      <c r="AY48" s="104"/>
      <c r="AZ48" s="104"/>
      <c r="BA48" s="115">
        <f t="shared" si="7"/>
        <v>164546.1</v>
      </c>
      <c r="BB48" s="115">
        <v>2700</v>
      </c>
    </row>
    <row r="49" spans="1:54" s="457" customFormat="1" ht="15">
      <c r="A49" s="95">
        <v>48</v>
      </c>
      <c r="B49" s="96" t="s">
        <v>71</v>
      </c>
      <c r="C49" s="97" t="s">
        <v>91</v>
      </c>
      <c r="D49" s="97">
        <v>2</v>
      </c>
      <c r="E49" s="97" t="s">
        <v>28</v>
      </c>
      <c r="F49" s="1005">
        <v>84.76</v>
      </c>
      <c r="G49" s="296">
        <v>10</v>
      </c>
      <c r="H49" s="296">
        <v>0</v>
      </c>
      <c r="I49" s="296"/>
      <c r="J49" s="1000">
        <f t="shared" si="3"/>
        <v>87.76</v>
      </c>
      <c r="K49" s="371" t="s">
        <v>634</v>
      </c>
      <c r="L49" s="95"/>
      <c r="M49" s="95"/>
      <c r="N49" s="95"/>
      <c r="O49" s="105">
        <v>71</v>
      </c>
      <c r="P49" s="105"/>
      <c r="Q49" s="95" t="s">
        <v>258</v>
      </c>
      <c r="R49" s="100">
        <v>350000</v>
      </c>
      <c r="S49" s="100">
        <v>330000</v>
      </c>
      <c r="T49" s="100">
        <f>0.97*V49</f>
        <v>339500</v>
      </c>
      <c r="U49" s="100">
        <v>343000</v>
      </c>
      <c r="V49" s="100">
        <v>350000</v>
      </c>
      <c r="W49" s="101">
        <f>(R49/V49)-1</f>
        <v>0</v>
      </c>
      <c r="X49" s="102">
        <f t="shared" si="6"/>
        <v>3988.1494986326343</v>
      </c>
      <c r="Y49" s="102">
        <f>T49/J49</f>
        <v>3868.5050136736554</v>
      </c>
      <c r="Z49" s="102">
        <f>V49/J49</f>
        <v>3988.1494986326343</v>
      </c>
      <c r="AA49" s="102"/>
      <c r="AB49" s="554"/>
      <c r="AC49" s="103">
        <v>45419</v>
      </c>
      <c r="AD49" s="313">
        <f>20%*R49</f>
        <v>70000</v>
      </c>
      <c r="AE49" s="313">
        <f>10%*R49</f>
        <v>35000</v>
      </c>
      <c r="AF49" s="103"/>
      <c r="AG49" s="313"/>
      <c r="AH49" s="103"/>
      <c r="AI49" s="313">
        <f>70%*R49</f>
        <v>244999.99999999997</v>
      </c>
      <c r="AJ49" s="95" t="s">
        <v>222</v>
      </c>
      <c r="AK49" s="95"/>
      <c r="AL49" s="306">
        <v>0.04</v>
      </c>
      <c r="AM49" s="430"/>
      <c r="AN49" s="306"/>
      <c r="AO49" s="306"/>
      <c r="AP49" s="306"/>
      <c r="AQ49" s="95"/>
      <c r="AR49" s="104" t="s">
        <v>17459</v>
      </c>
      <c r="AS49" s="104" t="s">
        <v>17442</v>
      </c>
      <c r="AT49" s="104"/>
      <c r="AU49" s="104"/>
      <c r="AV49" s="104"/>
      <c r="AW49" s="104"/>
      <c r="AX49" s="104">
        <v>48607607671</v>
      </c>
      <c r="AY49" s="104"/>
      <c r="AZ49" s="104"/>
      <c r="BA49" s="115">
        <f t="shared" si="7"/>
        <v>236952</v>
      </c>
      <c r="BB49" s="115">
        <v>2700</v>
      </c>
    </row>
    <row r="50" spans="1:54" s="457" customFormat="1" ht="15">
      <c r="A50" s="95">
        <v>49</v>
      </c>
      <c r="B50" s="96" t="s">
        <v>72</v>
      </c>
      <c r="C50" s="97" t="s">
        <v>89</v>
      </c>
      <c r="D50" s="97">
        <v>2</v>
      </c>
      <c r="E50" s="97" t="s">
        <v>28</v>
      </c>
      <c r="F50" s="1005">
        <v>140.24</v>
      </c>
      <c r="G50" s="296">
        <v>10.34</v>
      </c>
      <c r="H50" s="296">
        <v>0</v>
      </c>
      <c r="I50" s="296"/>
      <c r="J50" s="1000">
        <f t="shared" si="3"/>
        <v>143.34200000000001</v>
      </c>
      <c r="K50" s="371" t="s">
        <v>681</v>
      </c>
      <c r="L50" s="98" t="s">
        <v>682</v>
      </c>
      <c r="M50" s="95"/>
      <c r="N50" s="95"/>
      <c r="O50" s="99">
        <v>7</v>
      </c>
      <c r="P50" s="99"/>
      <c r="Q50" s="95" t="s">
        <v>258</v>
      </c>
      <c r="R50" s="100">
        <v>435000</v>
      </c>
      <c r="S50" s="100">
        <v>435000</v>
      </c>
      <c r="T50" s="100"/>
      <c r="U50" s="100">
        <v>453000</v>
      </c>
      <c r="V50" s="100"/>
      <c r="W50" s="101">
        <f t="shared" si="5"/>
        <v>3.9735099337748346E-2</v>
      </c>
      <c r="X50" s="102">
        <f t="shared" si="6"/>
        <v>3034.7002274281085</v>
      </c>
      <c r="Y50" s="102">
        <f>S50/J50</f>
        <v>3034.7002274281085</v>
      </c>
      <c r="Z50" s="102">
        <f>U50/J50</f>
        <v>3160.2740299423754</v>
      </c>
      <c r="AA50" s="102"/>
      <c r="AB50" s="554"/>
      <c r="AC50" s="103">
        <v>45127</v>
      </c>
      <c r="AD50" s="313">
        <v>43500</v>
      </c>
      <c r="AE50" s="313">
        <v>43500</v>
      </c>
      <c r="AF50" s="103">
        <f>AC50+60</f>
        <v>45187</v>
      </c>
      <c r="AG50" s="313"/>
      <c r="AH50" s="103"/>
      <c r="AI50" s="313">
        <v>348000</v>
      </c>
      <c r="AJ50" s="95" t="s">
        <v>247</v>
      </c>
      <c r="AK50" s="95"/>
      <c r="AL50" s="306">
        <v>0.04</v>
      </c>
      <c r="AM50" s="430"/>
      <c r="AN50" s="306"/>
      <c r="AO50" s="306"/>
      <c r="AP50" s="306" t="s">
        <v>312</v>
      </c>
      <c r="AQ50" s="95" t="s">
        <v>312</v>
      </c>
      <c r="AR50" s="104" t="s">
        <v>311</v>
      </c>
      <c r="AS50" s="104" t="s">
        <v>265</v>
      </c>
      <c r="AT50" s="104"/>
      <c r="AU50" s="104"/>
      <c r="AV50" s="104"/>
      <c r="AW50" s="104" t="s">
        <v>18278</v>
      </c>
      <c r="AX50" s="104">
        <v>962390294</v>
      </c>
      <c r="AY50" s="104"/>
      <c r="AZ50" s="104"/>
      <c r="BA50" s="115">
        <f t="shared" si="7"/>
        <v>387023.4</v>
      </c>
      <c r="BB50" s="115">
        <v>2700</v>
      </c>
    </row>
    <row r="51" spans="1:54" s="457" customFormat="1" ht="15">
      <c r="A51" s="95">
        <v>50</v>
      </c>
      <c r="B51" s="96" t="s">
        <v>73</v>
      </c>
      <c r="C51" s="97" t="s">
        <v>89</v>
      </c>
      <c r="D51" s="97">
        <v>2</v>
      </c>
      <c r="E51" s="97" t="s">
        <v>28</v>
      </c>
      <c r="F51" s="1005">
        <v>139.77000000000001</v>
      </c>
      <c r="G51" s="296">
        <v>4.05</v>
      </c>
      <c r="H51" s="296">
        <v>0</v>
      </c>
      <c r="I51" s="296"/>
      <c r="J51" s="1000">
        <f t="shared" si="3"/>
        <v>140.98500000000001</v>
      </c>
      <c r="K51" s="371" t="s">
        <v>683</v>
      </c>
      <c r="L51" s="98" t="s">
        <v>684</v>
      </c>
      <c r="M51" s="95"/>
      <c r="N51" s="95"/>
      <c r="O51" s="99">
        <v>2</v>
      </c>
      <c r="P51" s="99" t="s">
        <v>249</v>
      </c>
      <c r="Q51" s="95" t="s">
        <v>258</v>
      </c>
      <c r="R51" s="100">
        <v>436000</v>
      </c>
      <c r="S51" s="100">
        <v>425000</v>
      </c>
      <c r="T51" s="100">
        <f>0.97*V51</f>
        <v>435530</v>
      </c>
      <c r="U51" s="100">
        <v>442000</v>
      </c>
      <c r="V51" s="100">
        <v>449000</v>
      </c>
      <c r="W51" s="101">
        <f>(T51/V51)-1</f>
        <v>-3.0000000000000027E-2</v>
      </c>
      <c r="X51" s="102">
        <f t="shared" si="6"/>
        <v>3092.5275738553746</v>
      </c>
      <c r="Y51" s="102">
        <f>T51/J51</f>
        <v>3089.1938858743833</v>
      </c>
      <c r="Z51" s="102">
        <f>V51/J51</f>
        <v>3184.7359648189522</v>
      </c>
      <c r="AA51" s="102"/>
      <c r="AB51" s="554">
        <v>45351</v>
      </c>
      <c r="AC51" s="103">
        <v>45803</v>
      </c>
      <c r="AD51" s="313">
        <v>87200</v>
      </c>
      <c r="AE51" s="313"/>
      <c r="AF51" s="103"/>
      <c r="AG51" s="313"/>
      <c r="AH51" s="103"/>
      <c r="AI51" s="313">
        <f>80%*436000</f>
        <v>348800</v>
      </c>
      <c r="AJ51" s="95" t="s">
        <v>326</v>
      </c>
      <c r="AK51" s="95"/>
      <c r="AL51" s="306">
        <v>0.04</v>
      </c>
      <c r="AM51" s="430"/>
      <c r="AN51" s="306"/>
      <c r="AO51" s="306"/>
      <c r="AP51" s="306"/>
      <c r="AQ51" s="95"/>
      <c r="AR51" s="132" t="s">
        <v>18020</v>
      </c>
      <c r="AS51" s="132" t="s">
        <v>17421</v>
      </c>
      <c r="AT51" s="132"/>
      <c r="AU51" s="132"/>
      <c r="AV51" s="132"/>
      <c r="AW51" s="132"/>
      <c r="AX51" s="132"/>
      <c r="AY51" s="132"/>
      <c r="AZ51" s="132"/>
      <c r="BA51" s="115">
        <f t="shared" si="7"/>
        <v>380659.50000000006</v>
      </c>
      <c r="BB51" s="115">
        <v>2700</v>
      </c>
    </row>
    <row r="52" spans="1:54" s="457" customFormat="1" ht="15">
      <c r="A52" s="95">
        <v>51</v>
      </c>
      <c r="B52" s="96" t="s">
        <v>74</v>
      </c>
      <c r="C52" s="97" t="s">
        <v>90</v>
      </c>
      <c r="D52" s="97">
        <v>2</v>
      </c>
      <c r="E52" s="97" t="s">
        <v>28</v>
      </c>
      <c r="F52" s="1005">
        <v>63.53</v>
      </c>
      <c r="G52" s="296">
        <v>3.75</v>
      </c>
      <c r="H52" s="296">
        <v>0</v>
      </c>
      <c r="I52" s="296"/>
      <c r="J52" s="1000">
        <f t="shared" si="3"/>
        <v>64.655000000000001</v>
      </c>
      <c r="K52" s="371" t="s">
        <v>635</v>
      </c>
      <c r="L52" s="95"/>
      <c r="M52" s="95"/>
      <c r="N52" s="95"/>
      <c r="O52" s="99">
        <v>32</v>
      </c>
      <c r="P52" s="99" t="s">
        <v>249</v>
      </c>
      <c r="Q52" s="95" t="s">
        <v>258</v>
      </c>
      <c r="R52" s="100">
        <v>189150</v>
      </c>
      <c r="S52" s="95"/>
      <c r="T52" s="95"/>
      <c r="U52" s="100">
        <v>195000</v>
      </c>
      <c r="V52" s="100"/>
      <c r="W52" s="101">
        <f t="shared" si="5"/>
        <v>0.03</v>
      </c>
      <c r="X52" s="102">
        <f t="shared" si="6"/>
        <v>2925.5278014074702</v>
      </c>
      <c r="Y52" s="102">
        <f>U52/J52</f>
        <v>3016.0080426881136</v>
      </c>
      <c r="Z52" s="102"/>
      <c r="AA52" s="102" t="s">
        <v>215</v>
      </c>
      <c r="AB52" s="554"/>
      <c r="AC52" s="103">
        <v>44875</v>
      </c>
      <c r="AD52" s="313">
        <v>37830</v>
      </c>
      <c r="AE52" s="313"/>
      <c r="AF52" s="103"/>
      <c r="AG52" s="313"/>
      <c r="AH52" s="103"/>
      <c r="AI52" s="313">
        <v>151320</v>
      </c>
      <c r="AJ52" s="95" t="s">
        <v>222</v>
      </c>
      <c r="AK52" s="95"/>
      <c r="AL52" s="306">
        <v>0.04</v>
      </c>
      <c r="AM52" s="430"/>
      <c r="AN52" s="306"/>
      <c r="AO52" s="306"/>
      <c r="AP52" s="306" t="s">
        <v>215</v>
      </c>
      <c r="AQ52" s="95" t="s">
        <v>215</v>
      </c>
      <c r="AR52" s="104" t="s">
        <v>17917</v>
      </c>
      <c r="AS52" s="104" t="s">
        <v>514</v>
      </c>
      <c r="AT52" s="104"/>
      <c r="AU52" s="104"/>
      <c r="AV52" s="104"/>
      <c r="AW52" s="104" t="s">
        <v>18279</v>
      </c>
      <c r="AX52" s="104">
        <v>965514079</v>
      </c>
      <c r="AY52" s="104"/>
      <c r="AZ52" s="104"/>
      <c r="BA52" s="115">
        <f t="shared" si="7"/>
        <v>174568.5</v>
      </c>
      <c r="BB52" s="115">
        <v>2700</v>
      </c>
    </row>
    <row r="53" spans="1:54" s="457" customFormat="1" ht="15.75" thickBot="1">
      <c r="A53" s="95">
        <v>52</v>
      </c>
      <c r="B53" s="96" t="s">
        <v>75</v>
      </c>
      <c r="C53" s="97" t="s">
        <v>91</v>
      </c>
      <c r="D53" s="97">
        <v>2</v>
      </c>
      <c r="E53" s="97" t="s">
        <v>28</v>
      </c>
      <c r="F53" s="1006">
        <v>90.97</v>
      </c>
      <c r="G53" s="296">
        <v>3.73</v>
      </c>
      <c r="H53" s="296">
        <v>0</v>
      </c>
      <c r="I53" s="296"/>
      <c r="J53" s="1000">
        <f t="shared" si="3"/>
        <v>92.088999999999999</v>
      </c>
      <c r="K53" s="372" t="s">
        <v>636</v>
      </c>
      <c r="L53" s="95"/>
      <c r="M53" s="95"/>
      <c r="N53" s="95"/>
      <c r="O53" s="300">
        <v>12</v>
      </c>
      <c r="P53" s="1158" t="s">
        <v>249</v>
      </c>
      <c r="Q53" s="95" t="s">
        <v>258</v>
      </c>
      <c r="R53" s="100">
        <v>360000</v>
      </c>
      <c r="S53" s="100">
        <v>356000</v>
      </c>
      <c r="T53" s="100">
        <f>0.97*V53</f>
        <v>362780</v>
      </c>
      <c r="U53" s="100">
        <v>348000</v>
      </c>
      <c r="V53" s="100">
        <v>374000</v>
      </c>
      <c r="W53" s="101">
        <f>(T53/V53)-1</f>
        <v>-3.0000000000000027E-2</v>
      </c>
      <c r="X53" s="102">
        <f t="shared" si="6"/>
        <v>3909.2616924931317</v>
      </c>
      <c r="Y53" s="102">
        <f>T53/J53</f>
        <v>3939.4498800073843</v>
      </c>
      <c r="Z53" s="102">
        <f>V53/J53</f>
        <v>4061.2885360900868</v>
      </c>
      <c r="AA53" s="102"/>
      <c r="AB53" s="554"/>
      <c r="AC53" s="1494">
        <v>45666</v>
      </c>
      <c r="AD53" s="1495">
        <v>108000</v>
      </c>
      <c r="AE53" s="1495"/>
      <c r="AF53" s="1496"/>
      <c r="AG53" s="1495"/>
      <c r="AH53" s="1496"/>
      <c r="AI53" s="1495">
        <v>252000</v>
      </c>
      <c r="AJ53" s="95" t="s">
        <v>222</v>
      </c>
      <c r="AK53" s="95"/>
      <c r="AL53" s="306">
        <v>0.04</v>
      </c>
      <c r="AM53" s="430"/>
      <c r="AN53" s="306"/>
      <c r="AO53" s="306"/>
      <c r="AP53" s="306"/>
      <c r="AQ53" s="95"/>
      <c r="AR53" s="95" t="s">
        <v>17821</v>
      </c>
      <c r="AS53" s="104" t="s">
        <v>265</v>
      </c>
      <c r="AT53" s="104"/>
      <c r="AU53" s="104"/>
      <c r="AV53" s="104"/>
      <c r="AW53" s="95" t="s">
        <v>18280</v>
      </c>
      <c r="AX53" s="95">
        <v>965094043</v>
      </c>
      <c r="AY53" s="1497"/>
      <c r="AZ53" s="1497"/>
      <c r="BA53" s="115">
        <f t="shared" si="7"/>
        <v>248640.3</v>
      </c>
      <c r="BB53" s="115">
        <v>2700</v>
      </c>
    </row>
    <row r="54" spans="1:54" s="457" customFormat="1" ht="15">
      <c r="A54" s="95">
        <v>53</v>
      </c>
      <c r="B54" s="96" t="s">
        <v>76</v>
      </c>
      <c r="C54" s="97" t="s">
        <v>91</v>
      </c>
      <c r="D54" s="97">
        <v>3</v>
      </c>
      <c r="E54" s="97" t="s">
        <v>38</v>
      </c>
      <c r="F54" s="1003">
        <v>104.89</v>
      </c>
      <c r="G54" s="296">
        <v>6.65</v>
      </c>
      <c r="H54" s="296">
        <v>0</v>
      </c>
      <c r="I54" s="296"/>
      <c r="J54" s="1000">
        <f t="shared" si="3"/>
        <v>106.88500000000001</v>
      </c>
      <c r="K54" s="370" t="s">
        <v>685</v>
      </c>
      <c r="L54" s="98" t="s">
        <v>686</v>
      </c>
      <c r="M54" s="95"/>
      <c r="N54" s="95"/>
      <c r="O54" s="232">
        <v>58</v>
      </c>
      <c r="P54" s="232"/>
      <c r="Q54" s="95" t="s">
        <v>258</v>
      </c>
      <c r="R54" s="100">
        <v>353000</v>
      </c>
      <c r="S54" s="95"/>
      <c r="T54" s="95"/>
      <c r="U54" s="100">
        <v>353000</v>
      </c>
      <c r="V54" s="100"/>
      <c r="W54" s="101">
        <f t="shared" si="5"/>
        <v>0</v>
      </c>
      <c r="X54" s="102">
        <f t="shared" si="6"/>
        <v>3302.614960003742</v>
      </c>
      <c r="Y54" s="102">
        <f>U54/J54</f>
        <v>3302.614960003742</v>
      </c>
      <c r="Z54" s="102"/>
      <c r="AA54" s="102" t="s">
        <v>215</v>
      </c>
      <c r="AB54" s="554"/>
      <c r="AC54" s="103">
        <v>44964</v>
      </c>
      <c r="AD54" s="313">
        <v>70600</v>
      </c>
      <c r="AE54" s="313">
        <v>35300</v>
      </c>
      <c r="AF54" s="103">
        <v>45329</v>
      </c>
      <c r="AG54" s="313"/>
      <c r="AH54" s="103"/>
      <c r="AI54" s="313">
        <v>247100</v>
      </c>
      <c r="AJ54" s="95" t="s">
        <v>222</v>
      </c>
      <c r="AK54" s="95"/>
      <c r="AL54" s="306">
        <v>0.04</v>
      </c>
      <c r="AM54" s="430"/>
      <c r="AN54" s="306"/>
      <c r="AO54" s="306"/>
      <c r="AP54" s="306" t="s">
        <v>215</v>
      </c>
      <c r="AQ54" s="95" t="s">
        <v>215</v>
      </c>
      <c r="AR54" s="104" t="s">
        <v>338</v>
      </c>
      <c r="AS54" s="104" t="s">
        <v>265</v>
      </c>
      <c r="AT54" s="104"/>
      <c r="AU54" s="104"/>
      <c r="AV54" s="104"/>
      <c r="AW54" s="104" t="s">
        <v>18281</v>
      </c>
      <c r="AX54" s="104">
        <v>910990046</v>
      </c>
      <c r="AY54" s="104"/>
      <c r="AZ54" s="104"/>
      <c r="BA54" s="115">
        <f t="shared" si="7"/>
        <v>288589.5</v>
      </c>
      <c r="BB54" s="115">
        <v>2700</v>
      </c>
    </row>
    <row r="55" spans="1:54" s="457" customFormat="1" ht="15">
      <c r="A55" s="95">
        <v>54</v>
      </c>
      <c r="B55" s="96" t="s">
        <v>77</v>
      </c>
      <c r="C55" s="97" t="s">
        <v>90</v>
      </c>
      <c r="D55" s="97">
        <v>3</v>
      </c>
      <c r="E55" s="97" t="s">
        <v>38</v>
      </c>
      <c r="F55" s="1005">
        <v>69.959999999999994</v>
      </c>
      <c r="G55" s="296">
        <v>6.63</v>
      </c>
      <c r="H55" s="296">
        <v>0</v>
      </c>
      <c r="I55" s="296"/>
      <c r="J55" s="1000">
        <f t="shared" si="3"/>
        <v>71.948999999999998</v>
      </c>
      <c r="K55" s="371" t="s">
        <v>637</v>
      </c>
      <c r="L55" s="95"/>
      <c r="M55" s="95"/>
      <c r="N55" s="95"/>
      <c r="O55" s="105">
        <v>48</v>
      </c>
      <c r="P55" s="105" t="s">
        <v>249</v>
      </c>
      <c r="Q55" s="95" t="s">
        <v>258</v>
      </c>
      <c r="R55" s="100">
        <v>223000</v>
      </c>
      <c r="S55" s="115">
        <v>223000</v>
      </c>
      <c r="T55" s="115"/>
      <c r="U55" s="100">
        <v>223000</v>
      </c>
      <c r="V55" s="100"/>
      <c r="W55" s="101">
        <f t="shared" si="5"/>
        <v>0</v>
      </c>
      <c r="X55" s="102">
        <f t="shared" si="6"/>
        <v>3099.4176430527182</v>
      </c>
      <c r="Y55" s="102">
        <f>S55/J55</f>
        <v>3099.4176430527182</v>
      </c>
      <c r="Z55" s="102">
        <f>U55/J55</f>
        <v>3099.4176430527182</v>
      </c>
      <c r="AA55" s="102" t="s">
        <v>312</v>
      </c>
      <c r="AB55" s="554"/>
      <c r="AC55" s="103">
        <v>45084</v>
      </c>
      <c r="AD55" s="313">
        <v>44600</v>
      </c>
      <c r="AE55" s="313"/>
      <c r="AF55" s="103"/>
      <c r="AG55" s="313"/>
      <c r="AH55" s="103"/>
      <c r="AI55" s="313">
        <v>178400</v>
      </c>
      <c r="AJ55" s="95" t="s">
        <v>274</v>
      </c>
      <c r="AK55" s="95"/>
      <c r="AL55" s="306">
        <v>0.04</v>
      </c>
      <c r="AM55" s="430"/>
      <c r="AN55" s="306"/>
      <c r="AO55" s="306"/>
      <c r="AP55" s="306" t="s">
        <v>249</v>
      </c>
      <c r="AQ55" s="306" t="s">
        <v>249</v>
      </c>
      <c r="AR55" s="104" t="s">
        <v>328</v>
      </c>
      <c r="AS55" s="104" t="s">
        <v>517</v>
      </c>
      <c r="AT55" s="104"/>
      <c r="AU55" s="104"/>
      <c r="AV55" s="104"/>
      <c r="AW55" s="104" t="s">
        <v>18282</v>
      </c>
      <c r="AX55" s="104">
        <f>972-52-7467506</f>
        <v>-7466586</v>
      </c>
      <c r="AY55" s="104" t="s">
        <v>215</v>
      </c>
      <c r="AZ55" s="104"/>
      <c r="BA55" s="115">
        <f t="shared" si="7"/>
        <v>194262.3</v>
      </c>
      <c r="BB55" s="115">
        <v>2700</v>
      </c>
    </row>
    <row r="56" spans="1:54" s="457" customFormat="1" ht="15">
      <c r="A56" s="95">
        <v>55</v>
      </c>
      <c r="B56" s="96" t="s">
        <v>78</v>
      </c>
      <c r="C56" s="97" t="s">
        <v>90</v>
      </c>
      <c r="D56" s="97">
        <v>3</v>
      </c>
      <c r="E56" s="97" t="s">
        <v>38</v>
      </c>
      <c r="F56" s="1005">
        <v>69.94</v>
      </c>
      <c r="G56" s="296">
        <v>6.62</v>
      </c>
      <c r="H56" s="296">
        <v>0</v>
      </c>
      <c r="I56" s="296"/>
      <c r="J56" s="1000">
        <f t="shared" si="3"/>
        <v>71.926000000000002</v>
      </c>
      <c r="K56" s="371" t="s">
        <v>638</v>
      </c>
      <c r="L56" s="95"/>
      <c r="M56" s="95"/>
      <c r="N56" s="115"/>
      <c r="O56" s="99">
        <v>49</v>
      </c>
      <c r="P56" s="99" t="s">
        <v>249</v>
      </c>
      <c r="Q56" s="95" t="s">
        <v>258</v>
      </c>
      <c r="R56" s="100">
        <v>270000</v>
      </c>
      <c r="S56" s="100">
        <v>271000</v>
      </c>
      <c r="T56" s="100">
        <f>0.97*U56</f>
        <v>262870</v>
      </c>
      <c r="U56" s="100">
        <v>271000</v>
      </c>
      <c r="V56" s="100">
        <v>271000</v>
      </c>
      <c r="W56" s="101">
        <f t="shared" si="5"/>
        <v>3.6900369003690036E-3</v>
      </c>
      <c r="X56" s="102">
        <f t="shared" si="6"/>
        <v>3753.8581319689679</v>
      </c>
      <c r="Y56" s="102">
        <f>U56/J56</f>
        <v>3767.7613102355199</v>
      </c>
      <c r="Z56" s="102">
        <f>U56/J56</f>
        <v>3767.7613102355199</v>
      </c>
      <c r="AA56" s="102"/>
      <c r="AB56" s="554">
        <v>45776</v>
      </c>
      <c r="AC56" s="103">
        <v>45793</v>
      </c>
      <c r="AD56" s="313">
        <f>20%*R56</f>
        <v>54000</v>
      </c>
      <c r="AE56" s="313"/>
      <c r="AF56" s="132"/>
      <c r="AG56" s="313"/>
      <c r="AH56" s="132"/>
      <c r="AI56" s="313">
        <f>80%*270000</f>
        <v>216000</v>
      </c>
      <c r="AJ56" s="95" t="s">
        <v>247</v>
      </c>
      <c r="AK56" s="95"/>
      <c r="AL56" s="306"/>
      <c r="AM56" s="430"/>
      <c r="AN56" s="306"/>
      <c r="AO56" s="306"/>
      <c r="AP56" s="306"/>
      <c r="AQ56" s="95"/>
      <c r="AR56" s="104" t="s">
        <v>17922</v>
      </c>
      <c r="AS56" s="104" t="s">
        <v>565</v>
      </c>
      <c r="AT56" s="104"/>
      <c r="AU56" s="104"/>
      <c r="AV56" s="104"/>
      <c r="AW56" s="104" t="s">
        <v>18283</v>
      </c>
      <c r="AX56" s="104">
        <v>914956988</v>
      </c>
      <c r="AY56" s="104"/>
      <c r="AZ56" s="104"/>
      <c r="BA56" s="115">
        <f t="shared" si="7"/>
        <v>194200.2</v>
      </c>
      <c r="BB56" s="115">
        <v>2700</v>
      </c>
    </row>
    <row r="57" spans="1:54" s="457" customFormat="1" ht="15">
      <c r="A57" s="95">
        <v>56</v>
      </c>
      <c r="B57" s="96" t="s">
        <v>79</v>
      </c>
      <c r="C57" s="97" t="s">
        <v>91</v>
      </c>
      <c r="D57" s="97">
        <v>3</v>
      </c>
      <c r="E57" s="97" t="s">
        <v>38</v>
      </c>
      <c r="F57" s="1005">
        <v>102.6</v>
      </c>
      <c r="G57" s="296">
        <v>6.27</v>
      </c>
      <c r="H57" s="296">
        <v>0</v>
      </c>
      <c r="I57" s="296"/>
      <c r="J57" s="1000">
        <f t="shared" si="3"/>
        <v>104.48099999999999</v>
      </c>
      <c r="K57" s="371" t="s">
        <v>688</v>
      </c>
      <c r="L57" s="98" t="s">
        <v>687</v>
      </c>
      <c r="M57" s="95"/>
      <c r="N57" s="95"/>
      <c r="O57" s="105">
        <v>54</v>
      </c>
      <c r="P57" s="105"/>
      <c r="Q57" s="95" t="s">
        <v>258</v>
      </c>
      <c r="R57" s="100">
        <v>323000</v>
      </c>
      <c r="S57" s="95"/>
      <c r="T57" s="95"/>
      <c r="U57" s="100">
        <v>340000</v>
      </c>
      <c r="V57" s="100"/>
      <c r="W57" s="101">
        <f t="shared" si="5"/>
        <v>0.05</v>
      </c>
      <c r="X57" s="102">
        <f t="shared" si="6"/>
        <v>3091.4711765775596</v>
      </c>
      <c r="Y57" s="102">
        <f>U57/J57</f>
        <v>3254.1801858711156</v>
      </c>
      <c r="Z57" s="102"/>
      <c r="AA57" s="102" t="s">
        <v>215</v>
      </c>
      <c r="AB57" s="554"/>
      <c r="AC57" s="103">
        <v>44881</v>
      </c>
      <c r="AD57" s="325">
        <v>64600</v>
      </c>
      <c r="AE57" s="313"/>
      <c r="AF57" s="103"/>
      <c r="AG57" s="313"/>
      <c r="AH57" s="103"/>
      <c r="AI57" s="313">
        <v>258400</v>
      </c>
      <c r="AJ57" s="95" t="s">
        <v>326</v>
      </c>
      <c r="AK57" s="95"/>
      <c r="AL57" s="306">
        <v>0.04</v>
      </c>
      <c r="AM57" s="430"/>
      <c r="AN57" s="306"/>
      <c r="AO57" s="306"/>
      <c r="AP57" s="306" t="s">
        <v>249</v>
      </c>
      <c r="AQ57" s="306" t="s">
        <v>249</v>
      </c>
      <c r="AR57" s="104" t="s">
        <v>250</v>
      </c>
      <c r="AS57" s="104" t="s">
        <v>517</v>
      </c>
      <c r="AT57" s="104"/>
      <c r="AU57" s="104"/>
      <c r="AV57" s="104"/>
      <c r="AW57" s="104" t="s">
        <v>18284</v>
      </c>
      <c r="AX57" s="104">
        <f>972-52-5575654</f>
        <v>-5574734</v>
      </c>
      <c r="AY57" s="104"/>
      <c r="AZ57" s="104"/>
      <c r="BA57" s="115">
        <f t="shared" si="7"/>
        <v>282098.7</v>
      </c>
      <c r="BB57" s="115">
        <v>2700</v>
      </c>
    </row>
    <row r="58" spans="1:54" s="457" customFormat="1" ht="15">
      <c r="A58" s="95">
        <v>57</v>
      </c>
      <c r="B58" s="96" t="s">
        <v>80</v>
      </c>
      <c r="C58" s="97" t="s">
        <v>91</v>
      </c>
      <c r="D58" s="97">
        <v>3</v>
      </c>
      <c r="E58" s="97" t="s">
        <v>38</v>
      </c>
      <c r="F58" s="1005">
        <v>81.28</v>
      </c>
      <c r="G58" s="296">
        <v>6.27</v>
      </c>
      <c r="H58" s="296">
        <v>0</v>
      </c>
      <c r="I58" s="296"/>
      <c r="J58" s="1000">
        <f t="shared" si="3"/>
        <v>83.161000000000001</v>
      </c>
      <c r="K58" s="371" t="s">
        <v>639</v>
      </c>
      <c r="L58" s="95"/>
      <c r="M58" s="95"/>
      <c r="N58" s="95"/>
      <c r="O58" s="99">
        <v>70</v>
      </c>
      <c r="P58" s="99" t="s">
        <v>249</v>
      </c>
      <c r="Q58" s="95" t="s">
        <v>258</v>
      </c>
      <c r="R58" s="100">
        <v>340000</v>
      </c>
      <c r="S58" s="100">
        <v>327000</v>
      </c>
      <c r="T58" s="100">
        <v>340000</v>
      </c>
      <c r="U58" s="100">
        <v>340000</v>
      </c>
      <c r="V58" s="100"/>
      <c r="W58" s="101">
        <f t="shared" si="5"/>
        <v>0</v>
      </c>
      <c r="X58" s="102">
        <f t="shared" si="6"/>
        <v>4088.4549247844543</v>
      </c>
      <c r="Y58" s="102">
        <f>S58/J58</f>
        <v>3932.1316482485781</v>
      </c>
      <c r="Z58" s="102">
        <f>U58/J58</f>
        <v>4088.4549247844543</v>
      </c>
      <c r="AA58" s="102"/>
      <c r="AB58" s="554"/>
      <c r="AC58" s="113">
        <v>45223</v>
      </c>
      <c r="AD58" s="602">
        <v>68000</v>
      </c>
      <c r="AE58" s="325">
        <v>34000</v>
      </c>
      <c r="AF58" s="113">
        <f>AC58+365</f>
        <v>45588</v>
      </c>
      <c r="AG58" s="325"/>
      <c r="AH58" s="112"/>
      <c r="AI58" s="325">
        <v>238000</v>
      </c>
      <c r="AJ58" s="95" t="s">
        <v>326</v>
      </c>
      <c r="AK58" s="95"/>
      <c r="AL58" s="306">
        <v>0.04</v>
      </c>
      <c r="AM58" s="430"/>
      <c r="AN58" s="306"/>
      <c r="AO58" s="306"/>
      <c r="AP58" s="306"/>
      <c r="AQ58" s="95"/>
      <c r="AR58" s="112" t="s">
        <v>17183</v>
      </c>
      <c r="AS58" s="112" t="s">
        <v>517</v>
      </c>
      <c r="AT58" s="112"/>
      <c r="AU58" s="112"/>
      <c r="AV58" s="112"/>
      <c r="AW58" s="112" t="s">
        <v>18285</v>
      </c>
      <c r="AX58" s="112" t="s">
        <v>18286</v>
      </c>
      <c r="AY58" s="112"/>
      <c r="AZ58" s="112"/>
      <c r="BA58" s="115">
        <f t="shared" si="7"/>
        <v>224534.7</v>
      </c>
      <c r="BB58" s="115">
        <v>2700</v>
      </c>
    </row>
    <row r="59" spans="1:54" s="457" customFormat="1" ht="15">
      <c r="A59" s="95">
        <v>58</v>
      </c>
      <c r="B59" s="96" t="s">
        <v>81</v>
      </c>
      <c r="C59" s="97" t="s">
        <v>89</v>
      </c>
      <c r="D59" s="97">
        <v>3</v>
      </c>
      <c r="E59" s="97" t="s">
        <v>38</v>
      </c>
      <c r="F59" s="1005">
        <v>136.19999999999999</v>
      </c>
      <c r="G59" s="296">
        <v>6.62</v>
      </c>
      <c r="H59" s="296">
        <v>90.55</v>
      </c>
      <c r="I59" s="296"/>
      <c r="J59" s="1000">
        <f t="shared" si="3"/>
        <v>156.29599999999999</v>
      </c>
      <c r="K59" s="371" t="s">
        <v>689</v>
      </c>
      <c r="L59" s="98" t="s">
        <v>691</v>
      </c>
      <c r="M59" s="95"/>
      <c r="N59" s="95"/>
      <c r="O59" s="105">
        <v>8</v>
      </c>
      <c r="P59" s="105" t="s">
        <v>249</v>
      </c>
      <c r="Q59" s="95" t="s">
        <v>258</v>
      </c>
      <c r="R59" s="100">
        <v>506880</v>
      </c>
      <c r="S59" s="1828">
        <v>508000</v>
      </c>
      <c r="T59" s="100"/>
      <c r="U59" s="100">
        <v>528000</v>
      </c>
      <c r="V59" s="100"/>
      <c r="W59" s="101">
        <f t="shared" si="5"/>
        <v>0.04</v>
      </c>
      <c r="X59" s="102">
        <f t="shared" si="6"/>
        <v>3243.0772380611152</v>
      </c>
      <c r="Y59" s="102">
        <f>S59/J59</f>
        <v>3250.2431284229924</v>
      </c>
      <c r="Z59" s="102">
        <f>U59/J59</f>
        <v>3378.2054563136612</v>
      </c>
      <c r="AA59" s="102"/>
      <c r="AB59" s="554"/>
      <c r="AC59" s="103">
        <v>45232</v>
      </c>
      <c r="AD59" s="313">
        <v>50688</v>
      </c>
      <c r="AE59" s="313">
        <v>50688</v>
      </c>
      <c r="AF59" s="103">
        <f>182+AC59</f>
        <v>45414</v>
      </c>
      <c r="AG59" s="313">
        <v>50688</v>
      </c>
      <c r="AH59" s="103">
        <f>365+AC59</f>
        <v>45597</v>
      </c>
      <c r="AI59" s="313">
        <v>354816</v>
      </c>
      <c r="AJ59" s="95" t="s">
        <v>222</v>
      </c>
      <c r="AK59" s="95"/>
      <c r="AL59" s="306">
        <v>0.04</v>
      </c>
      <c r="AM59" s="430">
        <v>136</v>
      </c>
      <c r="AN59" s="306"/>
      <c r="AO59" s="306"/>
      <c r="AP59" s="306"/>
      <c r="AQ59" s="95"/>
      <c r="AR59" s="104" t="s">
        <v>17227</v>
      </c>
      <c r="AS59" s="104" t="s">
        <v>565</v>
      </c>
      <c r="AT59" s="104"/>
      <c r="AU59" s="104"/>
      <c r="AV59" s="104"/>
      <c r="AW59" s="104" t="s">
        <v>18287</v>
      </c>
      <c r="AX59" s="104">
        <v>937682296</v>
      </c>
      <c r="AY59" s="104"/>
      <c r="AZ59" s="104"/>
      <c r="BA59" s="115">
        <f t="shared" si="7"/>
        <v>421999.19999999995</v>
      </c>
      <c r="BB59" s="115">
        <v>2700</v>
      </c>
    </row>
    <row r="60" spans="1:54" s="457" customFormat="1" ht="15">
      <c r="A60" s="95">
        <v>59</v>
      </c>
      <c r="B60" s="96" t="s">
        <v>82</v>
      </c>
      <c r="C60" s="97" t="s">
        <v>91</v>
      </c>
      <c r="D60" s="97">
        <v>3</v>
      </c>
      <c r="E60" s="97" t="s">
        <v>28</v>
      </c>
      <c r="F60" s="1005">
        <v>95.94</v>
      </c>
      <c r="G60" s="296">
        <v>9.5399999999999991</v>
      </c>
      <c r="H60" s="296">
        <v>70.709999999999994</v>
      </c>
      <c r="I60" s="296"/>
      <c r="J60" s="1000">
        <f t="shared" si="3"/>
        <v>112.94399999999999</v>
      </c>
      <c r="K60" s="371" t="s">
        <v>690</v>
      </c>
      <c r="L60" s="98" t="s">
        <v>692</v>
      </c>
      <c r="M60" s="95">
        <v>440000</v>
      </c>
      <c r="N60" s="95">
        <f>M60/J60</f>
        <v>3895.7359399348352</v>
      </c>
      <c r="O60" s="99">
        <v>40</v>
      </c>
      <c r="P60" s="99"/>
      <c r="Q60" s="95" t="s">
        <v>258</v>
      </c>
      <c r="R60" s="100">
        <f>S60*0.91</f>
        <v>327600</v>
      </c>
      <c r="S60" s="583">
        <v>360000</v>
      </c>
      <c r="T60" s="102"/>
      <c r="U60" s="100">
        <v>373000</v>
      </c>
      <c r="V60" s="100"/>
      <c r="W60" s="101">
        <f t="shared" si="5"/>
        <v>0.12171581769436997</v>
      </c>
      <c r="X60" s="102">
        <f t="shared" si="6"/>
        <v>2900.5524861878457</v>
      </c>
      <c r="Y60" s="102">
        <f t="shared" ref="Y60:Y65" si="8">U60/J60</f>
        <v>3302.5216036265765</v>
      </c>
      <c r="Z60" s="102"/>
      <c r="AA60" s="102" t="s">
        <v>215</v>
      </c>
      <c r="AB60" s="554"/>
      <c r="AC60" s="305">
        <v>45050</v>
      </c>
      <c r="AD60" s="327">
        <v>32760</v>
      </c>
      <c r="AE60" s="327"/>
      <c r="AF60" s="305"/>
      <c r="AG60" s="327"/>
      <c r="AH60" s="305"/>
      <c r="AI60" s="327">
        <v>294840</v>
      </c>
      <c r="AJ60" s="95" t="s">
        <v>274</v>
      </c>
      <c r="AK60" s="95"/>
      <c r="AL60" s="306"/>
      <c r="AM60" s="430"/>
      <c r="AN60" s="306"/>
      <c r="AO60" s="306"/>
      <c r="AP60" s="306" t="s">
        <v>215</v>
      </c>
      <c r="AQ60" s="306" t="s">
        <v>215</v>
      </c>
      <c r="AR60" s="330" t="s">
        <v>564</v>
      </c>
      <c r="AS60" s="330" t="s">
        <v>517</v>
      </c>
      <c r="AT60" s="330"/>
      <c r="AU60" s="330"/>
      <c r="AV60" s="330"/>
      <c r="AW60" s="330" t="s">
        <v>17762</v>
      </c>
      <c r="AX60" s="330" t="s">
        <v>455</v>
      </c>
      <c r="AY60" s="134"/>
      <c r="AZ60" s="134"/>
      <c r="BA60" s="115">
        <f t="shared" si="7"/>
        <v>304948.8</v>
      </c>
      <c r="BB60" s="115">
        <v>2700</v>
      </c>
    </row>
    <row r="61" spans="1:54" s="457" customFormat="1" ht="15">
      <c r="A61" s="95">
        <v>60</v>
      </c>
      <c r="B61" s="96" t="s">
        <v>83</v>
      </c>
      <c r="C61" s="97" t="s">
        <v>90</v>
      </c>
      <c r="D61" s="97">
        <v>3</v>
      </c>
      <c r="E61" s="97" t="s">
        <v>28</v>
      </c>
      <c r="F61" s="1005">
        <v>76.319999999999993</v>
      </c>
      <c r="G61" s="296">
        <v>10.54</v>
      </c>
      <c r="H61" s="296">
        <v>0</v>
      </c>
      <c r="I61" s="296"/>
      <c r="J61" s="1000">
        <f t="shared" si="3"/>
        <v>79.481999999999999</v>
      </c>
      <c r="K61" s="371" t="s">
        <v>640</v>
      </c>
      <c r="L61" s="95"/>
      <c r="M61" s="95"/>
      <c r="N61" s="95"/>
      <c r="O61" s="105">
        <v>64</v>
      </c>
      <c r="P61" s="105" t="s">
        <v>249</v>
      </c>
      <c r="Q61" s="95" t="s">
        <v>258</v>
      </c>
      <c r="R61" s="100">
        <v>237650</v>
      </c>
      <c r="S61" s="95"/>
      <c r="T61" s="95"/>
      <c r="U61" s="100">
        <v>245000</v>
      </c>
      <c r="V61" s="100"/>
      <c r="W61" s="101">
        <f t="shared" si="5"/>
        <v>0.03</v>
      </c>
      <c r="X61" s="102">
        <f t="shared" si="6"/>
        <v>2989.9851538713169</v>
      </c>
      <c r="Y61" s="102">
        <f t="shared" si="8"/>
        <v>3082.4589215168216</v>
      </c>
      <c r="Z61" s="102"/>
      <c r="AA61" s="102" t="s">
        <v>215</v>
      </c>
      <c r="AB61" s="554"/>
      <c r="AC61" s="103">
        <v>44904</v>
      </c>
      <c r="AD61" s="313">
        <v>47530</v>
      </c>
      <c r="AE61" s="313"/>
      <c r="AF61" s="103"/>
      <c r="AG61" s="313"/>
      <c r="AH61" s="103"/>
      <c r="AI61" s="313">
        <v>190120</v>
      </c>
      <c r="AJ61" s="95" t="s">
        <v>222</v>
      </c>
      <c r="AK61" s="95"/>
      <c r="AL61" s="306">
        <v>0.04</v>
      </c>
      <c r="AM61" s="430"/>
      <c r="AN61" s="306"/>
      <c r="AO61" s="306"/>
      <c r="AP61" s="306" t="s">
        <v>215</v>
      </c>
      <c r="AQ61" s="95" t="s">
        <v>215</v>
      </c>
      <c r="AR61" s="104" t="s">
        <v>267</v>
      </c>
      <c r="AS61" s="104" t="s">
        <v>265</v>
      </c>
      <c r="AT61" s="104"/>
      <c r="AU61" s="104"/>
      <c r="AV61" s="104"/>
      <c r="AW61" s="104" t="s">
        <v>18288</v>
      </c>
      <c r="AX61" s="104">
        <v>919840144</v>
      </c>
      <c r="AY61" s="104"/>
      <c r="AZ61" s="104"/>
      <c r="BA61" s="115">
        <f t="shared" si="7"/>
        <v>214601.4</v>
      </c>
      <c r="BB61" s="115">
        <v>2700</v>
      </c>
    </row>
    <row r="62" spans="1:54" s="457" customFormat="1" ht="15">
      <c r="A62" s="95">
        <v>61</v>
      </c>
      <c r="B62" s="96" t="s">
        <v>84</v>
      </c>
      <c r="C62" s="97" t="s">
        <v>90</v>
      </c>
      <c r="D62" s="97">
        <v>3</v>
      </c>
      <c r="E62" s="97" t="s">
        <v>28</v>
      </c>
      <c r="F62" s="1005">
        <v>70.08</v>
      </c>
      <c r="G62" s="296">
        <v>9.99</v>
      </c>
      <c r="H62" s="296">
        <v>0</v>
      </c>
      <c r="I62" s="296"/>
      <c r="J62" s="1000">
        <f t="shared" si="3"/>
        <v>73.076999999999998</v>
      </c>
      <c r="K62" s="371" t="s">
        <v>641</v>
      </c>
      <c r="L62" s="95"/>
      <c r="M62" s="95"/>
      <c r="N62" s="95"/>
      <c r="O62" s="99">
        <v>61</v>
      </c>
      <c r="P62" s="99"/>
      <c r="Q62" s="95" t="s">
        <v>258</v>
      </c>
      <c r="R62" s="100">
        <f>U62*0.97</f>
        <v>223100</v>
      </c>
      <c r="S62" s="95"/>
      <c r="T62" s="95"/>
      <c r="U62" s="100">
        <v>230000</v>
      </c>
      <c r="V62" s="100"/>
      <c r="W62" s="101">
        <f t="shared" si="5"/>
        <v>0.03</v>
      </c>
      <c r="X62" s="102">
        <f t="shared" si="6"/>
        <v>3052.9441547956267</v>
      </c>
      <c r="Y62" s="102">
        <f t="shared" si="8"/>
        <v>3147.3651080367285</v>
      </c>
      <c r="Z62" s="102"/>
      <c r="AA62" s="102" t="s">
        <v>215</v>
      </c>
      <c r="AB62" s="554"/>
      <c r="AC62" s="103">
        <v>44881</v>
      </c>
      <c r="AD62" s="313">
        <v>44620</v>
      </c>
      <c r="AE62" s="313"/>
      <c r="AF62" s="103"/>
      <c r="AG62" s="313"/>
      <c r="AH62" s="103"/>
      <c r="AI62" s="313">
        <v>178480</v>
      </c>
      <c r="AJ62" s="95" t="s">
        <v>326</v>
      </c>
      <c r="AK62" s="95"/>
      <c r="AL62" s="306">
        <v>0.04</v>
      </c>
      <c r="AM62" s="430"/>
      <c r="AN62" s="306"/>
      <c r="AO62" s="306"/>
      <c r="AP62" s="306" t="s">
        <v>249</v>
      </c>
      <c r="AQ62" s="306" t="s">
        <v>249</v>
      </c>
      <c r="AR62" s="104" t="s">
        <v>250</v>
      </c>
      <c r="AS62" s="104" t="s">
        <v>517</v>
      </c>
      <c r="AT62" s="104"/>
      <c r="AU62" s="104"/>
      <c r="AV62" s="104"/>
      <c r="AW62" s="104" t="s">
        <v>18284</v>
      </c>
      <c r="AX62" s="104">
        <f>972-52-5575654</f>
        <v>-5574734</v>
      </c>
      <c r="AY62" s="104"/>
      <c r="AZ62" s="104"/>
      <c r="BA62" s="115">
        <f t="shared" si="7"/>
        <v>197307.9</v>
      </c>
      <c r="BB62" s="115">
        <v>2700</v>
      </c>
    </row>
    <row r="63" spans="1:54" s="457" customFormat="1" ht="15">
      <c r="A63" s="95">
        <v>62</v>
      </c>
      <c r="B63" s="96" t="s">
        <v>85</v>
      </c>
      <c r="C63" s="97" t="s">
        <v>90</v>
      </c>
      <c r="D63" s="97">
        <v>3</v>
      </c>
      <c r="E63" s="97" t="s">
        <v>28</v>
      </c>
      <c r="F63" s="1005">
        <v>66.680000000000007</v>
      </c>
      <c r="G63" s="296">
        <v>7.1</v>
      </c>
      <c r="H63" s="296">
        <v>0</v>
      </c>
      <c r="I63" s="296"/>
      <c r="J63" s="1000">
        <f t="shared" si="3"/>
        <v>68.81</v>
      </c>
      <c r="K63" s="371" t="s">
        <v>642</v>
      </c>
      <c r="L63" s="95"/>
      <c r="M63" s="95"/>
      <c r="N63" s="95"/>
      <c r="O63" s="99">
        <v>52</v>
      </c>
      <c r="P63" s="99" t="s">
        <v>249</v>
      </c>
      <c r="Q63" s="95" t="s">
        <v>258</v>
      </c>
      <c r="R63" s="100">
        <v>213400</v>
      </c>
      <c r="S63" s="95"/>
      <c r="T63" s="95"/>
      <c r="U63" s="100">
        <v>220000</v>
      </c>
      <c r="V63" s="100"/>
      <c r="W63" s="101">
        <f t="shared" si="5"/>
        <v>0.03</v>
      </c>
      <c r="X63" s="102">
        <f t="shared" si="6"/>
        <v>3101.293416654556</v>
      </c>
      <c r="Y63" s="102">
        <f t="shared" si="8"/>
        <v>3197.2097078912948</v>
      </c>
      <c r="Z63" s="102"/>
      <c r="AA63" s="102" t="s">
        <v>215</v>
      </c>
      <c r="AB63" s="554"/>
      <c r="AC63" s="103">
        <v>44907</v>
      </c>
      <c r="AD63" s="313">
        <v>42680</v>
      </c>
      <c r="AE63" s="313"/>
      <c r="AF63" s="103"/>
      <c r="AG63" s="313"/>
      <c r="AH63" s="103"/>
      <c r="AI63" s="313">
        <v>170720</v>
      </c>
      <c r="AJ63" s="95" t="s">
        <v>222</v>
      </c>
      <c r="AK63" s="95"/>
      <c r="AL63" s="306">
        <v>0.04</v>
      </c>
      <c r="AM63" s="430"/>
      <c r="AN63" s="306"/>
      <c r="AO63" s="306"/>
      <c r="AP63" s="306" t="s">
        <v>215</v>
      </c>
      <c r="AQ63" s="95" t="s">
        <v>215</v>
      </c>
      <c r="AR63" s="104" t="s">
        <v>268</v>
      </c>
      <c r="AS63" s="104" t="s">
        <v>265</v>
      </c>
      <c r="AT63" s="104"/>
      <c r="AU63" s="104"/>
      <c r="AV63" s="104"/>
      <c r="AW63" s="104" t="s">
        <v>18288</v>
      </c>
      <c r="AX63" s="104">
        <v>919840144</v>
      </c>
      <c r="AY63" s="104"/>
      <c r="AZ63" s="104"/>
      <c r="BA63" s="115">
        <f t="shared" si="7"/>
        <v>185787</v>
      </c>
      <c r="BB63" s="115">
        <v>2700</v>
      </c>
    </row>
    <row r="64" spans="1:54" s="457" customFormat="1" ht="15">
      <c r="A64" s="95">
        <v>63</v>
      </c>
      <c r="B64" s="96" t="s">
        <v>86</v>
      </c>
      <c r="C64" s="97" t="s">
        <v>91</v>
      </c>
      <c r="D64" s="97">
        <v>3</v>
      </c>
      <c r="E64" s="97" t="s">
        <v>28</v>
      </c>
      <c r="F64" s="1005">
        <v>106.97</v>
      </c>
      <c r="G64" s="296">
        <v>3.7</v>
      </c>
      <c r="H64" s="296">
        <v>0</v>
      </c>
      <c r="I64" s="296"/>
      <c r="J64" s="1000">
        <f t="shared" si="3"/>
        <v>108.08</v>
      </c>
      <c r="K64" s="371" t="s">
        <v>694</v>
      </c>
      <c r="L64" s="98" t="s">
        <v>693</v>
      </c>
      <c r="M64" s="95"/>
      <c r="N64" s="95"/>
      <c r="O64" s="99">
        <v>59</v>
      </c>
      <c r="P64" s="99" t="s">
        <v>249</v>
      </c>
      <c r="Q64" s="95" t="s">
        <v>258</v>
      </c>
      <c r="R64" s="100">
        <v>374000</v>
      </c>
      <c r="S64" s="115"/>
      <c r="T64" s="115"/>
      <c r="U64" s="100">
        <v>374000</v>
      </c>
      <c r="V64" s="100"/>
      <c r="W64" s="101">
        <f t="shared" si="5"/>
        <v>0</v>
      </c>
      <c r="X64" s="102">
        <f t="shared" si="6"/>
        <v>3460.3997039230198</v>
      </c>
      <c r="Y64" s="102">
        <f t="shared" si="8"/>
        <v>3460.3997039230198</v>
      </c>
      <c r="Z64" s="102"/>
      <c r="AA64" s="102" t="s">
        <v>215</v>
      </c>
      <c r="AB64" s="554"/>
      <c r="AC64" s="103">
        <v>45013</v>
      </c>
      <c r="AD64" s="313">
        <v>74800</v>
      </c>
      <c r="AE64" s="313">
        <v>37400</v>
      </c>
      <c r="AF64" s="103">
        <v>45379</v>
      </c>
      <c r="AG64" s="313"/>
      <c r="AH64" s="103"/>
      <c r="AI64" s="313">
        <v>261800</v>
      </c>
      <c r="AJ64" s="95" t="s">
        <v>222</v>
      </c>
      <c r="AK64" s="95"/>
      <c r="AL64" s="306">
        <v>0.04</v>
      </c>
      <c r="AM64" s="430"/>
      <c r="AN64" s="306"/>
      <c r="AO64" s="306"/>
      <c r="AP64" s="306" t="s">
        <v>215</v>
      </c>
      <c r="AQ64" s="95" t="s">
        <v>215</v>
      </c>
      <c r="AR64" s="104" t="s">
        <v>512</v>
      </c>
      <c r="AS64" s="104" t="s">
        <v>565</v>
      </c>
      <c r="AT64" s="104"/>
      <c r="AU64" s="104"/>
      <c r="AV64" s="104"/>
      <c r="AW64" s="104" t="s">
        <v>18289</v>
      </c>
      <c r="AX64" s="104" t="s">
        <v>18290</v>
      </c>
      <c r="AY64" s="104"/>
      <c r="AZ64" s="104"/>
      <c r="BA64" s="115">
        <f t="shared" si="7"/>
        <v>291816</v>
      </c>
      <c r="BB64" s="115">
        <v>2700</v>
      </c>
    </row>
    <row r="65" spans="1:853" s="457" customFormat="1" ht="15">
      <c r="A65" s="95">
        <v>64</v>
      </c>
      <c r="B65" s="96" t="s">
        <v>87</v>
      </c>
      <c r="C65" s="97" t="s">
        <v>91</v>
      </c>
      <c r="D65" s="97">
        <v>3</v>
      </c>
      <c r="E65" s="97" t="s">
        <v>28</v>
      </c>
      <c r="F65" s="1005">
        <v>108.97</v>
      </c>
      <c r="G65" s="296">
        <v>9.8000000000000007</v>
      </c>
      <c r="H65" s="296">
        <v>0</v>
      </c>
      <c r="I65" s="296"/>
      <c r="J65" s="1000">
        <f t="shared" si="3"/>
        <v>111.91</v>
      </c>
      <c r="K65" s="371" t="s">
        <v>695</v>
      </c>
      <c r="L65" s="98" t="s">
        <v>696</v>
      </c>
      <c r="M65" s="95"/>
      <c r="N65" s="95"/>
      <c r="O65" s="105">
        <v>39</v>
      </c>
      <c r="P65" s="105"/>
      <c r="Q65" s="95" t="s">
        <v>258</v>
      </c>
      <c r="R65" s="100">
        <v>373000</v>
      </c>
      <c r="S65" s="95"/>
      <c r="T65" s="95"/>
      <c r="U65" s="100">
        <v>373000</v>
      </c>
      <c r="V65" s="100"/>
      <c r="W65" s="101">
        <f t="shared" si="5"/>
        <v>0</v>
      </c>
      <c r="X65" s="102">
        <f t="shared" si="6"/>
        <v>3333.0354749352159</v>
      </c>
      <c r="Y65" s="102">
        <f t="shared" si="8"/>
        <v>3333.0354749352159</v>
      </c>
      <c r="Z65" s="102"/>
      <c r="AA65" s="102" t="s">
        <v>215</v>
      </c>
      <c r="AB65" s="554"/>
      <c r="AC65" s="103">
        <v>44977</v>
      </c>
      <c r="AD65" s="313">
        <v>74600</v>
      </c>
      <c r="AE65" s="313">
        <v>37300</v>
      </c>
      <c r="AF65" s="103">
        <v>45342</v>
      </c>
      <c r="AG65" s="313"/>
      <c r="AH65" s="103"/>
      <c r="AI65" s="313">
        <v>261100</v>
      </c>
      <c r="AJ65" s="95" t="s">
        <v>247</v>
      </c>
      <c r="AK65" s="95"/>
      <c r="AL65" s="306">
        <v>0.04</v>
      </c>
      <c r="AM65" s="430"/>
      <c r="AN65" s="306"/>
      <c r="AO65" s="306"/>
      <c r="AP65" s="306" t="s">
        <v>215</v>
      </c>
      <c r="AQ65" s="306" t="s">
        <v>215</v>
      </c>
      <c r="AR65" s="104" t="s">
        <v>311</v>
      </c>
      <c r="AS65" s="104" t="s">
        <v>265</v>
      </c>
      <c r="AT65" s="104"/>
      <c r="AU65" s="104"/>
      <c r="AV65" s="104"/>
      <c r="AW65" s="104" t="s">
        <v>18278</v>
      </c>
      <c r="AX65" s="104">
        <v>962390294</v>
      </c>
      <c r="AY65" s="104"/>
      <c r="AZ65" s="104"/>
      <c r="BA65" s="115">
        <f t="shared" si="7"/>
        <v>302157</v>
      </c>
      <c r="BB65" s="115">
        <v>2700</v>
      </c>
    </row>
    <row r="66" spans="1:853" s="457" customFormat="1" ht="15">
      <c r="A66" s="95">
        <v>65</v>
      </c>
      <c r="B66" s="96" t="s">
        <v>88</v>
      </c>
      <c r="C66" s="97" t="s">
        <v>91</v>
      </c>
      <c r="D66" s="97">
        <v>3</v>
      </c>
      <c r="E66" s="97" t="s">
        <v>28</v>
      </c>
      <c r="F66" s="1005">
        <v>88.12</v>
      </c>
      <c r="G66" s="296">
        <v>9.81</v>
      </c>
      <c r="H66" s="296">
        <v>0</v>
      </c>
      <c r="I66" s="296"/>
      <c r="J66" s="1000">
        <f t="shared" si="3"/>
        <v>91.063000000000002</v>
      </c>
      <c r="K66" s="371" t="s">
        <v>697</v>
      </c>
      <c r="L66" s="98" t="s">
        <v>698</v>
      </c>
      <c r="M66" s="95"/>
      <c r="N66" s="95"/>
      <c r="O66" s="99">
        <v>20</v>
      </c>
      <c r="P66" s="99"/>
      <c r="Q66" s="95" t="s">
        <v>258</v>
      </c>
      <c r="R66" s="100">
        <f>0.95*U66</f>
        <v>337250</v>
      </c>
      <c r="S66" s="100">
        <v>337250</v>
      </c>
      <c r="T66" s="100">
        <v>337250</v>
      </c>
      <c r="U66" s="100">
        <v>355000</v>
      </c>
      <c r="V66" s="100"/>
      <c r="W66" s="101">
        <f t="shared" ref="W66:W78" si="9">(U66-R66)/U66</f>
        <v>0.05</v>
      </c>
      <c r="X66" s="102">
        <f t="shared" ref="X66:X77" si="10">R66/J66</f>
        <v>3703.4800083458704</v>
      </c>
      <c r="Y66" s="102">
        <f>S66/J66</f>
        <v>3703.4800083458704</v>
      </c>
      <c r="Z66" s="102">
        <f>U66/J66</f>
        <v>3898.4000087851268</v>
      </c>
      <c r="AA66" s="102"/>
      <c r="AB66" s="554"/>
      <c r="AC66" s="103">
        <v>45281</v>
      </c>
      <c r="AD66" s="313">
        <v>67450</v>
      </c>
      <c r="AE66" s="313">
        <v>33725</v>
      </c>
      <c r="AF66" s="103">
        <f>365+AC66</f>
        <v>45646</v>
      </c>
      <c r="AG66" s="313"/>
      <c r="AH66" s="103"/>
      <c r="AI66" s="313">
        <v>236075</v>
      </c>
      <c r="AJ66" s="95" t="s">
        <v>222</v>
      </c>
      <c r="AK66" s="95"/>
      <c r="AL66" s="306">
        <v>0.04</v>
      </c>
      <c r="AM66" s="430"/>
      <c r="AN66" s="306"/>
      <c r="AO66" s="306"/>
      <c r="AP66" s="306"/>
      <c r="AQ66" s="95"/>
      <c r="AR66" s="104" t="s">
        <v>17257</v>
      </c>
      <c r="AS66" s="104" t="s">
        <v>265</v>
      </c>
      <c r="AT66" s="104"/>
      <c r="AU66" s="104"/>
      <c r="AV66" s="104"/>
      <c r="AW66" s="104" t="s">
        <v>18291</v>
      </c>
      <c r="AX66" s="104">
        <v>447514049615</v>
      </c>
      <c r="AY66" s="104"/>
      <c r="AZ66" s="104"/>
      <c r="BA66" s="115">
        <f t="shared" ref="BA66:BA78" si="11">BB66*J66</f>
        <v>245870.1</v>
      </c>
      <c r="BB66" s="115">
        <v>2700</v>
      </c>
    </row>
    <row r="67" spans="1:853" s="457" customFormat="1" ht="14.25" customHeight="1">
      <c r="A67" s="95">
        <v>66</v>
      </c>
      <c r="B67" s="96" t="s">
        <v>143</v>
      </c>
      <c r="C67" s="97" t="s">
        <v>90</v>
      </c>
      <c r="D67" s="97">
        <v>3</v>
      </c>
      <c r="E67" s="97" t="s">
        <v>28</v>
      </c>
      <c r="F67" s="1005">
        <v>58</v>
      </c>
      <c r="G67" s="296">
        <v>9.81</v>
      </c>
      <c r="H67" s="296">
        <v>0</v>
      </c>
      <c r="I67" s="296"/>
      <c r="J67" s="1000">
        <f t="shared" ref="J67:J78" si="12">F67+0.3*G67+0.2*H67+0.2*I67</f>
        <v>60.942999999999998</v>
      </c>
      <c r="K67" s="371" t="s">
        <v>643</v>
      </c>
      <c r="L67" s="98"/>
      <c r="M67" s="95"/>
      <c r="N67" s="115"/>
      <c r="O67" s="105">
        <v>35</v>
      </c>
      <c r="P67" s="105"/>
      <c r="Q67" s="95" t="s">
        <v>258</v>
      </c>
      <c r="R67" s="100">
        <v>255000</v>
      </c>
      <c r="S67" s="100">
        <v>244000</v>
      </c>
      <c r="T67" s="100">
        <f>0.97*V67</f>
        <v>247350</v>
      </c>
      <c r="U67" s="100">
        <v>244000</v>
      </c>
      <c r="V67" s="100">
        <v>255000</v>
      </c>
      <c r="W67" s="101">
        <f>(T67/V67)-1</f>
        <v>-3.0000000000000027E-2</v>
      </c>
      <c r="X67" s="102">
        <f t="shared" si="10"/>
        <v>4184.2377303381854</v>
      </c>
      <c r="Y67" s="102">
        <f>T67/J67</f>
        <v>4058.7105984280392</v>
      </c>
      <c r="Z67" s="102">
        <f>V67/J67</f>
        <v>4184.2377303381854</v>
      </c>
      <c r="AA67" s="102"/>
      <c r="AB67" s="554"/>
      <c r="AC67" s="103">
        <v>45386</v>
      </c>
      <c r="AD67" s="313">
        <f>20%*R67</f>
        <v>51000</v>
      </c>
      <c r="AE67" s="313">
        <f>10%*R67</f>
        <v>25500</v>
      </c>
      <c r="AF67" s="103"/>
      <c r="AG67" s="313"/>
      <c r="AH67" s="103"/>
      <c r="AI67" s="313">
        <f>70%*R67</f>
        <v>178500</v>
      </c>
      <c r="AJ67" s="95" t="s">
        <v>222</v>
      </c>
      <c r="AK67" s="712"/>
      <c r="AL67" s="306">
        <v>0.04</v>
      </c>
      <c r="AM67" s="430"/>
      <c r="AN67" s="306"/>
      <c r="AO67" s="306"/>
      <c r="AP67" s="306"/>
      <c r="AQ67" s="95"/>
      <c r="AR67" s="104" t="s">
        <v>17443</v>
      </c>
      <c r="AS67" s="104" t="s">
        <v>17442</v>
      </c>
      <c r="AT67" s="104"/>
      <c r="AU67" s="104"/>
      <c r="AV67" s="104"/>
      <c r="AW67" s="104" t="s">
        <v>18292</v>
      </c>
      <c r="AX67" s="104">
        <v>48504713021</v>
      </c>
      <c r="AY67" s="104"/>
      <c r="AZ67" s="104"/>
      <c r="BA67" s="115">
        <f t="shared" si="11"/>
        <v>164546.1</v>
      </c>
      <c r="BB67" s="115">
        <v>2700</v>
      </c>
    </row>
    <row r="68" spans="1:853" s="457" customFormat="1" ht="15">
      <c r="A68" s="95">
        <v>67</v>
      </c>
      <c r="B68" s="96" t="s">
        <v>195</v>
      </c>
      <c r="C68" s="97" t="s">
        <v>91</v>
      </c>
      <c r="D68" s="97">
        <v>3</v>
      </c>
      <c r="E68" s="97" t="s">
        <v>28</v>
      </c>
      <c r="F68" s="1005">
        <v>84.76</v>
      </c>
      <c r="G68" s="296">
        <v>10</v>
      </c>
      <c r="H68" s="296">
        <v>0</v>
      </c>
      <c r="I68" s="296"/>
      <c r="J68" s="1000">
        <f t="shared" si="12"/>
        <v>87.76</v>
      </c>
      <c r="K68" s="371" t="s">
        <v>700</v>
      </c>
      <c r="L68" s="98" t="s">
        <v>699</v>
      </c>
      <c r="M68" s="95"/>
      <c r="N68" s="115"/>
      <c r="O68" s="99">
        <v>16</v>
      </c>
      <c r="P68" s="99" t="s">
        <v>249</v>
      </c>
      <c r="Q68" s="95" t="s">
        <v>258</v>
      </c>
      <c r="R68" s="115">
        <v>280250</v>
      </c>
      <c r="S68" s="95"/>
      <c r="T68" s="95"/>
      <c r="U68" s="100">
        <v>295000</v>
      </c>
      <c r="V68" s="100"/>
      <c r="W68" s="101">
        <f t="shared" si="9"/>
        <v>0.05</v>
      </c>
      <c r="X68" s="102">
        <f t="shared" si="10"/>
        <v>3193.3682771194162</v>
      </c>
      <c r="Y68" s="102">
        <f>U68/J68</f>
        <v>3361.4402917046486</v>
      </c>
      <c r="Z68" s="102"/>
      <c r="AA68" s="102" t="s">
        <v>215</v>
      </c>
      <c r="AB68" s="554"/>
      <c r="AC68" s="103">
        <v>44882</v>
      </c>
      <c r="AD68" s="313">
        <v>56050</v>
      </c>
      <c r="AE68" s="313"/>
      <c r="AF68" s="103"/>
      <c r="AG68" s="313"/>
      <c r="AH68" s="103"/>
      <c r="AI68" s="313">
        <v>224200</v>
      </c>
      <c r="AJ68" s="95" t="s">
        <v>222</v>
      </c>
      <c r="AK68" s="95"/>
      <c r="AL68" s="306">
        <v>0.04</v>
      </c>
      <c r="AM68" s="430"/>
      <c r="AN68" s="306"/>
      <c r="AO68" s="306"/>
      <c r="AP68" s="306" t="s">
        <v>215</v>
      </c>
      <c r="AQ68" s="95" t="s">
        <v>215</v>
      </c>
      <c r="AR68" s="104" t="s">
        <v>224</v>
      </c>
      <c r="AS68" s="104" t="s">
        <v>265</v>
      </c>
      <c r="AT68" s="104"/>
      <c r="AU68" s="104"/>
      <c r="AV68" s="104"/>
      <c r="AW68" s="104" t="s">
        <v>18251</v>
      </c>
      <c r="AX68" s="104">
        <v>964026648</v>
      </c>
      <c r="AY68" s="104"/>
      <c r="AZ68" s="104"/>
      <c r="BA68" s="115">
        <f t="shared" si="11"/>
        <v>236952</v>
      </c>
      <c r="BB68" s="115">
        <v>2700</v>
      </c>
    </row>
    <row r="69" spans="1:853" s="457" customFormat="1" ht="15">
      <c r="A69" s="95">
        <v>68</v>
      </c>
      <c r="B69" s="96" t="s">
        <v>196</v>
      </c>
      <c r="C69" s="97" t="s">
        <v>89</v>
      </c>
      <c r="D69" s="97">
        <v>3</v>
      </c>
      <c r="E69" s="97" t="s">
        <v>28</v>
      </c>
      <c r="F69" s="1005">
        <v>140.24</v>
      </c>
      <c r="G69" s="296">
        <v>10.34</v>
      </c>
      <c r="H69" s="296">
        <v>0</v>
      </c>
      <c r="I69" s="296"/>
      <c r="J69" s="1000">
        <f t="shared" si="12"/>
        <v>143.34200000000001</v>
      </c>
      <c r="K69" s="371" t="s">
        <v>701</v>
      </c>
      <c r="L69" s="98" t="s">
        <v>702</v>
      </c>
      <c r="M69" s="95"/>
      <c r="N69" s="115"/>
      <c r="O69" s="105">
        <v>10</v>
      </c>
      <c r="P69" s="105" t="s">
        <v>249</v>
      </c>
      <c r="Q69" s="95" t="s">
        <v>258</v>
      </c>
      <c r="R69" s="115">
        <v>433200</v>
      </c>
      <c r="S69" s="95"/>
      <c r="T69" s="95"/>
      <c r="U69" s="100">
        <v>456000</v>
      </c>
      <c r="V69" s="100"/>
      <c r="W69" s="101">
        <f t="shared" si="9"/>
        <v>0.05</v>
      </c>
      <c r="X69" s="102">
        <f t="shared" si="10"/>
        <v>3022.1428471766822</v>
      </c>
      <c r="Y69" s="102">
        <f>U69/J69</f>
        <v>3181.2029970280864</v>
      </c>
      <c r="Z69" s="102"/>
      <c r="AA69" s="102" t="s">
        <v>215</v>
      </c>
      <c r="AB69" s="554"/>
      <c r="AC69" s="103">
        <v>45022</v>
      </c>
      <c r="AD69" s="313">
        <v>86640</v>
      </c>
      <c r="AE69" s="313">
        <v>43320</v>
      </c>
      <c r="AF69" s="103">
        <v>45388</v>
      </c>
      <c r="AG69" s="313"/>
      <c r="AH69" s="103"/>
      <c r="AI69" s="313">
        <v>303240</v>
      </c>
      <c r="AJ69" s="95" t="s">
        <v>222</v>
      </c>
      <c r="AK69" s="95"/>
      <c r="AL69" s="306">
        <v>0.04</v>
      </c>
      <c r="AM69" s="430"/>
      <c r="AN69" s="306"/>
      <c r="AO69" s="306"/>
      <c r="AP69" s="306" t="s">
        <v>215</v>
      </c>
      <c r="AQ69" s="95" t="s">
        <v>215</v>
      </c>
      <c r="AR69" s="104" t="s">
        <v>526</v>
      </c>
      <c r="AS69" s="104" t="s">
        <v>265</v>
      </c>
      <c r="AT69" s="104"/>
      <c r="AU69" s="104"/>
      <c r="AV69" s="104"/>
      <c r="AW69" s="104" t="s">
        <v>455</v>
      </c>
      <c r="AX69" s="104">
        <v>41795411732</v>
      </c>
      <c r="AY69" s="104"/>
      <c r="AZ69" s="104"/>
      <c r="BA69" s="115">
        <f t="shared" si="11"/>
        <v>387023.4</v>
      </c>
      <c r="BB69" s="115">
        <v>2700</v>
      </c>
    </row>
    <row r="70" spans="1:853" s="457" customFormat="1" ht="15" customHeight="1">
      <c r="A70" s="95">
        <v>69</v>
      </c>
      <c r="B70" s="96" t="s">
        <v>197</v>
      </c>
      <c r="C70" s="97" t="s">
        <v>89</v>
      </c>
      <c r="D70" s="97">
        <v>3</v>
      </c>
      <c r="E70" s="97" t="s">
        <v>28</v>
      </c>
      <c r="F70" s="1005">
        <v>139.77000000000001</v>
      </c>
      <c r="G70" s="296">
        <v>7.39</v>
      </c>
      <c r="H70" s="296">
        <v>0</v>
      </c>
      <c r="I70" s="296"/>
      <c r="J70" s="1000">
        <f t="shared" si="12"/>
        <v>141.98700000000002</v>
      </c>
      <c r="K70" s="371" t="s">
        <v>704</v>
      </c>
      <c r="L70" s="98" t="s">
        <v>703</v>
      </c>
      <c r="M70" s="95"/>
      <c r="N70" s="115"/>
      <c r="O70" s="99">
        <v>9</v>
      </c>
      <c r="P70" s="99"/>
      <c r="Q70" s="95" t="s">
        <v>258</v>
      </c>
      <c r="R70" s="100">
        <v>471000</v>
      </c>
      <c r="S70" s="100">
        <v>446000</v>
      </c>
      <c r="T70" s="100">
        <f>0.97*V70</f>
        <v>456870</v>
      </c>
      <c r="U70" s="100">
        <v>464000</v>
      </c>
      <c r="V70" s="100">
        <v>471000</v>
      </c>
      <c r="W70" s="101">
        <f>(R70/V70)-1</f>
        <v>0</v>
      </c>
      <c r="X70" s="102">
        <f t="shared" si="10"/>
        <v>3317.2050962412045</v>
      </c>
      <c r="Y70" s="102">
        <f>T70/J70</f>
        <v>3217.6889433539686</v>
      </c>
      <c r="Z70" s="102">
        <f>V70/J70</f>
        <v>3317.2050962412045</v>
      </c>
      <c r="AA70" s="102"/>
      <c r="AB70" s="554"/>
      <c r="AC70" s="103">
        <v>45518</v>
      </c>
      <c r="AD70" s="313">
        <v>70000</v>
      </c>
      <c r="AE70" s="313">
        <v>71300</v>
      </c>
      <c r="AF70" s="103"/>
      <c r="AG70" s="313"/>
      <c r="AH70" s="103"/>
      <c r="AI70" s="313">
        <v>329700</v>
      </c>
      <c r="AJ70" s="95" t="s">
        <v>222</v>
      </c>
      <c r="AK70" s="95"/>
      <c r="AL70" s="306">
        <v>0.04</v>
      </c>
      <c r="AM70" s="430"/>
      <c r="AN70" s="306"/>
      <c r="AO70" s="306"/>
      <c r="AP70" s="306"/>
      <c r="AQ70" s="95"/>
      <c r="AR70" s="104" t="s">
        <v>763</v>
      </c>
      <c r="AS70" s="104" t="s">
        <v>566</v>
      </c>
      <c r="AT70" s="104"/>
      <c r="AU70" s="104"/>
      <c r="AV70" s="104"/>
      <c r="AW70" s="104"/>
      <c r="AX70" s="104"/>
      <c r="AY70" s="104"/>
      <c r="AZ70" s="104"/>
      <c r="BA70" s="115">
        <f t="shared" si="11"/>
        <v>383364.90000000008</v>
      </c>
      <c r="BB70" s="115">
        <v>2700</v>
      </c>
    </row>
    <row r="71" spans="1:853" s="457" customFormat="1" ht="15">
      <c r="A71" s="95">
        <v>70</v>
      </c>
      <c r="B71" s="96" t="s">
        <v>198</v>
      </c>
      <c r="C71" s="97" t="s">
        <v>90</v>
      </c>
      <c r="D71" s="97">
        <v>3</v>
      </c>
      <c r="E71" s="97" t="s">
        <v>28</v>
      </c>
      <c r="F71" s="1005">
        <v>63.53</v>
      </c>
      <c r="G71" s="296">
        <v>7.05</v>
      </c>
      <c r="H71" s="296">
        <v>0</v>
      </c>
      <c r="I71" s="296"/>
      <c r="J71" s="1000">
        <f t="shared" si="12"/>
        <v>65.644999999999996</v>
      </c>
      <c r="K71" s="371" t="s">
        <v>644</v>
      </c>
      <c r="L71" s="95"/>
      <c r="M71" s="95"/>
      <c r="N71" s="115"/>
      <c r="O71" s="105">
        <v>42</v>
      </c>
      <c r="P71" s="105" t="s">
        <v>249</v>
      </c>
      <c r="Q71" s="95" t="s">
        <v>258</v>
      </c>
      <c r="R71" s="115">
        <v>215000</v>
      </c>
      <c r="S71" s="95"/>
      <c r="T71" s="95"/>
      <c r="U71" s="100">
        <v>215000</v>
      </c>
      <c r="V71" s="100"/>
      <c r="W71" s="101">
        <f t="shared" si="9"/>
        <v>0</v>
      </c>
      <c r="X71" s="102">
        <f t="shared" si="10"/>
        <v>3275.1923223398585</v>
      </c>
      <c r="Y71" s="102">
        <f>U71/J71</f>
        <v>3275.1923223398585</v>
      </c>
      <c r="Z71" s="102"/>
      <c r="AA71" s="102" t="s">
        <v>215</v>
      </c>
      <c r="AB71" s="554"/>
      <c r="AC71" s="103">
        <v>44979</v>
      </c>
      <c r="AD71" s="313">
        <v>43000</v>
      </c>
      <c r="AE71" s="313">
        <v>21500</v>
      </c>
      <c r="AF71" s="103">
        <v>45344</v>
      </c>
      <c r="AG71" s="313"/>
      <c r="AH71" s="103"/>
      <c r="AI71" s="313">
        <v>150500</v>
      </c>
      <c r="AJ71" s="95" t="s">
        <v>222</v>
      </c>
      <c r="AK71" s="95"/>
      <c r="AL71" s="306">
        <v>0.04</v>
      </c>
      <c r="AM71" s="430"/>
      <c r="AN71" s="306"/>
      <c r="AO71" s="306"/>
      <c r="AP71" s="306" t="s">
        <v>215</v>
      </c>
      <c r="AQ71" s="95" t="s">
        <v>215</v>
      </c>
      <c r="AR71" s="104" t="s">
        <v>329</v>
      </c>
      <c r="AS71" s="104" t="s">
        <v>265</v>
      </c>
      <c r="AT71" s="104"/>
      <c r="AU71" s="104"/>
      <c r="AV71" s="104"/>
      <c r="AW71" s="104"/>
      <c r="AX71" s="104"/>
      <c r="AY71" s="104"/>
      <c r="AZ71" s="104"/>
      <c r="BA71" s="115">
        <f t="shared" si="11"/>
        <v>177241.5</v>
      </c>
      <c r="BB71" s="115">
        <v>2700</v>
      </c>
    </row>
    <row r="72" spans="1:853" s="457" customFormat="1" ht="15.75" thickBot="1">
      <c r="A72" s="95">
        <v>71</v>
      </c>
      <c r="B72" s="96" t="s">
        <v>199</v>
      </c>
      <c r="C72" s="97" t="s">
        <v>91</v>
      </c>
      <c r="D72" s="97">
        <v>3</v>
      </c>
      <c r="E72" s="97" t="s">
        <v>28</v>
      </c>
      <c r="F72" s="1006">
        <v>90.97</v>
      </c>
      <c r="G72" s="296">
        <v>6.96</v>
      </c>
      <c r="H72" s="296">
        <v>0</v>
      </c>
      <c r="I72" s="296"/>
      <c r="J72" s="1000">
        <f t="shared" si="12"/>
        <v>93.057999999999993</v>
      </c>
      <c r="K72" s="372" t="s">
        <v>705</v>
      </c>
      <c r="L72" s="98" t="s">
        <v>706</v>
      </c>
      <c r="M72" s="95"/>
      <c r="N72" s="95"/>
      <c r="O72" s="300">
        <v>17</v>
      </c>
      <c r="P72" s="1158" t="s">
        <v>249</v>
      </c>
      <c r="Q72" s="95" t="s">
        <v>258</v>
      </c>
      <c r="R72" s="115">
        <v>315000</v>
      </c>
      <c r="S72" s="95"/>
      <c r="T72" s="95"/>
      <c r="U72" s="100">
        <v>315000</v>
      </c>
      <c r="V72" s="100"/>
      <c r="W72" s="101">
        <f t="shared" si="9"/>
        <v>0</v>
      </c>
      <c r="X72" s="102">
        <f t="shared" si="10"/>
        <v>3384.9857078381228</v>
      </c>
      <c r="Y72" s="102">
        <f>U72/J72</f>
        <v>3384.9857078381228</v>
      </c>
      <c r="Z72" s="102"/>
      <c r="AA72" s="102" t="s">
        <v>215</v>
      </c>
      <c r="AB72" s="554"/>
      <c r="AC72" s="103">
        <v>44999</v>
      </c>
      <c r="AD72" s="313">
        <v>63000</v>
      </c>
      <c r="AE72" s="313">
        <v>31500</v>
      </c>
      <c r="AF72" s="103">
        <v>45365</v>
      </c>
      <c r="AG72" s="313"/>
      <c r="AH72" s="103"/>
      <c r="AI72" s="313">
        <v>220500</v>
      </c>
      <c r="AJ72" s="95" t="s">
        <v>222</v>
      </c>
      <c r="AK72" s="95"/>
      <c r="AL72" s="306">
        <v>0.04</v>
      </c>
      <c r="AM72" s="430"/>
      <c r="AN72" s="306"/>
      <c r="AO72" s="306"/>
      <c r="AP72" s="306" t="s">
        <v>215</v>
      </c>
      <c r="AQ72" s="95" t="s">
        <v>215</v>
      </c>
      <c r="AR72" s="104" t="s">
        <v>314</v>
      </c>
      <c r="AS72" s="104" t="s">
        <v>566</v>
      </c>
      <c r="AT72" s="104"/>
      <c r="AU72" s="104"/>
      <c r="AV72" s="104"/>
      <c r="AW72" s="104"/>
      <c r="AX72" s="104"/>
      <c r="AY72" s="104"/>
      <c r="AZ72" s="104"/>
      <c r="BA72" s="115">
        <f t="shared" si="11"/>
        <v>251256.59999999998</v>
      </c>
      <c r="BB72" s="115">
        <v>2700</v>
      </c>
    </row>
    <row r="73" spans="1:853" s="457" customFormat="1" ht="14.25" customHeight="1">
      <c r="A73" s="95">
        <v>72</v>
      </c>
      <c r="B73" s="96" t="s">
        <v>200</v>
      </c>
      <c r="C73" s="97" t="s">
        <v>91</v>
      </c>
      <c r="D73" s="97">
        <v>4</v>
      </c>
      <c r="E73" s="97" t="s">
        <v>38</v>
      </c>
      <c r="F73" s="1003">
        <v>107.34</v>
      </c>
      <c r="G73" s="296">
        <v>6.65</v>
      </c>
      <c r="H73" s="296">
        <v>0</v>
      </c>
      <c r="I73" s="296"/>
      <c r="J73" s="1000">
        <f t="shared" si="12"/>
        <v>109.33500000000001</v>
      </c>
      <c r="K73" s="370" t="s">
        <v>707</v>
      </c>
      <c r="L73" s="98" t="s">
        <v>708</v>
      </c>
      <c r="M73" s="95"/>
      <c r="N73" s="95"/>
      <c r="O73" s="533">
        <v>18</v>
      </c>
      <c r="P73" s="533" t="s">
        <v>249</v>
      </c>
      <c r="Q73" s="95" t="s">
        <v>258</v>
      </c>
      <c r="R73" s="115">
        <v>410000</v>
      </c>
      <c r="S73" s="100">
        <v>387000</v>
      </c>
      <c r="T73" s="100">
        <f>0.97*V73</f>
        <v>397700</v>
      </c>
      <c r="U73" s="100">
        <v>403000</v>
      </c>
      <c r="V73" s="100">
        <v>410000</v>
      </c>
      <c r="W73" s="101">
        <f>(T73/V73)-1</f>
        <v>-3.0000000000000027E-2</v>
      </c>
      <c r="X73" s="102">
        <f t="shared" si="10"/>
        <v>3749.9428362372523</v>
      </c>
      <c r="Y73" s="102">
        <f>T73/J73</f>
        <v>3637.4445511501344</v>
      </c>
      <c r="Z73" s="102">
        <f>V73/J73</f>
        <v>3749.9428362372523</v>
      </c>
      <c r="AA73" s="102"/>
      <c r="AB73" s="554"/>
      <c r="AC73" s="103">
        <v>45373</v>
      </c>
      <c r="AD73" s="313">
        <v>82000</v>
      </c>
      <c r="AE73" s="313">
        <v>41000</v>
      </c>
      <c r="AF73" s="103">
        <v>45510</v>
      </c>
      <c r="AG73" s="313">
        <f>150000+60000+70000</f>
        <v>280000</v>
      </c>
      <c r="AH73" s="103">
        <v>45679</v>
      </c>
      <c r="AI73" s="313">
        <v>7000</v>
      </c>
      <c r="AJ73" s="95" t="s">
        <v>222</v>
      </c>
      <c r="AK73" s="95"/>
      <c r="AL73" s="306">
        <v>0.04</v>
      </c>
      <c r="AM73" s="430" t="s">
        <v>17423</v>
      </c>
      <c r="AN73" s="306"/>
      <c r="AO73" s="306"/>
      <c r="AP73" s="306"/>
      <c r="AQ73" s="95"/>
      <c r="AR73" s="104" t="s">
        <v>17374</v>
      </c>
      <c r="AS73" s="104" t="s">
        <v>565</v>
      </c>
      <c r="AT73" s="104"/>
      <c r="AU73" s="104"/>
      <c r="AV73" s="104"/>
      <c r="AW73" s="104"/>
      <c r="AX73" s="104" t="s">
        <v>18293</v>
      </c>
      <c r="AY73" s="104"/>
      <c r="AZ73" s="104"/>
      <c r="BA73" s="115">
        <f t="shared" si="11"/>
        <v>295204.5</v>
      </c>
      <c r="BB73" s="115">
        <v>2700</v>
      </c>
    </row>
    <row r="74" spans="1:853" s="457" customFormat="1" ht="15">
      <c r="A74" s="95">
        <v>73</v>
      </c>
      <c r="B74" s="96" t="s">
        <v>201</v>
      </c>
      <c r="C74" s="97" t="s">
        <v>90</v>
      </c>
      <c r="D74" s="97">
        <v>4</v>
      </c>
      <c r="E74" s="97" t="s">
        <v>28</v>
      </c>
      <c r="F74" s="1005">
        <v>64.7</v>
      </c>
      <c r="G74" s="296">
        <v>9.81</v>
      </c>
      <c r="H74" s="296">
        <v>196.48</v>
      </c>
      <c r="I74" s="296"/>
      <c r="J74" s="1000">
        <f t="shared" si="12"/>
        <v>106.93899999999999</v>
      </c>
      <c r="K74" s="371" t="s">
        <v>645</v>
      </c>
      <c r="L74" s="95"/>
      <c r="M74" s="95"/>
      <c r="N74" s="95"/>
      <c r="O74" s="99">
        <v>63</v>
      </c>
      <c r="P74" s="99" t="s">
        <v>249</v>
      </c>
      <c r="Q74" s="95" t="s">
        <v>258</v>
      </c>
      <c r="R74" s="115">
        <v>228000</v>
      </c>
      <c r="S74" s="95"/>
      <c r="T74" s="95"/>
      <c r="U74" s="100">
        <v>240000</v>
      </c>
      <c r="V74" s="100"/>
      <c r="W74" s="101">
        <f t="shared" si="9"/>
        <v>0.05</v>
      </c>
      <c r="X74" s="102">
        <f t="shared" si="10"/>
        <v>2132.0565930109692</v>
      </c>
      <c r="Y74" s="102">
        <f>U74/J74</f>
        <v>2244.2700979062834</v>
      </c>
      <c r="Z74" s="102"/>
      <c r="AA74" s="102" t="s">
        <v>215</v>
      </c>
      <c r="AB74" s="554"/>
      <c r="AC74" s="103">
        <v>44890</v>
      </c>
      <c r="AD74" s="313">
        <v>45600</v>
      </c>
      <c r="AE74" s="313"/>
      <c r="AF74" s="103"/>
      <c r="AG74" s="313"/>
      <c r="AH74" s="103"/>
      <c r="AI74" s="313">
        <v>182400</v>
      </c>
      <c r="AJ74" s="95" t="s">
        <v>222</v>
      </c>
      <c r="AK74" s="95"/>
      <c r="AL74" s="306">
        <v>0.04</v>
      </c>
      <c r="AM74" s="430"/>
      <c r="AN74" s="306"/>
      <c r="AO74" s="306"/>
      <c r="AP74" s="306" t="s">
        <v>215</v>
      </c>
      <c r="AQ74" s="95" t="s">
        <v>215</v>
      </c>
      <c r="AR74" s="104" t="s">
        <v>223</v>
      </c>
      <c r="AS74" s="104" t="s">
        <v>561</v>
      </c>
      <c r="AT74" s="104"/>
      <c r="AU74" s="104"/>
      <c r="AV74" s="104"/>
      <c r="AW74" s="104" t="s">
        <v>18294</v>
      </c>
      <c r="AX74" s="104">
        <v>376688100</v>
      </c>
      <c r="AY74" s="104"/>
      <c r="AZ74" s="104"/>
      <c r="BA74" s="115">
        <f t="shared" si="11"/>
        <v>288735.3</v>
      </c>
      <c r="BB74" s="115">
        <v>2700</v>
      </c>
    </row>
    <row r="75" spans="1:853" s="457" customFormat="1" ht="15">
      <c r="A75" s="95">
        <v>74</v>
      </c>
      <c r="B75" s="96" t="s">
        <v>202</v>
      </c>
      <c r="C75" s="97" t="s">
        <v>91</v>
      </c>
      <c r="D75" s="97">
        <v>4</v>
      </c>
      <c r="E75" s="97" t="s">
        <v>28</v>
      </c>
      <c r="F75" s="1005">
        <v>130.69999999999999</v>
      </c>
      <c r="G75" s="296">
        <v>20.83</v>
      </c>
      <c r="H75" s="296">
        <v>120</v>
      </c>
      <c r="I75" s="296"/>
      <c r="J75" s="1000">
        <f t="shared" si="12"/>
        <v>160.94899999999998</v>
      </c>
      <c r="K75" s="371" t="s">
        <v>709</v>
      </c>
      <c r="L75" s="98" t="s">
        <v>710</v>
      </c>
      <c r="M75" s="95"/>
      <c r="N75" s="95"/>
      <c r="O75" s="99">
        <v>3</v>
      </c>
      <c r="P75" s="99"/>
      <c r="Q75" s="95" t="s">
        <v>258</v>
      </c>
      <c r="R75" s="100">
        <v>470250</v>
      </c>
      <c r="S75" s="95"/>
      <c r="T75" s="95"/>
      <c r="U75" s="100">
        <v>495000</v>
      </c>
      <c r="V75" s="100"/>
      <c r="W75" s="101">
        <f t="shared" si="9"/>
        <v>0.05</v>
      </c>
      <c r="X75" s="102">
        <f t="shared" si="10"/>
        <v>2921.7329713138947</v>
      </c>
      <c r="Y75" s="102">
        <f>U75/J75</f>
        <v>3075.5083908567312</v>
      </c>
      <c r="Z75" s="102"/>
      <c r="AA75" s="102" t="s">
        <v>215</v>
      </c>
      <c r="AB75" s="554"/>
      <c r="AC75" s="103">
        <v>44889</v>
      </c>
      <c r="AD75" s="313">
        <v>94050</v>
      </c>
      <c r="AE75" s="313"/>
      <c r="AF75" s="103"/>
      <c r="AG75" s="313"/>
      <c r="AH75" s="103"/>
      <c r="AI75" s="313">
        <v>376200</v>
      </c>
      <c r="AJ75" s="95" t="s">
        <v>222</v>
      </c>
      <c r="AK75" s="95"/>
      <c r="AL75" s="306">
        <v>0.04</v>
      </c>
      <c r="AM75" s="430"/>
      <c r="AN75" s="306"/>
      <c r="AO75" s="306"/>
      <c r="AP75" s="306" t="s">
        <v>215</v>
      </c>
      <c r="AQ75" s="95" t="s">
        <v>215</v>
      </c>
      <c r="AR75" s="95" t="s">
        <v>226</v>
      </c>
      <c r="AS75" s="95" t="s">
        <v>265</v>
      </c>
      <c r="AT75" s="95"/>
      <c r="AU75" s="95"/>
      <c r="AV75" s="95"/>
      <c r="AW75" s="95" t="s">
        <v>18295</v>
      </c>
      <c r="AX75" s="95">
        <v>964004876</v>
      </c>
      <c r="AY75" s="95"/>
      <c r="AZ75" s="95"/>
      <c r="BA75" s="115">
        <f t="shared" si="11"/>
        <v>434562.29999999993</v>
      </c>
      <c r="BB75" s="115">
        <v>2700</v>
      </c>
    </row>
    <row r="76" spans="1:853" s="457" customFormat="1" ht="15">
      <c r="A76" s="95">
        <v>75</v>
      </c>
      <c r="B76" s="96" t="s">
        <v>204</v>
      </c>
      <c r="C76" s="97" t="s">
        <v>89</v>
      </c>
      <c r="D76" s="97">
        <v>4</v>
      </c>
      <c r="E76" s="97" t="s">
        <v>28</v>
      </c>
      <c r="F76" s="1005">
        <v>154.34</v>
      </c>
      <c r="G76" s="296">
        <v>20.170000000000002</v>
      </c>
      <c r="H76" s="296">
        <v>210.53</v>
      </c>
      <c r="I76" s="296"/>
      <c r="J76" s="1000">
        <f t="shared" si="12"/>
        <v>202.49699999999999</v>
      </c>
      <c r="K76" s="371" t="s">
        <v>711</v>
      </c>
      <c r="L76" s="98" t="s">
        <v>712</v>
      </c>
      <c r="M76" s="95"/>
      <c r="N76" s="95"/>
      <c r="O76" s="99" t="s">
        <v>220</v>
      </c>
      <c r="P76" s="99" t="s">
        <v>249</v>
      </c>
      <c r="Q76" s="95" t="s">
        <v>258</v>
      </c>
      <c r="R76" s="100">
        <v>730000</v>
      </c>
      <c r="S76" s="100">
        <v>716000</v>
      </c>
      <c r="T76" s="100">
        <f>0.97*V76</f>
        <v>727500</v>
      </c>
      <c r="U76" s="100">
        <v>745000</v>
      </c>
      <c r="V76" s="100">
        <v>750000</v>
      </c>
      <c r="W76" s="101">
        <f>(T76/V76)-1</f>
        <v>-3.0000000000000027E-2</v>
      </c>
      <c r="X76" s="102">
        <f t="shared" si="10"/>
        <v>3604.99167888907</v>
      </c>
      <c r="Y76" s="102">
        <f>T76/J76</f>
        <v>3592.6458169750667</v>
      </c>
      <c r="Z76" s="102">
        <f>V76/J76</f>
        <v>3703.7585742010997</v>
      </c>
      <c r="AA76" s="102"/>
      <c r="AB76" s="554">
        <v>45687</v>
      </c>
      <c r="AC76" s="103">
        <v>45706</v>
      </c>
      <c r="AD76" s="313">
        <f>5000+141000</f>
        <v>146000</v>
      </c>
      <c r="AE76" s="313"/>
      <c r="AF76" s="103"/>
      <c r="AG76" s="313"/>
      <c r="AH76" s="103"/>
      <c r="AI76" s="313">
        <f>80%*R76</f>
        <v>584000</v>
      </c>
      <c r="AJ76" s="95" t="s">
        <v>247</v>
      </c>
      <c r="AK76" s="95"/>
      <c r="AL76" s="306">
        <v>0.04</v>
      </c>
      <c r="AM76" s="430"/>
      <c r="AN76" s="306"/>
      <c r="AO76" s="306"/>
      <c r="AP76" s="306"/>
      <c r="AQ76" s="95"/>
      <c r="AR76" s="104" t="s">
        <v>17834</v>
      </c>
      <c r="AS76" s="104" t="s">
        <v>17651</v>
      </c>
      <c r="AT76" s="104"/>
      <c r="AU76" s="104"/>
      <c r="AV76" s="104"/>
      <c r="AW76" s="104" t="s">
        <v>17833</v>
      </c>
      <c r="AX76" s="104">
        <v>41795906469</v>
      </c>
      <c r="AY76" s="104"/>
      <c r="AZ76" s="104"/>
      <c r="BA76" s="115">
        <f t="shared" si="11"/>
        <v>546741.89999999991</v>
      </c>
      <c r="BB76" s="115">
        <v>2700</v>
      </c>
    </row>
    <row r="77" spans="1:853" s="368" customFormat="1" ht="15">
      <c r="A77" s="26">
        <v>76</v>
      </c>
      <c r="B77" s="369" t="s">
        <v>203</v>
      </c>
      <c r="C77" s="366" t="s">
        <v>89</v>
      </c>
      <c r="D77" s="366">
        <v>4</v>
      </c>
      <c r="E77" s="366" t="s">
        <v>38</v>
      </c>
      <c r="F77" s="1768">
        <v>135.61000000000001</v>
      </c>
      <c r="G77" s="1769">
        <v>7.39</v>
      </c>
      <c r="H77" s="1769">
        <v>210.53</v>
      </c>
      <c r="I77" s="1769"/>
      <c r="J77" s="1770">
        <f t="shared" si="12"/>
        <v>179.93300000000002</v>
      </c>
      <c r="K77" s="373" t="s">
        <v>714</v>
      </c>
      <c r="L77" s="1854" t="s">
        <v>713</v>
      </c>
      <c r="M77" s="26"/>
      <c r="N77" s="26"/>
      <c r="O77" s="1771" t="s">
        <v>220</v>
      </c>
      <c r="P77" s="1771"/>
      <c r="Q77" s="26" t="s">
        <v>210</v>
      </c>
      <c r="R77" s="342">
        <v>620000</v>
      </c>
      <c r="S77" s="342">
        <v>615000</v>
      </c>
      <c r="T77" s="342">
        <f>0.97*V77</f>
        <v>628560</v>
      </c>
      <c r="U77" s="342">
        <v>640000</v>
      </c>
      <c r="V77" s="342">
        <v>648000</v>
      </c>
      <c r="W77" s="27">
        <f>(T77/V77)-1</f>
        <v>-3.0000000000000027E-2</v>
      </c>
      <c r="X77" s="28">
        <f t="shared" si="10"/>
        <v>3445.727020613228</v>
      </c>
      <c r="Y77" s="28">
        <f>T77/J77</f>
        <v>3493.3002839945975</v>
      </c>
      <c r="Z77" s="28">
        <f>V77/J77</f>
        <v>3601.3404989635028</v>
      </c>
      <c r="AA77" s="28"/>
      <c r="AB77" s="256">
        <v>45982</v>
      </c>
      <c r="AC77" s="29"/>
      <c r="AD77" s="1858">
        <f>5000+119000</f>
        <v>124000</v>
      </c>
      <c r="AE77" s="312"/>
      <c r="AF77" s="29"/>
      <c r="AG77" s="312"/>
      <c r="AH77" s="29"/>
      <c r="AI77" s="312">
        <f>80%*620000</f>
        <v>496000</v>
      </c>
      <c r="AJ77" s="26" t="s">
        <v>222</v>
      </c>
      <c r="AK77" s="26"/>
      <c r="AL77" s="367">
        <v>0.04</v>
      </c>
      <c r="AM77" s="1772"/>
      <c r="AN77" s="367"/>
      <c r="AO77" s="367"/>
      <c r="AP77" s="367"/>
      <c r="AQ77" s="26"/>
      <c r="AR77" s="30" t="s">
        <v>18391</v>
      </c>
      <c r="AS77" s="30" t="s">
        <v>18392</v>
      </c>
      <c r="AT77" s="30"/>
      <c r="AU77" s="30"/>
      <c r="AV77" s="30"/>
      <c r="AW77" s="30"/>
      <c r="AX77" s="30"/>
      <c r="AY77" s="30"/>
      <c r="AZ77" s="30"/>
      <c r="BA77" s="38">
        <f t="shared" si="11"/>
        <v>485819.10000000003</v>
      </c>
      <c r="BB77" s="38">
        <v>2700</v>
      </c>
    </row>
    <row r="78" spans="1:853" s="457" customFormat="1" ht="15.75" thickBot="1">
      <c r="A78" s="541">
        <v>77</v>
      </c>
      <c r="B78" s="542" t="s">
        <v>205</v>
      </c>
      <c r="C78" s="543" t="s">
        <v>89</v>
      </c>
      <c r="D78" s="543">
        <v>4</v>
      </c>
      <c r="E78" s="543" t="s">
        <v>38</v>
      </c>
      <c r="F78" s="1008">
        <v>150.49</v>
      </c>
      <c r="G78" s="1009">
        <v>13.96</v>
      </c>
      <c r="H78" s="1009">
        <v>126.37</v>
      </c>
      <c r="I78" s="1009"/>
      <c r="J78" s="1002">
        <f t="shared" si="12"/>
        <v>179.952</v>
      </c>
      <c r="K78" s="372" t="s">
        <v>665</v>
      </c>
      <c r="L78" s="98" t="s">
        <v>715</v>
      </c>
      <c r="M78" s="95"/>
      <c r="N78" s="95"/>
      <c r="O78" s="99" t="s">
        <v>220</v>
      </c>
      <c r="P78" s="99"/>
      <c r="Q78" s="95" t="s">
        <v>258</v>
      </c>
      <c r="R78" s="100">
        <v>702000</v>
      </c>
      <c r="S78" s="100">
        <v>675000</v>
      </c>
      <c r="T78" s="100"/>
      <c r="U78" s="100">
        <v>702000</v>
      </c>
      <c r="V78" s="100"/>
      <c r="W78" s="101">
        <f t="shared" si="9"/>
        <v>0</v>
      </c>
      <c r="X78" s="102">
        <f>R78/J78</f>
        <v>3901.0402774073086</v>
      </c>
      <c r="Y78" s="102">
        <f>S78/J78</f>
        <v>3751.0002667377967</v>
      </c>
      <c r="Z78" s="102">
        <f>U78/J78</f>
        <v>3901.0402774073086</v>
      </c>
      <c r="AA78" s="102"/>
      <c r="AB78" s="554"/>
      <c r="AC78" s="103">
        <v>45148</v>
      </c>
      <c r="AD78" s="313">
        <f>20%*R78</f>
        <v>140400</v>
      </c>
      <c r="AE78" s="313">
        <f>10%*R78</f>
        <v>70200</v>
      </c>
      <c r="AF78" s="103"/>
      <c r="AG78" s="313"/>
      <c r="AH78" s="103"/>
      <c r="AI78" s="313">
        <f>70%*R78</f>
        <v>491399.99999999994</v>
      </c>
      <c r="AJ78" s="95" t="s">
        <v>222</v>
      </c>
      <c r="AK78" s="95"/>
      <c r="AL78" s="306">
        <v>0.04</v>
      </c>
      <c r="AM78" s="430"/>
      <c r="AN78" s="306"/>
      <c r="AO78" s="306"/>
      <c r="AP78" s="306" t="s">
        <v>312</v>
      </c>
      <c r="AQ78" s="95" t="s">
        <v>312</v>
      </c>
      <c r="AR78" s="104" t="s">
        <v>17167</v>
      </c>
      <c r="AS78" s="104" t="s">
        <v>561</v>
      </c>
      <c r="AT78" s="104"/>
      <c r="AU78" s="104"/>
      <c r="AV78" s="104"/>
      <c r="AW78" s="104" t="s">
        <v>18296</v>
      </c>
      <c r="AX78" s="104" t="s">
        <v>455</v>
      </c>
      <c r="AY78" s="104"/>
      <c r="AZ78" s="104"/>
      <c r="BA78" s="115">
        <f t="shared" si="11"/>
        <v>485870.4</v>
      </c>
      <c r="BB78" s="115">
        <v>2700</v>
      </c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  <c r="BX78" s="106"/>
      <c r="BY78" s="106"/>
      <c r="BZ78" s="106"/>
      <c r="CA78" s="106"/>
      <c r="CB78" s="106"/>
      <c r="CC78" s="106"/>
      <c r="CD78" s="106"/>
      <c r="CE78" s="106"/>
      <c r="CF78" s="106"/>
      <c r="CG78" s="106"/>
      <c r="CH78" s="106"/>
      <c r="CI78" s="106"/>
      <c r="CJ78" s="106"/>
      <c r="CK78" s="106"/>
      <c r="CL78" s="106"/>
      <c r="CM78" s="106"/>
      <c r="CN78" s="106"/>
      <c r="CO78" s="106"/>
      <c r="CP78" s="106"/>
      <c r="CQ78" s="106"/>
      <c r="CR78" s="106"/>
      <c r="CS78" s="106"/>
      <c r="CT78" s="106"/>
      <c r="CU78" s="106"/>
      <c r="CV78" s="106"/>
      <c r="CW78" s="106"/>
      <c r="CX78" s="106"/>
      <c r="CY78" s="106"/>
      <c r="CZ78" s="106"/>
      <c r="DA78" s="106"/>
      <c r="DB78" s="106"/>
      <c r="DC78" s="106"/>
      <c r="DD78" s="106"/>
      <c r="DE78" s="106"/>
      <c r="DF78" s="106"/>
      <c r="DG78" s="106"/>
      <c r="DH78" s="106"/>
      <c r="DI78" s="106"/>
      <c r="DJ78" s="106"/>
      <c r="DK78" s="106"/>
      <c r="DL78" s="106"/>
      <c r="DM78" s="106"/>
      <c r="DN78" s="106"/>
      <c r="DO78" s="106"/>
      <c r="DP78" s="106"/>
      <c r="DQ78" s="106"/>
      <c r="DR78" s="106"/>
      <c r="DS78" s="106"/>
      <c r="DT78" s="106"/>
      <c r="DU78" s="106"/>
      <c r="DV78" s="106"/>
      <c r="DW78" s="106"/>
      <c r="DX78" s="106"/>
      <c r="DY78" s="106"/>
      <c r="DZ78" s="106"/>
      <c r="EA78" s="106"/>
      <c r="EB78" s="106"/>
      <c r="EC78" s="106"/>
      <c r="ED78" s="106"/>
      <c r="EE78" s="106"/>
      <c r="EF78" s="106"/>
      <c r="EG78" s="106"/>
      <c r="EH78" s="106"/>
      <c r="EI78" s="106"/>
      <c r="EJ78" s="106"/>
      <c r="EK78" s="106"/>
      <c r="EL78" s="106"/>
      <c r="EM78" s="106"/>
      <c r="EN78" s="106"/>
      <c r="EO78" s="106"/>
      <c r="EP78" s="106"/>
      <c r="EQ78" s="106"/>
      <c r="ER78" s="106"/>
      <c r="ES78" s="106"/>
      <c r="ET78" s="106"/>
      <c r="EU78" s="106"/>
      <c r="EV78" s="106"/>
      <c r="EW78" s="106"/>
      <c r="EX78" s="106"/>
      <c r="EY78" s="106"/>
      <c r="EZ78" s="106"/>
      <c r="FA78" s="106"/>
      <c r="FB78" s="106"/>
      <c r="FC78" s="106"/>
      <c r="FD78" s="106"/>
      <c r="FE78" s="106"/>
      <c r="FF78" s="106"/>
      <c r="FG78" s="106"/>
      <c r="FH78" s="106"/>
      <c r="FI78" s="106"/>
      <c r="FJ78" s="106"/>
      <c r="FK78" s="106"/>
      <c r="FL78" s="106"/>
      <c r="FM78" s="106"/>
      <c r="FN78" s="106"/>
      <c r="FO78" s="106"/>
      <c r="FP78" s="106"/>
      <c r="FQ78" s="106"/>
      <c r="FR78" s="106"/>
      <c r="FS78" s="106"/>
      <c r="FT78" s="106"/>
      <c r="FU78" s="106"/>
      <c r="FV78" s="106"/>
      <c r="FW78" s="106"/>
      <c r="FX78" s="106"/>
      <c r="FY78" s="106"/>
      <c r="FZ78" s="106"/>
      <c r="GA78" s="106"/>
      <c r="GB78" s="106"/>
      <c r="GC78" s="106"/>
      <c r="GD78" s="106"/>
      <c r="GE78" s="106"/>
      <c r="GF78" s="106"/>
      <c r="GG78" s="106"/>
      <c r="GH78" s="106"/>
      <c r="GI78" s="106"/>
      <c r="GJ78" s="106"/>
      <c r="GK78" s="106"/>
      <c r="GL78" s="106"/>
      <c r="GM78" s="106"/>
      <c r="GN78" s="106"/>
      <c r="GO78" s="106"/>
      <c r="GP78" s="106"/>
      <c r="GQ78" s="106"/>
      <c r="GR78" s="106"/>
      <c r="GS78" s="106"/>
      <c r="GT78" s="106"/>
      <c r="GU78" s="106"/>
      <c r="GV78" s="106"/>
      <c r="GW78" s="106"/>
      <c r="GX78" s="106"/>
      <c r="GY78" s="106"/>
      <c r="GZ78" s="106"/>
      <c r="HA78" s="106"/>
      <c r="HB78" s="106"/>
      <c r="HC78" s="106"/>
      <c r="HD78" s="106"/>
      <c r="HE78" s="106"/>
      <c r="HF78" s="106"/>
      <c r="HG78" s="106"/>
      <c r="HH78" s="106"/>
      <c r="HI78" s="106"/>
      <c r="HJ78" s="106"/>
      <c r="HK78" s="106"/>
      <c r="HL78" s="106"/>
      <c r="HM78" s="106"/>
      <c r="HN78" s="106"/>
      <c r="HO78" s="106"/>
      <c r="HP78" s="106"/>
      <c r="HQ78" s="106"/>
      <c r="HR78" s="106"/>
      <c r="HS78" s="106"/>
      <c r="HT78" s="106"/>
      <c r="HU78" s="106"/>
      <c r="HV78" s="106"/>
      <c r="HW78" s="106"/>
      <c r="HX78" s="106"/>
      <c r="HY78" s="106"/>
      <c r="HZ78" s="106"/>
      <c r="IA78" s="106"/>
      <c r="IB78" s="106"/>
      <c r="IC78" s="106"/>
      <c r="ID78" s="106"/>
      <c r="IE78" s="106"/>
      <c r="IF78" s="106"/>
      <c r="IG78" s="106"/>
      <c r="IH78" s="106"/>
      <c r="II78" s="106"/>
      <c r="IJ78" s="106"/>
      <c r="IK78" s="106"/>
      <c r="IL78" s="106"/>
      <c r="IM78" s="106"/>
      <c r="IN78" s="106"/>
      <c r="IO78" s="106"/>
      <c r="IP78" s="106"/>
      <c r="IQ78" s="106"/>
      <c r="IR78" s="106"/>
      <c r="IS78" s="106"/>
      <c r="IT78" s="106"/>
      <c r="IU78" s="106"/>
      <c r="IV78" s="106"/>
      <c r="IW78" s="106"/>
      <c r="IX78" s="106"/>
      <c r="IY78" s="106"/>
      <c r="IZ78" s="106"/>
      <c r="JA78" s="106"/>
      <c r="JB78" s="106"/>
      <c r="JC78" s="106"/>
      <c r="JD78" s="106"/>
      <c r="JE78" s="106"/>
      <c r="JF78" s="106"/>
      <c r="JG78" s="106"/>
      <c r="JH78" s="106"/>
      <c r="JI78" s="106"/>
      <c r="JJ78" s="106"/>
      <c r="JK78" s="106"/>
      <c r="JL78" s="106"/>
      <c r="JM78" s="106"/>
      <c r="JN78" s="106"/>
      <c r="JO78" s="106"/>
      <c r="JP78" s="106"/>
      <c r="JQ78" s="106"/>
      <c r="JR78" s="106"/>
      <c r="JS78" s="106"/>
      <c r="JT78" s="106"/>
      <c r="JU78" s="106"/>
      <c r="JV78" s="106"/>
      <c r="JW78" s="106"/>
      <c r="JX78" s="106"/>
      <c r="JY78" s="106"/>
      <c r="JZ78" s="106"/>
      <c r="KA78" s="106"/>
      <c r="KB78" s="106"/>
      <c r="KC78" s="106"/>
      <c r="KD78" s="106"/>
      <c r="KE78" s="106"/>
      <c r="KF78" s="106"/>
      <c r="KG78" s="106"/>
      <c r="KH78" s="106"/>
      <c r="KI78" s="106"/>
      <c r="KJ78" s="106"/>
      <c r="KK78" s="106"/>
      <c r="KL78" s="106"/>
      <c r="KM78" s="106"/>
      <c r="KN78" s="106"/>
      <c r="KO78" s="106"/>
      <c r="KP78" s="106"/>
      <c r="KQ78" s="106"/>
      <c r="KR78" s="106"/>
      <c r="KS78" s="106"/>
      <c r="KT78" s="106"/>
      <c r="KU78" s="106"/>
      <c r="KV78" s="106"/>
      <c r="KW78" s="106"/>
      <c r="KX78" s="106"/>
      <c r="KY78" s="106"/>
      <c r="KZ78" s="106"/>
      <c r="LA78" s="106"/>
      <c r="LB78" s="106"/>
      <c r="LC78" s="106"/>
      <c r="LD78" s="106"/>
      <c r="LE78" s="106"/>
      <c r="LF78" s="106"/>
      <c r="LG78" s="106"/>
      <c r="LH78" s="106"/>
      <c r="LI78" s="106"/>
      <c r="LJ78" s="106"/>
      <c r="LK78" s="106"/>
      <c r="LL78" s="106"/>
      <c r="LM78" s="106"/>
      <c r="LN78" s="106"/>
      <c r="LO78" s="106"/>
      <c r="LP78" s="106"/>
      <c r="LQ78" s="106"/>
      <c r="LR78" s="106"/>
      <c r="LS78" s="106"/>
      <c r="LT78" s="106"/>
      <c r="LU78" s="106"/>
      <c r="LV78" s="106"/>
      <c r="LW78" s="106"/>
      <c r="LX78" s="106"/>
      <c r="LY78" s="106"/>
      <c r="LZ78" s="106"/>
      <c r="MA78" s="106"/>
      <c r="MB78" s="106"/>
      <c r="MC78" s="106"/>
      <c r="MD78" s="106"/>
      <c r="ME78" s="106"/>
      <c r="MF78" s="106"/>
      <c r="MG78" s="106"/>
      <c r="MH78" s="106"/>
      <c r="MI78" s="106"/>
      <c r="MJ78" s="106"/>
      <c r="MK78" s="106"/>
      <c r="ML78" s="106"/>
      <c r="MM78" s="106"/>
      <c r="MN78" s="106"/>
      <c r="MO78" s="106"/>
      <c r="MP78" s="106"/>
      <c r="MQ78" s="106"/>
      <c r="MR78" s="106"/>
      <c r="MS78" s="106"/>
      <c r="MT78" s="106"/>
      <c r="MU78" s="106"/>
      <c r="MV78" s="106"/>
      <c r="MW78" s="106"/>
      <c r="MX78" s="106"/>
      <c r="MY78" s="106"/>
      <c r="MZ78" s="106"/>
      <c r="NA78" s="106"/>
      <c r="NB78" s="106"/>
      <c r="NC78" s="106"/>
      <c r="ND78" s="106"/>
      <c r="NE78" s="106"/>
      <c r="NF78" s="106"/>
      <c r="NG78" s="106"/>
      <c r="NH78" s="106"/>
      <c r="NI78" s="106"/>
      <c r="NJ78" s="106"/>
      <c r="NK78" s="106"/>
      <c r="NL78" s="106"/>
      <c r="NM78" s="106"/>
      <c r="NN78" s="106"/>
      <c r="NO78" s="106"/>
      <c r="NP78" s="106"/>
      <c r="NQ78" s="106"/>
      <c r="NR78" s="106"/>
      <c r="NS78" s="106"/>
      <c r="NT78" s="106"/>
      <c r="NU78" s="106"/>
      <c r="NV78" s="106"/>
      <c r="NW78" s="106"/>
      <c r="NX78" s="106"/>
      <c r="NY78" s="106"/>
      <c r="NZ78" s="106"/>
      <c r="OA78" s="106"/>
      <c r="OB78" s="106"/>
      <c r="OC78" s="106"/>
      <c r="OD78" s="106"/>
      <c r="OE78" s="106"/>
      <c r="OF78" s="106"/>
      <c r="OG78" s="106"/>
      <c r="OH78" s="106"/>
      <c r="OI78" s="106"/>
      <c r="OJ78" s="106"/>
      <c r="OK78" s="106"/>
      <c r="OL78" s="106"/>
      <c r="OM78" s="106"/>
      <c r="ON78" s="106"/>
      <c r="OO78" s="106"/>
      <c r="OP78" s="106"/>
      <c r="OQ78" s="106"/>
      <c r="OR78" s="106"/>
      <c r="OS78" s="106"/>
      <c r="OT78" s="106"/>
      <c r="OU78" s="106"/>
      <c r="OV78" s="106"/>
      <c r="OW78" s="106"/>
      <c r="OX78" s="106"/>
      <c r="OY78" s="106"/>
      <c r="OZ78" s="106"/>
      <c r="PA78" s="106"/>
      <c r="PB78" s="106"/>
      <c r="PC78" s="106"/>
      <c r="PD78" s="106"/>
      <c r="PE78" s="106"/>
      <c r="PF78" s="106"/>
      <c r="PG78" s="106"/>
      <c r="PH78" s="106"/>
      <c r="PI78" s="106"/>
      <c r="PJ78" s="106"/>
      <c r="PK78" s="106"/>
      <c r="PL78" s="106"/>
      <c r="PM78" s="106"/>
      <c r="PN78" s="106"/>
      <c r="PO78" s="106"/>
      <c r="PP78" s="106"/>
      <c r="PQ78" s="106"/>
      <c r="PR78" s="106"/>
      <c r="PS78" s="106"/>
      <c r="PT78" s="106"/>
      <c r="PU78" s="106"/>
      <c r="PV78" s="106"/>
      <c r="PW78" s="106"/>
      <c r="PX78" s="106"/>
      <c r="PY78" s="106"/>
      <c r="PZ78" s="106"/>
      <c r="QA78" s="106"/>
      <c r="QB78" s="106"/>
      <c r="QC78" s="106"/>
      <c r="QD78" s="106"/>
      <c r="QE78" s="106"/>
      <c r="QF78" s="106"/>
      <c r="QG78" s="106"/>
      <c r="QH78" s="106"/>
      <c r="QI78" s="106"/>
      <c r="QJ78" s="106"/>
      <c r="QK78" s="106"/>
      <c r="QL78" s="106"/>
      <c r="QM78" s="106"/>
      <c r="QN78" s="106"/>
      <c r="QO78" s="106"/>
      <c r="QP78" s="106"/>
      <c r="QQ78" s="106"/>
      <c r="QR78" s="106"/>
      <c r="QS78" s="106"/>
      <c r="QT78" s="106"/>
      <c r="QU78" s="106"/>
      <c r="QV78" s="106"/>
      <c r="QW78" s="106"/>
      <c r="QX78" s="106"/>
      <c r="QY78" s="106"/>
      <c r="QZ78" s="106"/>
      <c r="RA78" s="106"/>
      <c r="RB78" s="106"/>
      <c r="RC78" s="106"/>
      <c r="RD78" s="106"/>
      <c r="RE78" s="106"/>
      <c r="RF78" s="106"/>
      <c r="RG78" s="106"/>
      <c r="RH78" s="106"/>
      <c r="RI78" s="106"/>
      <c r="RJ78" s="106"/>
      <c r="RK78" s="106"/>
      <c r="RL78" s="106"/>
      <c r="RM78" s="106"/>
      <c r="RN78" s="106"/>
      <c r="RO78" s="106"/>
      <c r="RP78" s="106"/>
      <c r="RQ78" s="106"/>
      <c r="RR78" s="106"/>
      <c r="RS78" s="106"/>
      <c r="RT78" s="106"/>
      <c r="RU78" s="106"/>
      <c r="RV78" s="106"/>
      <c r="RW78" s="106"/>
      <c r="RX78" s="106"/>
      <c r="RY78" s="106"/>
      <c r="RZ78" s="106"/>
      <c r="SA78" s="106"/>
      <c r="SB78" s="106"/>
      <c r="SC78" s="106"/>
      <c r="SD78" s="106"/>
      <c r="SE78" s="106"/>
      <c r="SF78" s="106"/>
      <c r="SG78" s="106"/>
      <c r="SH78" s="106"/>
      <c r="SI78" s="106"/>
      <c r="SJ78" s="106"/>
      <c r="SK78" s="106"/>
      <c r="SL78" s="106"/>
      <c r="SM78" s="106"/>
      <c r="SN78" s="106"/>
      <c r="SO78" s="106"/>
      <c r="SP78" s="106"/>
      <c r="SQ78" s="106"/>
      <c r="SR78" s="106"/>
      <c r="SS78" s="106"/>
      <c r="ST78" s="106"/>
      <c r="SU78" s="106"/>
      <c r="SV78" s="106"/>
      <c r="SW78" s="106"/>
      <c r="SX78" s="106"/>
      <c r="SY78" s="106"/>
      <c r="SZ78" s="106"/>
      <c r="TA78" s="106"/>
      <c r="TB78" s="106"/>
      <c r="TC78" s="106"/>
      <c r="TD78" s="106"/>
      <c r="TE78" s="106"/>
      <c r="TF78" s="106"/>
      <c r="TG78" s="106"/>
      <c r="TH78" s="106"/>
      <c r="TI78" s="106"/>
      <c r="TJ78" s="106"/>
      <c r="TK78" s="106"/>
      <c r="TL78" s="106"/>
      <c r="TM78" s="106"/>
      <c r="TN78" s="106"/>
      <c r="TO78" s="106"/>
      <c r="TP78" s="106"/>
      <c r="TQ78" s="106"/>
      <c r="TR78" s="106"/>
      <c r="TS78" s="106"/>
      <c r="TT78" s="106"/>
      <c r="TU78" s="106"/>
      <c r="TV78" s="106"/>
      <c r="TW78" s="106"/>
      <c r="TX78" s="106"/>
      <c r="TY78" s="106"/>
      <c r="TZ78" s="106"/>
      <c r="UA78" s="106"/>
      <c r="UB78" s="106"/>
      <c r="UC78" s="106"/>
      <c r="UD78" s="106"/>
      <c r="UE78" s="106"/>
      <c r="UF78" s="106"/>
      <c r="UG78" s="106"/>
      <c r="UH78" s="106"/>
      <c r="UI78" s="106"/>
      <c r="UJ78" s="106"/>
      <c r="UK78" s="106"/>
      <c r="UL78" s="106"/>
      <c r="UM78" s="106"/>
      <c r="UN78" s="106"/>
      <c r="UO78" s="106"/>
      <c r="UP78" s="106"/>
      <c r="UQ78" s="106"/>
      <c r="UR78" s="106"/>
      <c r="US78" s="106"/>
      <c r="UT78" s="106"/>
      <c r="UU78" s="106"/>
      <c r="UV78" s="106"/>
      <c r="UW78" s="106"/>
      <c r="UX78" s="106"/>
      <c r="UY78" s="106"/>
      <c r="UZ78" s="106"/>
      <c r="VA78" s="106"/>
      <c r="VB78" s="106"/>
      <c r="VC78" s="106"/>
      <c r="VD78" s="106"/>
      <c r="VE78" s="106"/>
      <c r="VF78" s="106"/>
      <c r="VG78" s="106"/>
      <c r="VH78" s="106"/>
      <c r="VI78" s="106"/>
      <c r="VJ78" s="106"/>
      <c r="VK78" s="106"/>
      <c r="VL78" s="106"/>
      <c r="VM78" s="106"/>
      <c r="VN78" s="106"/>
      <c r="VO78" s="106"/>
      <c r="VP78" s="106"/>
      <c r="VQ78" s="106"/>
      <c r="VR78" s="106"/>
      <c r="VS78" s="106"/>
      <c r="VT78" s="106"/>
      <c r="VU78" s="106"/>
      <c r="VV78" s="106"/>
      <c r="VW78" s="106"/>
      <c r="VX78" s="106"/>
      <c r="VY78" s="106"/>
      <c r="VZ78" s="106"/>
      <c r="WA78" s="106"/>
      <c r="WB78" s="106"/>
      <c r="WC78" s="106"/>
      <c r="WD78" s="106"/>
      <c r="WE78" s="106"/>
      <c r="WF78" s="106"/>
      <c r="WG78" s="106"/>
      <c r="WH78" s="106"/>
      <c r="WI78" s="106"/>
      <c r="WJ78" s="106"/>
      <c r="WK78" s="106"/>
      <c r="WL78" s="106"/>
      <c r="WM78" s="106"/>
      <c r="WN78" s="106"/>
      <c r="WO78" s="106"/>
      <c r="WP78" s="106"/>
      <c r="WQ78" s="106"/>
      <c r="WR78" s="106"/>
      <c r="WS78" s="106"/>
      <c r="WT78" s="106"/>
      <c r="WU78" s="106"/>
      <c r="WV78" s="106"/>
      <c r="WW78" s="106"/>
      <c r="WX78" s="106"/>
      <c r="WY78" s="106"/>
      <c r="WZ78" s="106"/>
      <c r="XA78" s="106"/>
      <c r="XB78" s="106"/>
      <c r="XC78" s="106"/>
      <c r="XD78" s="106"/>
      <c r="XE78" s="106"/>
      <c r="XF78" s="106"/>
      <c r="XG78" s="106"/>
      <c r="XH78" s="106"/>
      <c r="XI78" s="106"/>
      <c r="XJ78" s="106"/>
      <c r="XK78" s="106"/>
      <c r="XL78" s="106"/>
      <c r="XM78" s="106"/>
      <c r="XN78" s="106"/>
      <c r="XO78" s="106"/>
      <c r="XP78" s="106"/>
      <c r="XQ78" s="106"/>
      <c r="XR78" s="106"/>
      <c r="XS78" s="106"/>
      <c r="XT78" s="106"/>
      <c r="XU78" s="106"/>
      <c r="XV78" s="106"/>
      <c r="XW78" s="106"/>
      <c r="XX78" s="106"/>
      <c r="XY78" s="106"/>
      <c r="XZ78" s="106"/>
      <c r="YA78" s="106"/>
      <c r="YB78" s="106"/>
      <c r="YC78" s="106"/>
      <c r="YD78" s="106"/>
      <c r="YE78" s="106"/>
      <c r="YF78" s="106"/>
      <c r="YG78" s="106"/>
      <c r="YH78" s="106"/>
      <c r="YI78" s="106"/>
      <c r="YJ78" s="106"/>
      <c r="YK78" s="106"/>
      <c r="YL78" s="106"/>
      <c r="YM78" s="106"/>
      <c r="YN78" s="106"/>
      <c r="YO78" s="106"/>
      <c r="YP78" s="106"/>
      <c r="YQ78" s="106"/>
      <c r="YR78" s="106"/>
      <c r="YS78" s="106"/>
      <c r="YT78" s="106"/>
      <c r="YU78" s="106"/>
      <c r="YV78" s="106"/>
      <c r="YW78" s="106"/>
      <c r="YX78" s="106"/>
      <c r="YY78" s="106"/>
      <c r="YZ78" s="106"/>
      <c r="ZA78" s="106"/>
      <c r="ZB78" s="106"/>
      <c r="ZC78" s="106"/>
      <c r="ZD78" s="106"/>
      <c r="ZE78" s="106"/>
      <c r="ZF78" s="106"/>
      <c r="ZG78" s="106"/>
      <c r="ZH78" s="106"/>
      <c r="ZI78" s="106"/>
      <c r="ZJ78" s="106"/>
      <c r="ZK78" s="106"/>
      <c r="ZL78" s="106"/>
      <c r="ZM78" s="106"/>
      <c r="ZN78" s="106"/>
      <c r="ZO78" s="106"/>
      <c r="ZP78" s="106"/>
      <c r="ZQ78" s="106"/>
      <c r="ZR78" s="106"/>
      <c r="ZS78" s="106"/>
      <c r="ZT78" s="106"/>
      <c r="ZU78" s="106"/>
      <c r="ZV78" s="106"/>
      <c r="ZW78" s="106"/>
      <c r="ZX78" s="106"/>
      <c r="ZY78" s="106"/>
      <c r="ZZ78" s="106"/>
      <c r="AAA78" s="106"/>
      <c r="AAB78" s="106"/>
      <c r="AAC78" s="106"/>
      <c r="AAD78" s="106"/>
      <c r="AAE78" s="106"/>
      <c r="AAF78" s="106"/>
      <c r="AAG78" s="106"/>
      <c r="AAH78" s="106"/>
      <c r="AAI78" s="106"/>
      <c r="AAJ78" s="106"/>
      <c r="AAK78" s="106"/>
      <c r="AAL78" s="106"/>
      <c r="AAM78" s="106"/>
      <c r="AAN78" s="106"/>
      <c r="AAO78" s="106"/>
      <c r="AAP78" s="106"/>
      <c r="AAQ78" s="106"/>
      <c r="AAR78" s="106"/>
      <c r="AAS78" s="106"/>
      <c r="AAT78" s="106"/>
      <c r="AAU78" s="106"/>
      <c r="AAV78" s="106"/>
      <c r="AAW78" s="106"/>
      <c r="AAX78" s="106"/>
      <c r="AAY78" s="106"/>
      <c r="AAZ78" s="106"/>
      <c r="ABA78" s="106"/>
      <c r="ABB78" s="106"/>
      <c r="ABC78" s="106"/>
      <c r="ABD78" s="106"/>
      <c r="ABE78" s="106"/>
      <c r="ABF78" s="106"/>
      <c r="ABG78" s="106"/>
      <c r="ABH78" s="106"/>
      <c r="ABI78" s="106"/>
      <c r="ABJ78" s="106"/>
      <c r="ABK78" s="106"/>
      <c r="ABL78" s="106"/>
      <c r="ABM78" s="106"/>
      <c r="ABN78" s="106"/>
      <c r="ABO78" s="106"/>
      <c r="ABP78" s="106"/>
      <c r="ABQ78" s="106"/>
      <c r="ABR78" s="106"/>
      <c r="ABS78" s="106"/>
      <c r="ABT78" s="106"/>
      <c r="ABU78" s="106"/>
      <c r="ABV78" s="106"/>
      <c r="ABW78" s="106"/>
      <c r="ABX78" s="106"/>
      <c r="ABY78" s="106"/>
      <c r="ABZ78" s="106"/>
      <c r="ACA78" s="106"/>
      <c r="ACB78" s="106"/>
      <c r="ACC78" s="106"/>
      <c r="ACD78" s="106"/>
      <c r="ACE78" s="106"/>
      <c r="ACF78" s="106"/>
      <c r="ACG78" s="106"/>
      <c r="ACH78" s="106"/>
      <c r="ACI78" s="106"/>
      <c r="ACJ78" s="106"/>
      <c r="ACK78" s="106"/>
      <c r="ACL78" s="106"/>
      <c r="ACM78" s="106"/>
      <c r="ACN78" s="106"/>
      <c r="ACO78" s="106"/>
      <c r="ACP78" s="106"/>
      <c r="ACQ78" s="106"/>
      <c r="ACR78" s="106"/>
      <c r="ACS78" s="106"/>
      <c r="ACT78" s="106"/>
      <c r="ACU78" s="106"/>
      <c r="ACV78" s="106"/>
      <c r="ACW78" s="106"/>
      <c r="ACX78" s="106"/>
      <c r="ACY78" s="106"/>
      <c r="ACZ78" s="106"/>
      <c r="ADA78" s="106"/>
      <c r="ADB78" s="106"/>
      <c r="ADC78" s="106"/>
      <c r="ADD78" s="106"/>
      <c r="ADE78" s="106"/>
      <c r="ADF78" s="106"/>
      <c r="ADG78" s="106"/>
      <c r="ADH78" s="106"/>
      <c r="ADI78" s="106"/>
      <c r="ADJ78" s="106"/>
      <c r="ADK78" s="106"/>
      <c r="ADL78" s="106"/>
      <c r="ADM78" s="106"/>
      <c r="ADN78" s="106"/>
      <c r="ADO78" s="106"/>
      <c r="ADP78" s="106"/>
      <c r="ADQ78" s="106"/>
      <c r="ADR78" s="106"/>
      <c r="ADS78" s="106"/>
      <c r="ADT78" s="106"/>
      <c r="ADU78" s="106"/>
      <c r="ADV78" s="106"/>
      <c r="ADW78" s="106"/>
      <c r="ADX78" s="106"/>
      <c r="ADY78" s="106"/>
      <c r="ADZ78" s="106"/>
      <c r="AEA78" s="106"/>
      <c r="AEB78" s="106"/>
      <c r="AEC78" s="106"/>
      <c r="AED78" s="106"/>
      <c r="AEE78" s="106"/>
      <c r="AEF78" s="106"/>
      <c r="AEG78" s="106"/>
      <c r="AEH78" s="106"/>
      <c r="AEI78" s="106"/>
      <c r="AEJ78" s="106"/>
      <c r="AEK78" s="106"/>
      <c r="AEL78" s="106"/>
      <c r="AEM78" s="106"/>
      <c r="AEN78" s="106"/>
      <c r="AEO78" s="106"/>
      <c r="AEP78" s="106"/>
      <c r="AEQ78" s="106"/>
      <c r="AER78" s="106"/>
      <c r="AES78" s="106"/>
      <c r="AET78" s="106"/>
      <c r="AEU78" s="106"/>
      <c r="AEV78" s="106"/>
      <c r="AEW78" s="106"/>
      <c r="AEX78" s="106"/>
      <c r="AEY78" s="106"/>
      <c r="AEZ78" s="106"/>
      <c r="AFA78" s="106"/>
      <c r="AFB78" s="106"/>
      <c r="AFC78" s="106"/>
      <c r="AFD78" s="106"/>
      <c r="AFE78" s="106"/>
      <c r="AFF78" s="106"/>
      <c r="AFG78" s="106"/>
      <c r="AFH78" s="106"/>
      <c r="AFI78" s="106"/>
      <c r="AFJ78" s="106"/>
      <c r="AFK78" s="106"/>
      <c r="AFL78" s="106"/>
      <c r="AFM78" s="106"/>
      <c r="AFN78" s="106"/>
      <c r="AFO78" s="106"/>
      <c r="AFP78" s="106"/>
      <c r="AFQ78" s="106"/>
      <c r="AFR78" s="106"/>
      <c r="AFS78" s="106"/>
      <c r="AFT78" s="106"/>
      <c r="AFU78" s="106"/>
    </row>
    <row r="79" spans="1:853" ht="13.5" thickBot="1">
      <c r="A79" s="2019" t="s">
        <v>298</v>
      </c>
      <c r="B79" s="2020"/>
      <c r="C79" s="2020"/>
      <c r="D79" s="2020"/>
      <c r="E79" s="2020"/>
      <c r="F79" s="235">
        <f>SUM(F2:F78)</f>
        <v>7126.79</v>
      </c>
      <c r="G79" s="235">
        <f>SUM(G2:G78)</f>
        <v>511.84999999999997</v>
      </c>
      <c r="H79" s="235">
        <f>SUM(H2:H78)</f>
        <v>1025.17</v>
      </c>
      <c r="I79" s="235">
        <f>SUM(I2:I78)</f>
        <v>414.30999999999995</v>
      </c>
      <c r="J79" s="235">
        <f>SUM(J2:J78)</f>
        <v>7568.2410000000036</v>
      </c>
      <c r="K79" s="40"/>
      <c r="L79" s="40"/>
      <c r="M79" s="40"/>
      <c r="N79" s="40"/>
      <c r="O79" s="40"/>
      <c r="P79" s="40"/>
      <c r="Q79" s="40"/>
      <c r="R79" s="41"/>
      <c r="S79" s="40"/>
      <c r="T79" s="40"/>
      <c r="U79" s="42"/>
      <c r="V79" s="42"/>
      <c r="W79" s="40"/>
      <c r="X79" s="43"/>
      <c r="Y79" s="43"/>
      <c r="Z79" s="43"/>
      <c r="AA79" s="43"/>
      <c r="AB79" s="320"/>
      <c r="AC79" s="44"/>
      <c r="AD79" s="317"/>
      <c r="AE79" s="317"/>
      <c r="AF79" s="44"/>
      <c r="AG79" s="317"/>
      <c r="AH79" s="44"/>
      <c r="AI79" s="317"/>
      <c r="AJ79" s="40"/>
      <c r="AK79" s="40"/>
      <c r="AL79" s="40"/>
      <c r="AM79" s="644"/>
      <c r="AN79" s="40"/>
      <c r="AO79" s="40"/>
      <c r="AP79" s="40"/>
      <c r="AQ79" s="40"/>
      <c r="AR79" s="45"/>
      <c r="AS79" s="45"/>
      <c r="AT79" s="45"/>
      <c r="AU79" s="45"/>
      <c r="AV79" s="45"/>
      <c r="AW79" s="45"/>
      <c r="AX79" s="45"/>
      <c r="AY79" s="45"/>
      <c r="AZ79" s="45"/>
      <c r="BA79" s="41"/>
      <c r="BB79" s="41"/>
    </row>
    <row r="80" spans="1:853" ht="13.5" thickBot="1">
      <c r="A80" s="40"/>
      <c r="B80" s="40"/>
      <c r="C80" s="40"/>
      <c r="D80" s="40"/>
      <c r="E80" s="40"/>
      <c r="F80" s="40"/>
      <c r="G80" s="40"/>
      <c r="H80" s="40"/>
      <c r="I80" s="40"/>
      <c r="J80" s="666"/>
      <c r="K80" s="40"/>
      <c r="L80" s="40"/>
      <c r="M80" s="40"/>
      <c r="N80" s="40"/>
      <c r="O80" s="40"/>
      <c r="P80" s="40"/>
      <c r="Q80" s="40"/>
      <c r="R80" s="41">
        <f>R76*3%</f>
        <v>21900</v>
      </c>
      <c r="S80" s="40"/>
      <c r="T80" s="40"/>
      <c r="U80" s="41"/>
      <c r="V80" s="41"/>
      <c r="W80" s="40"/>
      <c r="X80" s="40"/>
      <c r="Y80" s="40"/>
      <c r="Z80" s="40"/>
      <c r="AA80" s="40"/>
      <c r="AB80" s="320"/>
      <c r="AC80" s="320"/>
      <c r="AD80" s="43"/>
      <c r="AE80" s="43"/>
      <c r="AF80" s="40"/>
      <c r="AG80" s="43"/>
      <c r="AH80" s="40"/>
      <c r="AI80" s="43"/>
      <c r="AJ80" s="40"/>
      <c r="AK80" s="40"/>
      <c r="AL80" s="40"/>
      <c r="AM80" s="644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1"/>
      <c r="BB80" s="41"/>
    </row>
    <row r="81" spans="1:54" ht="13.5" thickBot="1">
      <c r="A81" s="46"/>
      <c r="B81" s="47"/>
      <c r="C81" s="48" t="s">
        <v>139</v>
      </c>
      <c r="D81" s="48" t="s">
        <v>140</v>
      </c>
      <c r="E81" s="49" t="s">
        <v>17</v>
      </c>
      <c r="F81" s="107"/>
      <c r="G81" s="1915" t="s">
        <v>289</v>
      </c>
      <c r="H81" s="1916"/>
      <c r="I81" s="107"/>
      <c r="J81" s="666"/>
      <c r="K81" s="40"/>
      <c r="L81" s="40"/>
      <c r="M81" s="40"/>
      <c r="N81" s="40"/>
      <c r="O81" s="40"/>
      <c r="P81" s="40"/>
      <c r="Q81" s="40"/>
      <c r="R81" s="41">
        <f>R80/2</f>
        <v>10950</v>
      </c>
      <c r="S81" s="40"/>
      <c r="T81" s="40"/>
      <c r="U81" s="234"/>
      <c r="V81" s="234"/>
      <c r="W81" s="40"/>
      <c r="X81" s="40"/>
      <c r="Y81" s="40"/>
      <c r="Z81" s="40"/>
      <c r="AA81" s="40"/>
      <c r="AB81" s="320"/>
      <c r="AC81" s="320"/>
      <c r="AD81" s="43"/>
      <c r="AE81" s="43"/>
      <c r="AF81" s="40"/>
      <c r="AG81" s="43"/>
      <c r="AH81" s="40"/>
      <c r="AI81" s="43"/>
      <c r="AJ81" s="40"/>
      <c r="AK81" s="40"/>
      <c r="AL81" s="40"/>
      <c r="AM81" s="644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1"/>
      <c r="BB81" s="41"/>
    </row>
    <row r="82" spans="1:54" ht="13.5" thickBot="1">
      <c r="A82" s="1903" t="s">
        <v>258</v>
      </c>
      <c r="B82" s="1904"/>
      <c r="C82" s="50">
        <f>COUNTIF(Q2:Q78,A82)</f>
        <v>76</v>
      </c>
      <c r="D82" s="51">
        <f>SUMIF(Q2:Q78,A82,R2:R78)</f>
        <v>23838560</v>
      </c>
      <c r="E82" s="52">
        <f>AVERAGEIF(Q2:Q78,A82,X2:X78)</f>
        <v>3224.9652765642327</v>
      </c>
      <c r="F82" s="107"/>
      <c r="G82" s="225">
        <v>2022</v>
      </c>
      <c r="H82" s="227">
        <f>COUNTIFS(AC2:AC78,"&gt;="&amp;DATE(2022,1,1),AC2:AC78,"&lt;="&amp;DATE(2022,12,31))</f>
        <v>14</v>
      </c>
      <c r="I82" s="107"/>
      <c r="J82" s="1881">
        <v>10950</v>
      </c>
      <c r="K82" s="1882"/>
      <c r="L82" s="1882"/>
      <c r="M82" s="1882"/>
      <c r="N82" s="1882"/>
      <c r="O82" s="1882"/>
      <c r="P82" s="1882"/>
      <c r="Q82" s="1882"/>
      <c r="R82" s="1882"/>
      <c r="S82" s="1882"/>
      <c r="T82" s="1882"/>
      <c r="U82" s="1882"/>
      <c r="V82" s="1883"/>
      <c r="W82" s="40"/>
      <c r="X82" s="40"/>
      <c r="Y82" s="40"/>
      <c r="Z82" s="40"/>
      <c r="AA82" s="40"/>
      <c r="AB82" s="320"/>
      <c r="AC82" s="320"/>
      <c r="AD82" s="43"/>
      <c r="AE82" s="43"/>
      <c r="AF82" s="40"/>
      <c r="AG82" s="43"/>
      <c r="AH82" s="40"/>
      <c r="AI82" s="43"/>
      <c r="AJ82" s="40"/>
      <c r="AK82" s="40"/>
      <c r="AL82" s="40"/>
      <c r="AM82" s="644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1"/>
      <c r="BB82" s="41"/>
    </row>
    <row r="83" spans="1:54">
      <c r="A83" s="1905" t="s">
        <v>102</v>
      </c>
      <c r="B83" s="1906"/>
      <c r="C83" s="53">
        <f>COUNTIF(Q2:Q78,A83)</f>
        <v>0</v>
      </c>
      <c r="D83" s="54">
        <f>SUMIF(Q2:Q78,A83,S2:S78)</f>
        <v>0</v>
      </c>
      <c r="E83" s="55" t="e">
        <f>AVERAGEIF(Q2:Q78,A83,Y2:Y78)</f>
        <v>#DIV/0!</v>
      </c>
      <c r="F83" s="107"/>
      <c r="G83" s="225">
        <v>2023</v>
      </c>
      <c r="H83" s="227">
        <f>COUNTIFS(AC2:AC78,"&gt;="&amp;DATE(2023,1,1),AC2:AC78,"&lt;="&amp;DATE(2023,12,31))</f>
        <v>41</v>
      </c>
      <c r="I83" s="107"/>
      <c r="J83" s="1015" t="s">
        <v>17303</v>
      </c>
      <c r="K83" s="1015" t="s">
        <v>17304</v>
      </c>
      <c r="L83" s="1016" t="s">
        <v>17305</v>
      </c>
      <c r="M83" s="1017" t="s">
        <v>17306</v>
      </c>
      <c r="N83" s="1017" t="s">
        <v>17307</v>
      </c>
      <c r="O83" s="1017" t="s">
        <v>17308</v>
      </c>
      <c r="P83" s="1018" t="s">
        <v>17309</v>
      </c>
      <c r="Q83" s="1018" t="s">
        <v>17310</v>
      </c>
      <c r="R83" s="1018" t="s">
        <v>17311</v>
      </c>
      <c r="S83" s="1018" t="s">
        <v>17312</v>
      </c>
      <c r="T83" s="1018" t="s">
        <v>17313</v>
      </c>
      <c r="U83" s="1018" t="s">
        <v>17314</v>
      </c>
      <c r="V83" s="40"/>
      <c r="W83" s="40"/>
      <c r="X83" s="40"/>
      <c r="Y83" s="40"/>
      <c r="Z83" s="40"/>
      <c r="AA83" s="320"/>
      <c r="AB83" s="320"/>
      <c r="AC83" s="43"/>
      <c r="AD83" s="43"/>
      <c r="AE83" s="40"/>
      <c r="AF83" s="43"/>
      <c r="AG83" s="40"/>
      <c r="AH83" s="43"/>
      <c r="AI83" s="40"/>
      <c r="AJ83" s="40"/>
      <c r="AK83" s="40"/>
      <c r="AL83" s="644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1"/>
      <c r="BA83" s="41"/>
      <c r="BB83" s="1"/>
    </row>
    <row r="84" spans="1:54" ht="13.5" thickBot="1">
      <c r="A84" s="1907" t="s">
        <v>138</v>
      </c>
      <c r="B84" s="1908"/>
      <c r="C84" s="56">
        <f>COUNTIF(Q2:Q78,"")</f>
        <v>0</v>
      </c>
      <c r="D84" s="57">
        <f>SUMIF(Q2:Q78,"",T2:T78)</f>
        <v>0</v>
      </c>
      <c r="E84" s="58" t="e">
        <f>AVERAGEIF(Q2:Q78,"",Y2:Y78)</f>
        <v>#DIV/0!</v>
      </c>
      <c r="F84" s="107"/>
      <c r="G84" s="226">
        <v>2024</v>
      </c>
      <c r="H84" s="216">
        <f>COUNTIFS(AC2:AC78,"&gt;="&amp;DATE(2024,1,1),AC2:AC78,"&lt;="&amp;DATE(2024,12,31))</f>
        <v>10</v>
      </c>
      <c r="I84" s="107"/>
      <c r="J84" s="2041"/>
      <c r="K84" s="2042"/>
      <c r="L84" s="2042"/>
      <c r="M84" s="2042"/>
      <c r="N84" s="2042"/>
      <c r="O84" s="2042"/>
      <c r="P84" s="2042"/>
      <c r="Q84" s="2042"/>
      <c r="R84" s="2042"/>
      <c r="S84" s="2042"/>
      <c r="T84" s="2043"/>
      <c r="U84" s="719">
        <f>COUNTIFS(AC2:AC78,"&gt;="&amp;DATE(2022,11,1),AC2:AC78,"&lt;="&amp;DATE(2022,11,30))</f>
        <v>11</v>
      </c>
      <c r="V84" s="719">
        <f>COUNTIFS(AC2:AC78,"&gt;="&amp;DATE(2022,12,1),AC2:AC78,"&lt;="&amp;DATE(2022,12,31))</f>
        <v>3</v>
      </c>
      <c r="W84" s="40"/>
      <c r="X84" s="40"/>
      <c r="Y84" s="40"/>
      <c r="Z84" s="40"/>
      <c r="AA84" s="40"/>
      <c r="AB84" s="320"/>
      <c r="AC84" s="320"/>
      <c r="AD84" s="43"/>
      <c r="AE84" s="43"/>
      <c r="AF84" s="40"/>
      <c r="AG84" s="43"/>
      <c r="AH84" s="40"/>
      <c r="AI84" s="43"/>
      <c r="AJ84" s="40"/>
      <c r="AK84" s="40"/>
      <c r="AL84" s="40"/>
      <c r="AM84" s="644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1"/>
      <c r="BB84" s="41"/>
    </row>
    <row r="85" spans="1:54" ht="13.5" thickBot="1">
      <c r="A85" s="1897" t="s">
        <v>210</v>
      </c>
      <c r="B85" s="1898"/>
      <c r="C85" s="59">
        <f>COUNTIF(Q2:Q78,A85)</f>
        <v>1</v>
      </c>
      <c r="D85" s="60">
        <f>SUMIF(Q2:Q78,A85,R2:R78)</f>
        <v>620000</v>
      </c>
      <c r="E85" s="61">
        <f>AVERAGEIF(Q2:Q78,A85,X2:X78)</f>
        <v>3445.727020613228</v>
      </c>
      <c r="F85" s="107"/>
      <c r="G85" s="226">
        <v>2025</v>
      </c>
      <c r="H85" s="216">
        <f>COUNTIFS(AC2:AC78,"&gt;="&amp;DATE(2025,1,1),AC2:AC78,"&lt;="&amp;DATE(2025,12,31))</f>
        <v>11</v>
      </c>
      <c r="I85" s="107"/>
      <c r="J85" s="1881" t="s">
        <v>17457</v>
      </c>
      <c r="K85" s="1882"/>
      <c r="L85" s="1882"/>
      <c r="M85" s="1882"/>
      <c r="N85" s="1882"/>
      <c r="O85" s="1882"/>
      <c r="P85" s="1882"/>
      <c r="Q85" s="1882"/>
      <c r="R85" s="1882"/>
      <c r="S85" s="1882"/>
      <c r="T85" s="1882"/>
      <c r="U85" s="1882"/>
      <c r="V85" s="1883"/>
      <c r="W85" s="40"/>
      <c r="X85" s="40"/>
      <c r="Y85" s="40"/>
      <c r="Z85" s="40"/>
      <c r="AA85" s="40"/>
      <c r="AB85" s="320"/>
      <c r="AC85" s="320"/>
      <c r="AD85" s="43"/>
      <c r="AE85" s="43">
        <f>V77*0.96</f>
        <v>622080</v>
      </c>
      <c r="AF85" s="40"/>
      <c r="AG85" s="43"/>
      <c r="AH85" s="40"/>
      <c r="AI85" s="43"/>
      <c r="AJ85" s="40"/>
      <c r="AK85" s="40"/>
      <c r="AL85" s="40"/>
      <c r="AM85" s="644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1"/>
      <c r="BB85" s="41"/>
    </row>
    <row r="86" spans="1:54" ht="23.25" customHeight="1" thickBot="1">
      <c r="A86" s="1895" t="s">
        <v>269</v>
      </c>
      <c r="B86" s="1896"/>
      <c r="C86" s="205">
        <f>SUBTOTAL(9,C82:C85)</f>
        <v>77</v>
      </c>
      <c r="D86" s="206">
        <f>SUM(D82:D85)</f>
        <v>24458560</v>
      </c>
      <c r="E86" s="207">
        <f>D86/J79</f>
        <v>3231.7364100852483</v>
      </c>
      <c r="F86" s="323"/>
      <c r="G86" s="308" t="s">
        <v>544</v>
      </c>
      <c r="H86" s="309">
        <f>C82/C86</f>
        <v>0.98701298701298701</v>
      </c>
      <c r="I86" s="107"/>
      <c r="J86" s="1015" t="s">
        <v>17303</v>
      </c>
      <c r="K86" s="1015" t="s">
        <v>17304</v>
      </c>
      <c r="L86" s="1016" t="s">
        <v>17305</v>
      </c>
      <c r="M86" s="1017" t="s">
        <v>17306</v>
      </c>
      <c r="N86" s="1017" t="s">
        <v>17307</v>
      </c>
      <c r="O86" s="1017" t="s">
        <v>17308</v>
      </c>
      <c r="P86" s="1018" t="s">
        <v>17309</v>
      </c>
      <c r="Q86" s="1018" t="s">
        <v>17310</v>
      </c>
      <c r="R86" s="1018" t="s">
        <v>17311</v>
      </c>
      <c r="S86" s="1018" t="s">
        <v>17312</v>
      </c>
      <c r="T86" s="1018" t="s">
        <v>17313</v>
      </c>
      <c r="U86" s="1018" t="s">
        <v>17314</v>
      </c>
      <c r="V86" s="40"/>
      <c r="W86" s="320"/>
      <c r="X86" s="234"/>
      <c r="Y86" s="43"/>
      <c r="Z86" s="43"/>
      <c r="AA86" s="320"/>
      <c r="AB86" s="320"/>
      <c r="AC86" s="43"/>
      <c r="AD86" s="43"/>
      <c r="AE86" s="40"/>
      <c r="AF86" s="43"/>
      <c r="AG86" s="40"/>
      <c r="AH86" s="43"/>
      <c r="AI86" s="40"/>
      <c r="AJ86" s="40"/>
      <c r="AK86" s="40"/>
      <c r="AL86" s="644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1"/>
      <c r="BA86" s="41"/>
      <c r="BB86" s="1"/>
    </row>
    <row r="87" spans="1:54" ht="13.5" thickBot="1">
      <c r="A87" s="3"/>
      <c r="B87" s="3"/>
      <c r="C87" s="3"/>
      <c r="D87" s="3"/>
      <c r="E87" s="3"/>
      <c r="F87" s="107"/>
      <c r="G87" s="107"/>
      <c r="H87" s="107"/>
      <c r="I87" s="107"/>
      <c r="J87" s="1012">
        <f>COUNTIFS(AC2:AC78,"&gt;="&amp;DATE(2023,1,1),AC2:AC78,"&lt;="&amp;DATE(2023,1,31))</f>
        <v>2</v>
      </c>
      <c r="K87" s="719">
        <f>COUNTIFS(AC2:AC78,"&gt;="&amp;DATE(2023,2,1),AC2:AC78,"&lt;="&amp;DATE(2023,2,28))</f>
        <v>13</v>
      </c>
      <c r="L87" s="719">
        <f>COUNTIFS(AC2:AC78,"&gt;="&amp;DATE(2023,3,1),AC2:AC78,"&lt;="&amp;DATE(2023,3,31))</f>
        <v>4</v>
      </c>
      <c r="M87" s="719">
        <f>COUNTIFS(AC2:AC78,"&gt;="&amp;DATE(2023,4,1),AC2:AC78,"&lt;="&amp;DATE(2023,4,30))</f>
        <v>6</v>
      </c>
      <c r="N87" s="719">
        <f>COUNTIFS(AC2:AC78,"&gt;="&amp;DATE(2023,5,1),AC2:AC78,"&lt;="&amp;DATE(2023,5,31))</f>
        <v>4</v>
      </c>
      <c r="O87" s="719">
        <f>COUNTIFS(AC2:AC78,"&gt;="&amp;DATE(2023,6,1),AC2:AC78,"&lt;="&amp;DATE(2023,6,30))</f>
        <v>1</v>
      </c>
      <c r="P87" s="719">
        <f>COUNTIFS(AC2:AC78,"&gt;="&amp;DATE(2023,7,1),AC2:AC78,"&lt;="&amp;DATE(2023,7,31))</f>
        <v>1</v>
      </c>
      <c r="Q87" s="719">
        <f>COUNTIFS(AC2:AC78,"&gt;="&amp;DATE(2023,8,1),AC2:AC78,"&lt;="&amp;DATE(2023,8,31))</f>
        <v>1</v>
      </c>
      <c r="R87" s="719">
        <f>COUNTIFS(AC2:AC78,"&gt;="&amp;DATE(2023,9,1),AC2:AC78,"&lt;="&amp;DATE(2023,9,31))</f>
        <v>4</v>
      </c>
      <c r="S87" s="719">
        <f>COUNTIFS(AC2:AC78,"&gt;="&amp;DATE(2023,10,1),AC2:AC78,"&lt;="&amp;DATE(2023,10,31))</f>
        <v>1</v>
      </c>
      <c r="T87" s="719">
        <f>COUNTIFS(AC2:AC78,"&gt;="&amp;DATE(2023,11,1),AC2:AC78,"&lt;="&amp;DATE(2023,11,30))</f>
        <v>2</v>
      </c>
      <c r="U87" s="719">
        <f>COUNTIFS(AC2:AC78,"&gt;="&amp;DATE(2023,12,1),AC2:AC78,"&lt;="&amp;DATE(2023,12,31))</f>
        <v>2</v>
      </c>
      <c r="V87" s="40"/>
      <c r="W87" s="320"/>
      <c r="X87" s="320"/>
      <c r="Y87" s="43"/>
      <c r="Z87" s="43"/>
      <c r="AA87" s="40"/>
      <c r="AB87" s="320"/>
      <c r="AC87" s="320"/>
      <c r="AD87" s="43"/>
      <c r="AE87" s="43"/>
      <c r="AF87" s="40"/>
      <c r="AG87" s="43"/>
      <c r="AH87" s="40"/>
      <c r="AI87" s="43"/>
      <c r="AJ87" s="40"/>
      <c r="AK87" s="40"/>
      <c r="AL87" s="40"/>
      <c r="AM87" s="644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1"/>
      <c r="BB87" s="41"/>
    </row>
    <row r="88" spans="1:54" ht="13.5" thickBot="1">
      <c r="A88" s="1893" t="s">
        <v>139</v>
      </c>
      <c r="B88" s="2023"/>
      <c r="C88" s="62" t="s">
        <v>144</v>
      </c>
      <c r="D88" s="62" t="s">
        <v>90</v>
      </c>
      <c r="E88" s="62" t="s">
        <v>91</v>
      </c>
      <c r="F88" s="62" t="s">
        <v>89</v>
      </c>
      <c r="G88" s="49" t="s">
        <v>141</v>
      </c>
      <c r="H88" s="162"/>
      <c r="I88" s="40"/>
      <c r="J88" s="1881" t="s">
        <v>17315</v>
      </c>
      <c r="K88" s="1882"/>
      <c r="L88" s="1882"/>
      <c r="M88" s="1882"/>
      <c r="N88" s="1882"/>
      <c r="O88" s="1882"/>
      <c r="P88" s="1882"/>
      <c r="Q88" s="1882"/>
      <c r="R88" s="1882"/>
      <c r="S88" s="1882"/>
      <c r="T88" s="1882"/>
      <c r="U88" s="1882"/>
      <c r="V88" s="1883"/>
      <c r="W88" s="40"/>
      <c r="X88" s="320"/>
      <c r="Y88" s="320"/>
      <c r="Z88" s="43"/>
      <c r="AA88" s="43"/>
      <c r="AB88" s="40"/>
      <c r="AC88" s="43"/>
      <c r="AD88" s="40"/>
      <c r="AE88" s="43"/>
      <c r="AF88" s="40"/>
      <c r="AG88" s="40"/>
      <c r="AH88" s="40"/>
      <c r="AI88" s="644"/>
      <c r="AJ88" s="40"/>
      <c r="AK88" s="40"/>
      <c r="AL88" s="40"/>
      <c r="AM88" s="40"/>
      <c r="AN88" s="40"/>
      <c r="AO88" s="40"/>
      <c r="AP88" s="40"/>
      <c r="AQ88" s="40"/>
      <c r="AR88" s="41"/>
      <c r="AS88" s="41"/>
      <c r="AT88" s="41"/>
      <c r="AU88" s="41"/>
      <c r="AV88" s="41"/>
      <c r="AW88" s="41"/>
      <c r="AX88" s="41"/>
      <c r="BA88" s="1"/>
      <c r="BB88" s="1"/>
    </row>
    <row r="89" spans="1:54">
      <c r="A89" s="2024" t="s">
        <v>258</v>
      </c>
      <c r="B89" s="2025"/>
      <c r="C89" s="63">
        <f>COUNTIFS(Q2:Q78,A89,C2:C78,C88)</f>
        <v>1</v>
      </c>
      <c r="D89" s="63">
        <f>COUNTIFS(Q2:Q78,A89,C2:C78,D88)</f>
        <v>30</v>
      </c>
      <c r="E89" s="63">
        <f>COUNTIFS(Q2:Q78,A89,C2:C78,E88)</f>
        <v>33</v>
      </c>
      <c r="F89" s="63">
        <f>COUNTIFS(Q2:Q78,A89,C2:C78,F88)</f>
        <v>12</v>
      </c>
      <c r="G89" s="64">
        <f>SUM(C89:F89)</f>
        <v>76</v>
      </c>
      <c r="H89" s="162"/>
      <c r="I89" s="40"/>
      <c r="J89" s="1015" t="s">
        <v>17303</v>
      </c>
      <c r="K89" s="1015" t="s">
        <v>17304</v>
      </c>
      <c r="L89" s="1016" t="s">
        <v>17305</v>
      </c>
      <c r="M89" s="1017" t="s">
        <v>17306</v>
      </c>
      <c r="N89" s="1017" t="s">
        <v>17307</v>
      </c>
      <c r="O89" s="1017" t="s">
        <v>17308</v>
      </c>
      <c r="P89" s="1018" t="s">
        <v>17309</v>
      </c>
      <c r="Q89" s="1018" t="s">
        <v>17310</v>
      </c>
      <c r="R89" s="1018" t="s">
        <v>17311</v>
      </c>
      <c r="S89" s="1018" t="s">
        <v>17312</v>
      </c>
      <c r="T89" s="1018" t="s">
        <v>17313</v>
      </c>
      <c r="U89" s="1018" t="s">
        <v>17314</v>
      </c>
      <c r="V89" s="40"/>
      <c r="W89" s="320"/>
      <c r="X89" s="320"/>
      <c r="Y89" s="43"/>
      <c r="Z89" s="43"/>
      <c r="AA89" s="40"/>
      <c r="AB89" s="43"/>
      <c r="AC89" s="40"/>
      <c r="AD89" s="43"/>
      <c r="AE89" s="40"/>
      <c r="AF89" s="40"/>
      <c r="AG89" s="40"/>
      <c r="AH89" s="644"/>
      <c r="AI89" s="40"/>
      <c r="AJ89" s="40"/>
      <c r="AK89" s="40"/>
      <c r="AL89" s="40"/>
      <c r="AM89" s="40"/>
      <c r="AN89" s="40"/>
      <c r="AO89" s="40"/>
      <c r="AP89" s="40"/>
      <c r="AQ89" s="41"/>
      <c r="AR89" s="41"/>
      <c r="AS89" s="41"/>
      <c r="AT89" s="41"/>
      <c r="AU89" s="41"/>
      <c r="AV89" s="41"/>
      <c r="AW89" s="41"/>
      <c r="AX89" s="1"/>
      <c r="BA89" s="1"/>
      <c r="BB89" s="1"/>
    </row>
    <row r="90" spans="1:54" ht="13.5" thickBot="1">
      <c r="A90" s="1905" t="s">
        <v>102</v>
      </c>
      <c r="B90" s="1911"/>
      <c r="C90" s="65">
        <f>COUNTIFS(Q2:Q78,A90,C2:C78,C88)</f>
        <v>0</v>
      </c>
      <c r="D90" s="65">
        <f>COUNTIFS(Q2:Q78,A90,C2:C78,D88)</f>
        <v>0</v>
      </c>
      <c r="E90" s="65">
        <f>COUNTIFS(Q2:Q78,A90,C2:C78,E88)</f>
        <v>0</v>
      </c>
      <c r="F90" s="65">
        <f>COUNTIFS(Q2:Q78,A90,C2:C78,F88)</f>
        <v>0</v>
      </c>
      <c r="G90" s="66">
        <f>SUM(C90:F90)</f>
        <v>0</v>
      </c>
      <c r="H90" s="40"/>
      <c r="I90" s="508"/>
      <c r="J90" s="1012">
        <f>COUNTIFS(AC2:AC78,"&gt;="&amp;DATE(2024,1,1),AC2:AC78,"&lt;="&amp;DATE(2024,1,31))</f>
        <v>2</v>
      </c>
      <c r="K90" s="719">
        <f>COUNTIFS(AC2:AC78,"&gt;="&amp;DATE(2024,2,1),AC2:AC78,"&lt;="&amp;DATE(2024,2,29))</f>
        <v>0</v>
      </c>
      <c r="L90" s="719">
        <f>COUNTIFS(AC2:AC78,"&gt;="&amp;DATE(2024,3,1),AC2:AC78,"&lt;="&amp;DATE(2024,3,31))</f>
        <v>2</v>
      </c>
      <c r="M90" s="719">
        <f>COUNTIFS(AC2:AC78,"&gt;="&amp;DATE(2024,4,1),AC2:AC78,"&lt;="&amp;DATE(2024,4,31))</f>
        <v>2</v>
      </c>
      <c r="N90" s="719">
        <f>COUNTIFS(AC2:AC78,"&gt;="&amp;DATE(2024,5,1),AC2:AC78,"&lt;="&amp;DATE(2024,5,31))</f>
        <v>1</v>
      </c>
      <c r="O90" s="719">
        <f>COUNTIFS(AC2:AC78,"&gt;="&amp;DATE(2024,6,1),AC2:AC78,"&lt;="&amp;DATE(2024,6,31))</f>
        <v>0</v>
      </c>
      <c r="P90" s="719">
        <f>COUNTIFS(AC2:AC78,"&gt;="&amp;DATE(2024,7,1),AC2:AC78,"&lt;="&amp;DATE(2024,7,31))</f>
        <v>0</v>
      </c>
      <c r="Q90" s="719">
        <f>COUNTIFS(AC2:AC78,"&gt;="&amp;DATE(2024,8,1),AC2:AC78,"&lt;="&amp;DATE(2024,8,31))</f>
        <v>1</v>
      </c>
      <c r="R90" s="719">
        <f>COUNTIFS(AC2:AC78,"&gt;="&amp;DATE(2024,9,1),AC2:AC78,"&lt;="&amp;DATE(2024,9,31))</f>
        <v>1</v>
      </c>
      <c r="S90" s="719">
        <f>COUNTIFS(AC2:AC78,"&gt;="&amp;DATE(2024,10,1),AC2:AC78,"&lt;="&amp;DATE(2024,10,31))</f>
        <v>0</v>
      </c>
      <c r="T90" s="719">
        <f>COUNTIFS(AC2:AC78,"&gt;="&amp;DATE(2024,11,1),AC2:AC78,"&lt;="&amp;DATE(2024,11,31))</f>
        <v>1</v>
      </c>
      <c r="U90" s="719">
        <f>COUNTIFS(AC2:AC78,"&gt;="&amp;DATE(2024,12,1),AC2:AC78,"&lt;="&amp;DATE(2024,12,31))</f>
        <v>0</v>
      </c>
      <c r="V90" s="40"/>
      <c r="W90" s="40"/>
      <c r="X90" s="41"/>
      <c r="Y90" s="40"/>
      <c r="Z90" s="40"/>
      <c r="AA90" s="320"/>
      <c r="AB90" s="320"/>
      <c r="AC90" s="43"/>
      <c r="AD90" s="43"/>
      <c r="AE90" s="40"/>
      <c r="AF90" s="43"/>
      <c r="AG90" s="40"/>
      <c r="AH90" s="43"/>
      <c r="AI90" s="40"/>
      <c r="AJ90" s="40"/>
      <c r="AK90" s="40"/>
      <c r="AL90" s="644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1"/>
      <c r="BA90" s="41"/>
      <c r="BB90" s="1"/>
    </row>
    <row r="91" spans="1:54" ht="13.5" thickBot="1">
      <c r="A91" s="1907" t="s">
        <v>138</v>
      </c>
      <c r="B91" s="1912"/>
      <c r="C91" s="67">
        <f>COUNTIFS(Q2:Q78,"",C2:C78,C88)</f>
        <v>0</v>
      </c>
      <c r="D91" s="67">
        <f>COUNTIFS(Q2:Q78,"",C2:C78,D88)</f>
        <v>0</v>
      </c>
      <c r="E91" s="67">
        <f>COUNTIFS(Q2:Q78,"",C2:C78,E88)</f>
        <v>0</v>
      </c>
      <c r="F91" s="67">
        <f>COUNTIFS(Q2:Q78,"",C2:C78,F88)</f>
        <v>0</v>
      </c>
      <c r="G91" s="68">
        <f>SUM(C91:F91)</f>
        <v>0</v>
      </c>
      <c r="H91" s="40"/>
      <c r="I91" s="508"/>
      <c r="J91" s="1881" t="s">
        <v>17817</v>
      </c>
      <c r="K91" s="1882"/>
      <c r="L91" s="1882"/>
      <c r="M91" s="1882"/>
      <c r="N91" s="1882"/>
      <c r="O91" s="1882"/>
      <c r="P91" s="1882"/>
      <c r="Q91" s="1882"/>
      <c r="R91" s="1882"/>
      <c r="S91" s="1882"/>
      <c r="T91" s="1882"/>
      <c r="U91" s="1882"/>
      <c r="V91" s="1883"/>
      <c r="W91" s="40"/>
      <c r="X91" s="40"/>
      <c r="Y91" s="40"/>
      <c r="Z91" s="40"/>
      <c r="AA91" s="40"/>
      <c r="AB91" s="320"/>
      <c r="AC91" s="320"/>
      <c r="AD91" s="43"/>
      <c r="AE91" s="43"/>
      <c r="AF91" s="40"/>
      <c r="AG91" s="43"/>
      <c r="AH91" s="40"/>
      <c r="AI91" s="43"/>
      <c r="AJ91" s="40"/>
      <c r="AK91" s="40"/>
      <c r="AL91" s="40"/>
      <c r="AM91" s="644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1"/>
      <c r="BB91" s="41"/>
    </row>
    <row r="92" spans="1:54" ht="15.75" customHeight="1" thickBot="1">
      <c r="A92" s="1913" t="s">
        <v>210</v>
      </c>
      <c r="B92" s="1914"/>
      <c r="C92" s="69">
        <f>COUNTIFS(Q2:Q78,A92,C2:C78,C88)</f>
        <v>0</v>
      </c>
      <c r="D92" s="69">
        <f>COUNTIFS(Q2:Q78,A92,C2:C78,D88)</f>
        <v>0</v>
      </c>
      <c r="E92" s="69">
        <f>COUNTIFS(Q2:Q78,A92,C2:C78,E88)</f>
        <v>0</v>
      </c>
      <c r="F92" s="69">
        <f>COUNTIFS(Q2:Q78,A92,C2:C78,F88)</f>
        <v>1</v>
      </c>
      <c r="G92" s="70">
        <f>SUM(C92:F92)</f>
        <v>1</v>
      </c>
      <c r="H92" s="40"/>
      <c r="I92" s="508"/>
      <c r="J92" s="1015" t="s">
        <v>17303</v>
      </c>
      <c r="K92" s="1015" t="s">
        <v>17304</v>
      </c>
      <c r="L92" s="1016" t="s">
        <v>17305</v>
      </c>
      <c r="M92" s="1017" t="s">
        <v>17306</v>
      </c>
      <c r="N92" s="1017" t="s">
        <v>17307</v>
      </c>
      <c r="O92" s="1017" t="s">
        <v>17308</v>
      </c>
      <c r="P92" s="1018" t="s">
        <v>17309</v>
      </c>
      <c r="Q92" s="1018" t="s">
        <v>17310</v>
      </c>
      <c r="R92" s="1018" t="s">
        <v>17311</v>
      </c>
      <c r="S92" s="1018" t="s">
        <v>17312</v>
      </c>
      <c r="T92" s="1018" t="s">
        <v>17313</v>
      </c>
      <c r="U92" s="1018" t="s">
        <v>17314</v>
      </c>
      <c r="V92" s="40"/>
      <c r="W92" s="40"/>
      <c r="X92" s="40"/>
      <c r="Y92" s="40"/>
      <c r="Z92" s="40"/>
      <c r="AA92" s="320"/>
      <c r="AB92" s="320"/>
      <c r="AC92" s="43"/>
      <c r="AD92" s="43"/>
      <c r="AE92" s="40"/>
      <c r="AF92" s="43"/>
      <c r="AG92" s="40"/>
      <c r="AH92" s="43"/>
      <c r="AI92" s="40"/>
      <c r="AJ92" s="40"/>
      <c r="AK92" s="40"/>
      <c r="AL92" s="644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1"/>
      <c r="BA92" s="41"/>
      <c r="BB92" s="1"/>
    </row>
    <row r="93" spans="1:54" ht="13.5" thickBot="1">
      <c r="A93" s="2046" t="s">
        <v>141</v>
      </c>
      <c r="B93" s="2047"/>
      <c r="C93" s="71">
        <f>SUM(C89:C92)</f>
        <v>1</v>
      </c>
      <c r="D93" s="72">
        <f>SUM(D89:D92)</f>
        <v>30</v>
      </c>
      <c r="E93" s="72">
        <f>SUM(E89:E92)</f>
        <v>33</v>
      </c>
      <c r="F93" s="72">
        <f>SUM(F89:F92)</f>
        <v>13</v>
      </c>
      <c r="G93" s="73">
        <f>SUM(G89:G92)</f>
        <v>77</v>
      </c>
      <c r="H93" s="40"/>
      <c r="I93" s="508"/>
      <c r="J93" s="1012">
        <f>COUNTIFS(AC2:AC78,"&gt;="&amp;DATE(2025,1,1),AC2:AC78,"&lt;="&amp;DATE(2025,1,31))</f>
        <v>2</v>
      </c>
      <c r="K93" s="719">
        <f>COUNTIFS(AC2:AC78,"&gt;="&amp;DATE(2025,2,1),AC2:AC78,"&lt;="&amp;DATE(2025,2,28))</f>
        <v>2</v>
      </c>
      <c r="L93" s="719">
        <f>COUNTIFS(AC2:AC78,"&gt;="&amp;DATE(2025,3,1),AC2:AC78,"&lt;="&amp;DATE(2025,3,31))</f>
        <v>1</v>
      </c>
      <c r="M93" s="719">
        <f>COUNTIFS(AC2:AC78,"&gt;="&amp;DATE(2025,4,1),AC2:AC78,"&lt;="&amp;DATE(2025,4,30))</f>
        <v>0</v>
      </c>
      <c r="N93" s="719">
        <f>COUNTIFS(AC2:AC78,"&gt;="&amp;DATE(2025,5,1),AC2:AC78,"&lt;="&amp;DATE(2025,5,31))</f>
        <v>3</v>
      </c>
      <c r="O93" s="719">
        <f>COUNTIFS(AC2:AC78,"&gt;="&amp;DATE(2025,6,1),AC2:AC78,"&lt;="&amp;DATE(2025,6,30))</f>
        <v>1</v>
      </c>
      <c r="P93" s="719">
        <f>COUNTIFS(AC2:AC78,"&gt;="&amp;DATE(2025,7,1),AC2:AC78,"&lt;="&amp;DATE(2025,7,31))</f>
        <v>0</v>
      </c>
      <c r="Q93" s="719">
        <f>COUNTIFS(AC2:AC78,"&gt;="&amp;DATE(2025,8,1),AC2:AC78,"&lt;="&amp;DATE(2025,8,31))</f>
        <v>1</v>
      </c>
      <c r="R93" s="719">
        <f>COUNTIFS(AC2:AC78,"&gt;="&amp;DATE(2025,9,1),AC2:AC78,"&lt;="&amp;DATE(2025,9,30))</f>
        <v>0</v>
      </c>
      <c r="S93" s="719">
        <f>COUNTIFS(AC2:AC78,"&gt;="&amp;DATE(2025,10,1),AC2:AC78,"&lt;="&amp;DATE(2025,10,31))</f>
        <v>1</v>
      </c>
      <c r="T93" s="719">
        <f>COUNTIFS(AC2:AC78,"&gt;="&amp;DATE(2025,11,1),AC2:AC78,"&lt;="&amp;DATE(2025,11,30))</f>
        <v>0</v>
      </c>
      <c r="U93" s="719">
        <f>COUNTIFS(AC2:AC78,"&gt;="&amp;DATE(2025,12,1),AC2:AC78,"&lt;="&amp;DATE(2025,12,31))</f>
        <v>0</v>
      </c>
      <c r="V93" s="40"/>
      <c r="W93" s="40"/>
      <c r="X93" s="40"/>
      <c r="Y93" s="40"/>
      <c r="Z93" s="40"/>
      <c r="AA93" s="320"/>
      <c r="AB93" s="320"/>
      <c r="AC93" s="43"/>
      <c r="AD93" s="43"/>
      <c r="AE93" s="40"/>
      <c r="AF93" s="43"/>
      <c r="AG93" s="40"/>
      <c r="AH93" s="43"/>
      <c r="AI93" s="40"/>
      <c r="AJ93" s="40"/>
      <c r="AK93" s="40"/>
      <c r="AL93" s="644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1"/>
      <c r="BA93" s="41"/>
      <c r="BB93" s="1"/>
    </row>
    <row r="94" spans="1:54">
      <c r="A94" s="107"/>
      <c r="B94" s="107"/>
      <c r="C94" s="74"/>
      <c r="D94" s="74"/>
      <c r="E94" s="74"/>
      <c r="F94" s="74"/>
      <c r="G94" s="74"/>
      <c r="H94" s="40"/>
      <c r="I94" s="508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40"/>
      <c r="X94" s="40"/>
      <c r="Y94" s="40"/>
      <c r="Z94" s="40"/>
      <c r="AA94" s="40"/>
      <c r="AB94" s="320"/>
      <c r="AC94" s="320"/>
      <c r="AD94" s="43"/>
      <c r="AE94" s="43"/>
      <c r="AF94" s="40"/>
      <c r="AG94" s="43"/>
      <c r="AH94" s="40"/>
      <c r="AI94" s="43"/>
      <c r="AJ94" s="40"/>
      <c r="AK94" s="40"/>
      <c r="AL94" s="40"/>
      <c r="AM94" s="644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1"/>
      <c r="BB94" s="41"/>
    </row>
    <row r="95" spans="1:54" ht="13.5" thickBot="1">
      <c r="A95" s="107"/>
      <c r="B95" s="107"/>
      <c r="C95" s="107"/>
      <c r="D95" s="107"/>
      <c r="E95" s="107"/>
      <c r="F95" s="107"/>
      <c r="G95" s="40"/>
      <c r="H95" s="40"/>
      <c r="I95" s="508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40"/>
      <c r="X95" s="40"/>
      <c r="Y95" s="40"/>
      <c r="Z95" s="40"/>
      <c r="AA95" s="40"/>
      <c r="AB95" s="320"/>
      <c r="AC95" s="320"/>
      <c r="AD95" s="43"/>
      <c r="AE95" s="43"/>
      <c r="AF95" s="40"/>
      <c r="AG95" s="43"/>
      <c r="AH95" s="40"/>
      <c r="AI95" s="43"/>
      <c r="AJ95" s="40"/>
      <c r="AK95" s="40"/>
      <c r="AL95" s="40"/>
      <c r="AM95" s="644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1"/>
      <c r="BB95" s="41"/>
    </row>
    <row r="96" spans="1:54" ht="13.5" thickBot="1">
      <c r="A96" s="1921" t="s">
        <v>142</v>
      </c>
      <c r="B96" s="1922"/>
      <c r="C96" s="62" t="s">
        <v>144</v>
      </c>
      <c r="D96" s="62" t="s">
        <v>90</v>
      </c>
      <c r="E96" s="62" t="s">
        <v>91</v>
      </c>
      <c r="F96" s="62" t="s">
        <v>89</v>
      </c>
      <c r="G96" s="49" t="s">
        <v>141</v>
      </c>
      <c r="H96" s="40"/>
      <c r="I96" s="40"/>
      <c r="J96" s="1890" t="s">
        <v>17437</v>
      </c>
      <c r="K96" s="1891"/>
      <c r="L96" s="1891"/>
      <c r="M96" s="1892"/>
      <c r="O96" s="1890" t="s">
        <v>17441</v>
      </c>
      <c r="P96" s="1891"/>
      <c r="Q96" s="1891"/>
      <c r="R96" s="1891"/>
      <c r="S96" s="1892"/>
      <c r="T96" s="106"/>
      <c r="U96" s="106"/>
      <c r="V96" s="106"/>
      <c r="W96" s="40"/>
      <c r="X96" s="40"/>
      <c r="Y96" s="40"/>
      <c r="Z96" s="40"/>
      <c r="AA96" s="40"/>
      <c r="AB96" s="320"/>
      <c r="AC96" s="320"/>
      <c r="AD96" s="43"/>
      <c r="AE96" s="43"/>
      <c r="AF96" s="40"/>
      <c r="AG96" s="43"/>
      <c r="AH96" s="40"/>
      <c r="AI96" s="320"/>
      <c r="AJ96" s="40"/>
      <c r="AK96" s="40"/>
      <c r="AL96" s="40"/>
      <c r="AM96" s="644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1"/>
      <c r="BB96" s="41"/>
    </row>
    <row r="97" spans="1:54">
      <c r="A97" s="2050" t="s">
        <v>258</v>
      </c>
      <c r="B97" s="2051"/>
      <c r="C97" s="75">
        <f>AVERAGEIFS(X2:X78,Q2:Q78,A97,C2:C78,C96)</f>
        <v>3341.5841584158416</v>
      </c>
      <c r="D97" s="51">
        <f>AVERAGEIFS(X2:X78,Q2:Q78,A97,C2:C78,D96)</f>
        <v>3061.5297716374334</v>
      </c>
      <c r="E97" s="51">
        <f>AVERAGEIFS(X2:X78,Q2:Q78,A97,C2:C78,E96)</f>
        <v>3396.0447480128169</v>
      </c>
      <c r="F97" s="51">
        <f>AVERAGEIFS(X2:X78,Q2:Q78,A97,C2:C78,F96)</f>
        <v>3153.3672522433212</v>
      </c>
      <c r="G97" s="76">
        <f>AVERAGEIF(Q2:Q78,A97,X2:X78)</f>
        <v>3224.9652765642327</v>
      </c>
      <c r="H97" s="40"/>
      <c r="I97" s="40"/>
      <c r="J97" s="1010"/>
      <c r="K97" s="1011" t="s">
        <v>17438</v>
      </c>
      <c r="L97" s="1011">
        <v>2024</v>
      </c>
      <c r="M97" s="1011" t="s">
        <v>17444</v>
      </c>
      <c r="N97" s="106"/>
      <c r="O97" s="1275"/>
      <c r="P97" s="1011" t="s">
        <v>17438</v>
      </c>
      <c r="Q97" s="1011">
        <v>2024</v>
      </c>
      <c r="R97" s="1518" t="s">
        <v>17444</v>
      </c>
      <c r="S97" s="106"/>
      <c r="T97" s="106"/>
      <c r="U97" s="106"/>
      <c r="V97" s="40"/>
      <c r="W97" s="40"/>
      <c r="X97" s="40"/>
      <c r="Y97" s="40"/>
      <c r="Z97" s="40"/>
      <c r="AA97" s="320"/>
      <c r="AB97" s="320"/>
      <c r="AC97" s="43"/>
      <c r="AD97" s="43"/>
      <c r="AE97" s="40"/>
      <c r="AF97" s="43"/>
      <c r="AG97" s="40"/>
      <c r="AH97" s="43"/>
      <c r="AI97" s="40"/>
      <c r="AJ97" s="40"/>
      <c r="AK97" s="40"/>
      <c r="AL97" s="644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1"/>
      <c r="BA97" s="41"/>
      <c r="BB97" s="1"/>
    </row>
    <row r="98" spans="1:54">
      <c r="A98" s="2044" t="s">
        <v>102</v>
      </c>
      <c r="B98" s="2045"/>
      <c r="C98" s="77" t="e">
        <f>AVERAGEIFS(Y2:Y78,Q2:Q78,A98,C2:C78,C96)</f>
        <v>#DIV/0!</v>
      </c>
      <c r="D98" s="54" t="e">
        <f>AVERAGEIFS(Y2:Y78,Q2:Q78,A98,C2:C78,D96)</f>
        <v>#DIV/0!</v>
      </c>
      <c r="E98" s="54" t="e">
        <f>AVERAGEIFS(Y2:Y78,Q2:Q78,A98,C2:C78,E96)</f>
        <v>#DIV/0!</v>
      </c>
      <c r="F98" s="54" t="e">
        <f>AVERAGEIFS(Y2:Y78,Q2:Q78,A98,C2:C78,F96)</f>
        <v>#DIV/0!</v>
      </c>
      <c r="G98" s="78" t="e">
        <f>AVERAGEIF(Q2:Q78,A98,Y2:Y78)</f>
        <v>#DIV/0!</v>
      </c>
      <c r="H98" s="40"/>
      <c r="I98" s="40"/>
      <c r="J98" s="31" t="s">
        <v>222</v>
      </c>
      <c r="K98" s="129">
        <f>COUNTIFS(Q2:Q78,Q78,AJ2:AJ78,J98)</f>
        <v>51</v>
      </c>
      <c r="L98" s="129">
        <f>COUNTIFS(AC2:AC79,"&gt;="&amp;DATE(2024,1,1),AC2:AC79,"&lt;="&amp;DATE(2024,12,31),AJ2:AJ79,J98)</f>
        <v>10</v>
      </c>
      <c r="M98" s="343">
        <f>K98/(SUM($K$98:$K$101))</f>
        <v>0.67105263157894735</v>
      </c>
      <c r="N98" s="106"/>
      <c r="O98" s="1519" t="s">
        <v>265</v>
      </c>
      <c r="P98" s="129">
        <f t="shared" ref="P98:P110" si="13">COUNTIFS($Q$2:$Q$78,$Q$2,$AS$2:$AS$78,O98)</f>
        <v>34</v>
      </c>
      <c r="Q98" s="129">
        <f>COUNTIFS(AC2:AC78,"&gt;="&amp;DATE(2024,1,1),AC2:AC78,"&lt;="&amp;DATE(2024,12,31),$AS$2:$AS$78,O98)</f>
        <v>5</v>
      </c>
      <c r="R98" s="1520">
        <f>P98/(+$P$98+$P$99+$P$100+$P$101+$P$102+$P$103+$P$104+$P$105+$P$106+$P$107+$P$108+$P$109+$P$110)</f>
        <v>0.45945945945945948</v>
      </c>
      <c r="S98" s="106"/>
      <c r="T98" s="106"/>
      <c r="U98" s="106"/>
      <c r="V98" s="40"/>
      <c r="W98" s="40"/>
      <c r="X98" s="40"/>
      <c r="Y98" s="40"/>
      <c r="Z98" s="40"/>
      <c r="AA98" s="320"/>
      <c r="AB98" s="320"/>
      <c r="AC98" s="43"/>
      <c r="AD98" s="43"/>
      <c r="AE98" s="40"/>
      <c r="AF98" s="43"/>
      <c r="AG98" s="40"/>
      <c r="AH98" s="43"/>
      <c r="AI98" s="40"/>
      <c r="AJ98" s="40"/>
      <c r="AK98" s="40"/>
      <c r="AL98" s="644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1"/>
      <c r="BA98" s="41"/>
      <c r="BB98" s="1"/>
    </row>
    <row r="99" spans="1:54">
      <c r="A99" s="2039" t="s">
        <v>138</v>
      </c>
      <c r="B99" s="2040"/>
      <c r="C99" s="79" t="e">
        <f>AVERAGEIFS(Y2:Y78,Q2:Q78,"",C2:C78,C96)</f>
        <v>#DIV/0!</v>
      </c>
      <c r="D99" s="80" t="e">
        <f>AVERAGEIFS(Y2:Y78,Q2:Q78,"",C2:C78,D96)</f>
        <v>#DIV/0!</v>
      </c>
      <c r="E99" s="80" t="e">
        <f>AVERAGEIFS(Y2:Y78,Q2:Q78,"",C2:C78,E96)</f>
        <v>#DIV/0!</v>
      </c>
      <c r="F99" s="80" t="e">
        <f>AVERAGEIFS(Y2:Y78,Q2:Q78,"",C2:C78,F96)</f>
        <v>#DIV/0!</v>
      </c>
      <c r="G99" s="81" t="e">
        <f>AVERAGEIF(Q2:Q78,"",Y2:Y78)</f>
        <v>#DIV/0!</v>
      </c>
      <c r="H99" s="40"/>
      <c r="I99" s="40"/>
      <c r="J99" s="31" t="s">
        <v>17439</v>
      </c>
      <c r="K99" s="129">
        <f>COUNTIFS(Q2:Q78,Q78,AJ2:AJ78,J99)</f>
        <v>12</v>
      </c>
      <c r="L99" s="129">
        <f>COUNTIFS(AC2:AC79,"&gt;="&amp;DATE(2024,1,1),AC2:AC79,"&lt;="&amp;DATE(2024,12,31),AJ2:AJ79,J99)</f>
        <v>0</v>
      </c>
      <c r="M99" s="343">
        <f>K99/(SUM($K$98:$K$101))</f>
        <v>0.15789473684210525</v>
      </c>
      <c r="N99" s="106"/>
      <c r="O99" s="1519" t="s">
        <v>517</v>
      </c>
      <c r="P99" s="129">
        <f t="shared" si="13"/>
        <v>18</v>
      </c>
      <c r="Q99" s="129">
        <f>COUNTIFS(AC2:AC78,"&gt;="&amp;DATE(2024,1,1),AC2:AC78,"&lt;="&amp;DATE(2024,12,31),$AS$2:$AS$78,O99)</f>
        <v>0</v>
      </c>
      <c r="R99" s="1520">
        <f t="shared" ref="R99:R110" si="14">P99/(+$P$98+$P$99+$P$100+$P$101+$P$102+$P$103+$P$104+$P$105+$P$106+$P$107+$P$108+$P$109+$P$110)</f>
        <v>0.24324324324324326</v>
      </c>
      <c r="S99" s="106"/>
      <c r="T99" s="106"/>
      <c r="U99" s="106"/>
      <c r="V99" s="40"/>
      <c r="W99" s="40"/>
      <c r="X99" s="40"/>
      <c r="Y99" s="40"/>
      <c r="Z99" s="40"/>
      <c r="AA99" s="320"/>
      <c r="AB99" s="320"/>
      <c r="AC99" s="43"/>
      <c r="AD99" s="43"/>
      <c r="AE99" s="40"/>
      <c r="AF99" s="43"/>
      <c r="AG99" s="40"/>
      <c r="AH99" s="43"/>
      <c r="AI99" s="40"/>
      <c r="AJ99" s="40"/>
      <c r="AK99" s="40"/>
      <c r="AL99" s="644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1"/>
      <c r="BA99" s="41"/>
      <c r="BB99" s="1"/>
    </row>
    <row r="100" spans="1:54" ht="13.5" thickBot="1">
      <c r="A100" s="2048" t="s">
        <v>210</v>
      </c>
      <c r="B100" s="2049"/>
      <c r="C100" s="82" t="e">
        <f>AVERAGEIFS(X2:X78,Q2:Q78,A100,C2:C78,C96)</f>
        <v>#DIV/0!</v>
      </c>
      <c r="D100" s="60" t="e">
        <f>AVERAGEIFS(X2:X78,Q2:Q78,A100,C2:C78,D96)</f>
        <v>#DIV/0!</v>
      </c>
      <c r="E100" s="60" t="e">
        <f>AVERAGEIFS(X2:X78,Q2:Q78,A100,C2:C78,E96)</f>
        <v>#DIV/0!</v>
      </c>
      <c r="F100" s="60">
        <f>AVERAGEIFS(X2:X78,Q2:Q78,A100,C2:C78,F96)</f>
        <v>3445.727020613228</v>
      </c>
      <c r="G100" s="83">
        <f>AVERAGEIF(Q2:Q78,A100,X2:X78)</f>
        <v>3445.727020613228</v>
      </c>
      <c r="H100" s="40"/>
      <c r="I100" s="40"/>
      <c r="J100" s="665" t="s">
        <v>17440</v>
      </c>
      <c r="K100" s="129">
        <f>COUNTIFS(Q2:Q78,Q78,AJ2:AJ78,J100)</f>
        <v>7</v>
      </c>
      <c r="L100" s="129">
        <f>COUNTIFS(AC2:AC79,"&gt;="&amp;DATE(2024,1,1),AC2:AC79,"&lt;="&amp;DATE(2024,12,31),AJ2:AJ79,J100)</f>
        <v>0</v>
      </c>
      <c r="M100" s="343">
        <f>K100/(SUM($K$98:$K$101))</f>
        <v>9.2105263157894732E-2</v>
      </c>
      <c r="N100" s="106"/>
      <c r="O100" s="1519" t="s">
        <v>17448</v>
      </c>
      <c r="P100" s="129">
        <f t="shared" si="13"/>
        <v>1</v>
      </c>
      <c r="Q100" s="129">
        <f>COUNTIFS(AC2:AC78,"&gt;="&amp;DATE(2024,1,1),AC2:AC78,"&lt;="&amp;DATE(2024,12,31),$AS$2:$AS$78,O100)</f>
        <v>0</v>
      </c>
      <c r="R100" s="1520">
        <f t="shared" si="14"/>
        <v>1.3513513513513514E-2</v>
      </c>
      <c r="S100" s="106"/>
      <c r="T100" s="106"/>
      <c r="U100" s="106"/>
      <c r="V100" s="40"/>
      <c r="W100" s="40"/>
      <c r="X100" s="40"/>
      <c r="Y100" s="40"/>
      <c r="Z100" s="40"/>
      <c r="AA100" s="320"/>
      <c r="AB100" s="320"/>
      <c r="AC100" s="43"/>
      <c r="AD100" s="43"/>
      <c r="AE100" s="40"/>
      <c r="AF100" s="43"/>
      <c r="AG100" s="40"/>
      <c r="AH100" s="43"/>
      <c r="AI100" s="40"/>
      <c r="AJ100" s="40"/>
      <c r="AK100" s="40"/>
      <c r="AL100" s="644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1"/>
      <c r="BA100" s="41"/>
      <c r="BB100" s="1"/>
    </row>
    <row r="101" spans="1:54" ht="13.5" thickBot="1">
      <c r="A101" s="40"/>
      <c r="B101" s="40"/>
      <c r="C101" s="40"/>
      <c r="D101" s="40"/>
      <c r="E101" s="40"/>
      <c r="F101" s="40"/>
      <c r="G101" s="40"/>
      <c r="H101" s="40"/>
      <c r="I101" s="40"/>
      <c r="J101" s="1023" t="s">
        <v>17449</v>
      </c>
      <c r="K101" s="1024">
        <f>COUNTIFS(Q2:Q78,Q78,AJ2:AJ78,J101)</f>
        <v>6</v>
      </c>
      <c r="L101" s="1024">
        <f>COUNTIFS(AC2:AC79,"&gt;="&amp;DATE(2024,1,1),AC2:AC79,"&lt;="&amp;DATE(2024,12,31),AJ2:AJ79,J101)</f>
        <v>0</v>
      </c>
      <c r="M101" s="343">
        <f>K101/(SUM($K$98:$K$101))</f>
        <v>7.8947368421052627E-2</v>
      </c>
      <c r="N101" s="106"/>
      <c r="O101" s="1519" t="s">
        <v>525</v>
      </c>
      <c r="P101" s="129">
        <f t="shared" si="13"/>
        <v>1</v>
      </c>
      <c r="Q101" s="129">
        <f>COUNTIFS(AC2:AC78,"&gt;="&amp;DATE(2024,1,1),AC2:AC78,"&lt;="&amp;DATE(2024,12,31),$AS$2:$AS$78,O101)</f>
        <v>0</v>
      </c>
      <c r="R101" s="1520">
        <f t="shared" si="14"/>
        <v>1.3513513513513514E-2</v>
      </c>
      <c r="S101" s="106"/>
      <c r="T101" s="106"/>
      <c r="U101" s="106"/>
      <c r="V101" s="40"/>
      <c r="W101" s="40"/>
      <c r="X101" s="40"/>
      <c r="Y101" s="40"/>
      <c r="Z101" s="40"/>
      <c r="AA101" s="320"/>
      <c r="AB101" s="320"/>
      <c r="AC101" s="43"/>
      <c r="AD101" s="43"/>
      <c r="AE101" s="40"/>
      <c r="AF101" s="43"/>
      <c r="AG101" s="40"/>
      <c r="AH101" s="43"/>
      <c r="AI101" s="40"/>
      <c r="AJ101" s="40"/>
      <c r="AK101" s="40"/>
      <c r="AL101" s="644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1"/>
      <c r="BA101" s="41"/>
      <c r="BB101" s="1"/>
    </row>
    <row r="102" spans="1:54">
      <c r="A102" s="1921" t="s">
        <v>192</v>
      </c>
      <c r="B102" s="1922"/>
      <c r="C102" s="62" t="s">
        <v>144</v>
      </c>
      <c r="D102" s="62" t="s">
        <v>90</v>
      </c>
      <c r="E102" s="62" t="s">
        <v>91</v>
      </c>
      <c r="F102" s="62" t="s">
        <v>89</v>
      </c>
      <c r="G102" s="49" t="s">
        <v>141</v>
      </c>
      <c r="H102" s="40"/>
      <c r="I102" s="40"/>
      <c r="J102" s="666"/>
      <c r="K102" s="106"/>
      <c r="L102" s="106"/>
      <c r="M102" s="106"/>
      <c r="N102" s="106"/>
      <c r="O102" s="1519" t="s">
        <v>558</v>
      </c>
      <c r="P102" s="129">
        <f t="shared" si="13"/>
        <v>1</v>
      </c>
      <c r="Q102" s="129">
        <f>COUNTIFS(AC2:AC78,"&gt;="&amp;DATE(2024,1,1),AC2:AC78,"&lt;="&amp;DATE(2024,12,31),$AS$2:$AS$78,O102)</f>
        <v>0</v>
      </c>
      <c r="R102" s="1520">
        <f t="shared" si="14"/>
        <v>1.3513513513513514E-2</v>
      </c>
      <c r="S102" s="106"/>
      <c r="T102" s="106"/>
      <c r="U102" s="106"/>
      <c r="V102" s="40"/>
      <c r="W102" s="40"/>
      <c r="X102" s="40"/>
      <c r="Y102" s="40"/>
      <c r="Z102" s="40"/>
      <c r="AA102" s="320"/>
      <c r="AB102" s="320"/>
      <c r="AC102" s="43"/>
      <c r="AD102" s="43"/>
      <c r="AE102" s="40"/>
      <c r="AF102" s="43"/>
      <c r="AG102" s="40"/>
      <c r="AH102" s="43"/>
      <c r="AI102" s="40"/>
      <c r="AJ102" s="40"/>
      <c r="AK102" s="40"/>
      <c r="AL102" s="644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1"/>
      <c r="BA102" s="41"/>
      <c r="BB102" s="1"/>
    </row>
    <row r="103" spans="1:54">
      <c r="A103" s="2050" t="s">
        <v>258</v>
      </c>
      <c r="B103" s="2051"/>
      <c r="C103" s="75">
        <f>AVERAGEIFS(R2:R78,Q2:Q78,A103,C2:C78,C102)</f>
        <v>108000</v>
      </c>
      <c r="D103" s="51">
        <f>AVERAGEIFS(R2:R78,Q2:Q78,A103,C2:C78,D102)</f>
        <v>221216.66666666666</v>
      </c>
      <c r="E103" s="51">
        <f>AVERAGEIFS(R2:R78,Q2:Q78,A103,C2:C78,E102)</f>
        <v>342248.48484848486</v>
      </c>
      <c r="F103" s="51">
        <f>AVERAGEIFS(R2:R78,Q2:Q78,A103,C2:C78,F102)</f>
        <v>483321.66666666669</v>
      </c>
      <c r="G103" s="76">
        <f>AVERAGEIF(Q2:Q78,A103,R2:R78)</f>
        <v>313665.26315789472</v>
      </c>
      <c r="H103" s="40"/>
      <c r="I103" s="40"/>
      <c r="J103" s="666"/>
      <c r="K103" s="106"/>
      <c r="L103" s="106"/>
      <c r="M103" s="106"/>
      <c r="N103" s="106"/>
      <c r="O103" s="1519" t="s">
        <v>541</v>
      </c>
      <c r="P103" s="129">
        <f t="shared" si="13"/>
        <v>1</v>
      </c>
      <c r="Q103" s="129">
        <f>COUNTIFS(AC2:AC78,"&gt;="&amp;DATE(2024,1,1),AC2:AC78,"&lt;="&amp;DATE(2024,12,31),$AS$2:$AS$78,O103)</f>
        <v>0</v>
      </c>
      <c r="R103" s="1520">
        <f t="shared" si="14"/>
        <v>1.3513513513513514E-2</v>
      </c>
      <c r="S103" s="106"/>
      <c r="T103" s="106"/>
      <c r="U103" s="106"/>
      <c r="V103" s="40"/>
      <c r="W103" s="40"/>
      <c r="X103" s="40"/>
      <c r="Y103" s="40"/>
      <c r="Z103" s="40"/>
      <c r="AA103" s="320"/>
      <c r="AB103" s="320"/>
      <c r="AC103" s="43"/>
      <c r="AD103" s="43"/>
      <c r="AE103" s="40"/>
      <c r="AF103" s="43"/>
      <c r="AG103" s="40"/>
      <c r="AH103" s="43"/>
      <c r="AI103" s="40"/>
      <c r="AJ103" s="40"/>
      <c r="AK103" s="40"/>
      <c r="AL103" s="644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1"/>
      <c r="BA103" s="41"/>
      <c r="BB103" s="1"/>
    </row>
    <row r="104" spans="1:54">
      <c r="A104" s="2044" t="s">
        <v>102</v>
      </c>
      <c r="B104" s="2045"/>
      <c r="C104" s="77" t="e">
        <f>AVERAGEIFS(U2:U78,Q2:Q78,A104,C2:C78,C102)</f>
        <v>#DIV/0!</v>
      </c>
      <c r="D104" s="54" t="e">
        <f>AVERAGEIFS(U2:U78,Q2:Q78,A104,C2:C78,D102)</f>
        <v>#DIV/0!</v>
      </c>
      <c r="E104" s="54" t="e">
        <f>AVERAGEIFS(U2:U78,Q2:Q78,A104,C2:C78,E102)</f>
        <v>#DIV/0!</v>
      </c>
      <c r="F104" s="54" t="e">
        <f>AVERAGEIFS(U2:U78,Q2:Q78,A104,C2:C78,F102)</f>
        <v>#DIV/0!</v>
      </c>
      <c r="G104" s="78" t="e">
        <f>AVERAGEIF(Q2:Q78,A104,U2:U78)</f>
        <v>#DIV/0!</v>
      </c>
      <c r="H104" s="40"/>
      <c r="I104" s="40"/>
      <c r="J104" s="666"/>
      <c r="K104" s="106"/>
      <c r="L104" s="106"/>
      <c r="M104" s="106"/>
      <c r="N104" s="106"/>
      <c r="O104" s="1519" t="s">
        <v>561</v>
      </c>
      <c r="P104" s="129">
        <f t="shared" si="13"/>
        <v>3</v>
      </c>
      <c r="Q104" s="129">
        <f>COUNTIFS(AC2:AC78,"&gt;="&amp;DATE(2024,1,1),AC2:AC78,"&lt;="&amp;DATE(2024,12,31),$AS$2:$AS$78,O104)</f>
        <v>0</v>
      </c>
      <c r="R104" s="1520">
        <f t="shared" si="14"/>
        <v>4.0540540540540543E-2</v>
      </c>
      <c r="S104" s="106"/>
      <c r="T104" s="106"/>
      <c r="U104" s="106"/>
      <c r="V104" s="40"/>
      <c r="W104" s="40"/>
      <c r="X104" s="40"/>
      <c r="Y104" s="40"/>
      <c r="Z104" s="40"/>
      <c r="AA104" s="320"/>
      <c r="AB104" s="320"/>
      <c r="AC104" s="43"/>
      <c r="AD104" s="43"/>
      <c r="AE104" s="40"/>
      <c r="AF104" s="43"/>
      <c r="AG104" s="40"/>
      <c r="AH104" s="43"/>
      <c r="AI104" s="40"/>
      <c r="AJ104" s="40"/>
      <c r="AK104" s="40"/>
      <c r="AL104" s="644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1"/>
      <c r="BA104" s="41"/>
      <c r="BB104" s="1"/>
    </row>
    <row r="105" spans="1:54" ht="13.5" thickBot="1">
      <c r="A105" s="2021" t="s">
        <v>138</v>
      </c>
      <c r="B105" s="2022"/>
      <c r="C105" s="84" t="e">
        <f>AVERAGEIFS(U2:U78,Q2:Q78,"",C2:C78,C102)</f>
        <v>#DIV/0!</v>
      </c>
      <c r="D105" s="85" t="e">
        <f>AVERAGEIFS(S2:S78,Q2:Q78,"",C2:C78,D102)</f>
        <v>#DIV/0!</v>
      </c>
      <c r="E105" s="85" t="e">
        <f>AVERAGEIFS(S2:S78,Q2:Q78,"",C2:C78,E102)</f>
        <v>#DIV/0!</v>
      </c>
      <c r="F105" s="85" t="e">
        <f>AVERAGEIFS(S2:S78,Q2:Q78,"",C2:C78,F102)</f>
        <v>#DIV/0!</v>
      </c>
      <c r="G105" s="86" t="e">
        <f>AVERAGEIF(Q2:Q78,"",U2:U78)</f>
        <v>#DIV/0!</v>
      </c>
      <c r="H105" s="40"/>
      <c r="I105" s="40"/>
      <c r="J105" s="666"/>
      <c r="K105" s="106"/>
      <c r="L105" s="106"/>
      <c r="M105" s="106"/>
      <c r="N105" s="106"/>
      <c r="O105" s="1519" t="s">
        <v>563</v>
      </c>
      <c r="P105" s="129">
        <f t="shared" si="13"/>
        <v>3</v>
      </c>
      <c r="Q105" s="129">
        <f>COUNTIFS(AC2:AC78,"&gt;="&amp;DATE(2024,1,1),AC2:AC78,"&lt;="&amp;DATE(2024,12,31),$AS$2:$AS$78,O105)</f>
        <v>0</v>
      </c>
      <c r="R105" s="1520">
        <f t="shared" si="14"/>
        <v>4.0540540540540543E-2</v>
      </c>
      <c r="S105" s="106"/>
      <c r="T105" s="106"/>
      <c r="U105" s="106"/>
      <c r="V105" s="40"/>
      <c r="W105" s="40"/>
      <c r="X105" s="40"/>
      <c r="Y105" s="40"/>
      <c r="Z105" s="40"/>
      <c r="AA105" s="320"/>
      <c r="AB105" s="320"/>
      <c r="AC105" s="43"/>
      <c r="AD105" s="43"/>
      <c r="AE105" s="40"/>
      <c r="AF105" s="43"/>
      <c r="AG105" s="40"/>
      <c r="AH105" s="43"/>
      <c r="AI105" s="40"/>
      <c r="AJ105" s="40"/>
      <c r="AK105" s="40"/>
      <c r="AL105" s="644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1"/>
      <c r="BA105" s="41"/>
      <c r="BB105" s="1"/>
    </row>
    <row r="106" spans="1:54" ht="13.5" thickBot="1">
      <c r="A106" s="1913" t="s">
        <v>210</v>
      </c>
      <c r="B106" s="1914"/>
      <c r="C106" s="82" t="e">
        <f>AVERAGEIFS(R2:R78,Q2:Q78,A106,C2:C78,C102)</f>
        <v>#DIV/0!</v>
      </c>
      <c r="D106" s="60" t="e">
        <f>AVERAGEIFS(R2:R78,Q2:Q78,A106,C2:C78,D102)</f>
        <v>#DIV/0!</v>
      </c>
      <c r="E106" s="60" t="e">
        <f>AVERAGEIFS(R2:R78,Q2:Q78,A106,C2:C78,E102)</f>
        <v>#DIV/0!</v>
      </c>
      <c r="F106" s="60">
        <f>AVERAGEIFS(R2:R78,Q2:Q78,A106,C2:C78,F102)</f>
        <v>620000</v>
      </c>
      <c r="G106" s="83" t="e">
        <f>AVERAGEIF(Q2:Q78,"",R2:R78)</f>
        <v>#DIV/0!</v>
      </c>
      <c r="H106" s="106"/>
      <c r="I106" s="106"/>
      <c r="J106" s="666"/>
      <c r="K106" s="106"/>
      <c r="L106" s="106"/>
      <c r="M106" s="106"/>
      <c r="N106" s="106"/>
      <c r="O106" s="1519" t="s">
        <v>566</v>
      </c>
      <c r="P106" s="129">
        <f t="shared" si="13"/>
        <v>2</v>
      </c>
      <c r="Q106" s="129">
        <f>COUNTIFS(AC2:AC78,"&gt;="&amp;DATE(2024,1,1),AC2:AC78,"&lt;="&amp;DATE(2024,12,31),$AS$2:$AS$78,O106)</f>
        <v>1</v>
      </c>
      <c r="R106" s="1520">
        <f t="shared" si="14"/>
        <v>2.7027027027027029E-2</v>
      </c>
      <c r="S106" s="106"/>
      <c r="T106" s="106"/>
      <c r="U106" s="106"/>
      <c r="V106" s="106"/>
      <c r="W106" s="106"/>
      <c r="X106" s="106"/>
      <c r="Y106" s="106"/>
      <c r="Z106" s="106"/>
      <c r="AA106" s="552"/>
      <c r="AB106" s="552"/>
      <c r="AC106" s="328"/>
      <c r="AD106" s="328"/>
      <c r="AE106" s="106"/>
      <c r="AF106" s="328"/>
      <c r="AG106" s="106"/>
      <c r="AH106" s="328"/>
      <c r="AI106" s="106"/>
      <c r="AJ106" s="106"/>
      <c r="AK106" s="106"/>
      <c r="AL106" s="645"/>
      <c r="AM106" s="106"/>
      <c r="AN106" s="106"/>
      <c r="AO106" s="106"/>
      <c r="AP106" s="106"/>
      <c r="AQ106" s="40"/>
      <c r="AR106" s="40"/>
      <c r="AS106" s="40"/>
      <c r="AT106" s="40"/>
      <c r="AU106" s="40"/>
      <c r="AV106" s="40"/>
      <c r="AW106" s="40"/>
      <c r="AX106" s="106"/>
      <c r="AY106" s="106"/>
      <c r="AZ106" s="292"/>
      <c r="BA106" s="292"/>
      <c r="BB106" s="1"/>
    </row>
    <row r="107" spans="1:54" ht="13.5" thickBo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666"/>
      <c r="K107" s="106"/>
      <c r="L107" s="106"/>
      <c r="M107" s="106"/>
      <c r="N107" s="106"/>
      <c r="O107" s="1521" t="s">
        <v>17219</v>
      </c>
      <c r="P107" s="129">
        <f t="shared" si="13"/>
        <v>1</v>
      </c>
      <c r="Q107" s="129">
        <f>COUNTIFS(AC2:AC78,"&gt;="&amp;DATE(2024,1,1),AC2:AC78,"&lt;="&amp;DATE(2024,12,31),$AS$2:$AS$78,O107)</f>
        <v>1</v>
      </c>
      <c r="R107" s="1520">
        <f t="shared" si="14"/>
        <v>1.3513513513513514E-2</v>
      </c>
      <c r="S107" s="106"/>
      <c r="T107" s="106"/>
      <c r="U107" s="106"/>
      <c r="V107" s="106"/>
      <c r="W107" s="106"/>
      <c r="X107" s="106"/>
      <c r="Y107" s="106"/>
      <c r="Z107" s="106"/>
      <c r="AA107" s="552"/>
      <c r="AB107" s="552"/>
      <c r="AC107" s="328"/>
      <c r="AD107" s="328"/>
      <c r="AE107" s="106"/>
      <c r="AF107" s="328"/>
      <c r="AG107" s="106"/>
      <c r="AH107" s="328"/>
      <c r="AI107" s="106"/>
      <c r="AJ107" s="106"/>
      <c r="AK107" s="106"/>
      <c r="AL107" s="645"/>
      <c r="AM107" s="106"/>
      <c r="AN107" s="106"/>
      <c r="AO107" s="106"/>
      <c r="AP107" s="106"/>
      <c r="AQ107" s="40"/>
      <c r="AR107" s="40"/>
      <c r="AS107" s="40"/>
      <c r="AT107" s="40"/>
      <c r="AU107" s="40"/>
      <c r="AV107" s="40"/>
      <c r="AW107" s="40"/>
      <c r="AX107" s="106"/>
      <c r="AY107" s="106"/>
      <c r="AZ107" s="292"/>
      <c r="BA107" s="292"/>
      <c r="BB107" s="1"/>
    </row>
    <row r="108" spans="1:54" ht="13.5" thickBot="1">
      <c r="A108" s="1893" t="s">
        <v>299</v>
      </c>
      <c r="B108" s="1894"/>
      <c r="C108" s="62" t="s">
        <v>144</v>
      </c>
      <c r="D108" s="62" t="s">
        <v>90</v>
      </c>
      <c r="E108" s="62" t="s">
        <v>91</v>
      </c>
      <c r="F108" s="49" t="s">
        <v>89</v>
      </c>
      <c r="G108" s="106"/>
      <c r="H108" s="106"/>
      <c r="I108" s="106"/>
      <c r="J108" s="666"/>
      <c r="K108" s="106"/>
      <c r="L108" s="106"/>
      <c r="M108" s="106"/>
      <c r="N108" s="106"/>
      <c r="O108" s="1519" t="s">
        <v>565</v>
      </c>
      <c r="P108" s="129">
        <f t="shared" si="13"/>
        <v>6</v>
      </c>
      <c r="Q108" s="129">
        <f>COUNTIFS(AC2:AC78,"&gt;="&amp;DATE(2024,1,1),AC2:AC78,"&lt;="&amp;DATE(2024,12,31),$AS$2:$AS$78,O108)</f>
        <v>1</v>
      </c>
      <c r="R108" s="1520">
        <f t="shared" si="14"/>
        <v>8.1081081081081086E-2</v>
      </c>
      <c r="S108" s="106"/>
      <c r="T108" s="106"/>
      <c r="U108" s="106"/>
      <c r="V108" s="106"/>
      <c r="W108" s="106"/>
      <c r="X108" s="106"/>
      <c r="Y108" s="106"/>
      <c r="Z108" s="106"/>
      <c r="AA108" s="552"/>
      <c r="AB108" s="552"/>
      <c r="AC108" s="328"/>
      <c r="AD108" s="328"/>
      <c r="AE108" s="106"/>
      <c r="AF108" s="328"/>
      <c r="AG108" s="106"/>
      <c r="AH108" s="328"/>
      <c r="AI108" s="106"/>
      <c r="AJ108" s="106"/>
      <c r="AK108" s="106"/>
      <c r="AL108" s="645"/>
      <c r="AM108" s="106"/>
      <c r="AN108" s="106"/>
      <c r="AO108" s="106"/>
      <c r="AP108" s="106"/>
      <c r="AQ108" s="40"/>
      <c r="AR108" s="40"/>
      <c r="AS108" s="40"/>
      <c r="AT108" s="40"/>
      <c r="AU108" s="40"/>
      <c r="AV108" s="40"/>
      <c r="AW108" s="40"/>
      <c r="AX108" s="106"/>
      <c r="AY108" s="106"/>
      <c r="AZ108" s="292"/>
      <c r="BA108" s="292"/>
      <c r="BB108" s="1"/>
    </row>
    <row r="109" spans="1:54">
      <c r="A109" s="1903" t="s">
        <v>258</v>
      </c>
      <c r="B109" s="1904"/>
      <c r="C109" s="236">
        <f>AVERAGEIFS(J2:J78,C2:C78,C108,Q2:Q78,A109)</f>
        <v>32.32</v>
      </c>
      <c r="D109" s="236">
        <f>AVERAGEIFS(J2:J78,C2:C78,D108,Q2:Q78,A109)</f>
        <v>72.916233333333324</v>
      </c>
      <c r="E109" s="236">
        <f>AVERAGEIFS(J2:J78,C2:C78,E108,Q2:Q78,A109)</f>
        <v>101.40406060606063</v>
      </c>
      <c r="F109" s="242">
        <f>AVERAGEIFS(J2:J78,C2:C78,F108,Q2:Q78,A109)</f>
        <v>151.84725</v>
      </c>
      <c r="G109" s="106"/>
      <c r="H109" s="106"/>
      <c r="I109" s="106"/>
      <c r="J109" s="666"/>
      <c r="K109" s="106"/>
      <c r="L109" s="106"/>
      <c r="M109" s="106"/>
      <c r="N109" s="106"/>
      <c r="O109" s="1279" t="s">
        <v>17442</v>
      </c>
      <c r="P109" s="129">
        <f t="shared" si="13"/>
        <v>2</v>
      </c>
      <c r="Q109" s="129">
        <f>COUNTIFS(AC2:AC78,"&gt;="&amp;DATE(2024,1,1),AC2:AC78,"&lt;="&amp;DATE(2024,12,31),$AS$2:$AS$78,O109)</f>
        <v>2</v>
      </c>
      <c r="R109" s="1520">
        <f t="shared" si="14"/>
        <v>2.7027027027027029E-2</v>
      </c>
      <c r="S109" s="106"/>
      <c r="T109" s="106"/>
      <c r="U109" s="106"/>
      <c r="V109" s="106"/>
      <c r="W109" s="106"/>
      <c r="X109" s="106"/>
      <c r="Y109" s="106"/>
      <c r="Z109" s="106"/>
      <c r="AA109" s="552"/>
      <c r="AB109" s="552"/>
      <c r="AC109" s="328"/>
      <c r="AD109" s="328"/>
      <c r="AE109" s="106"/>
      <c r="AF109" s="328"/>
      <c r="AG109" s="106"/>
      <c r="AH109" s="328"/>
      <c r="AI109" s="106"/>
      <c r="AJ109" s="106"/>
      <c r="AK109" s="106"/>
      <c r="AL109" s="645"/>
      <c r="AM109" s="106"/>
      <c r="AN109" s="106"/>
      <c r="AO109" s="106"/>
      <c r="AP109" s="106"/>
      <c r="AQ109" s="40"/>
      <c r="AR109" s="40"/>
      <c r="AS109" s="40"/>
      <c r="AT109" s="40"/>
      <c r="AU109" s="40"/>
      <c r="AV109" s="40"/>
      <c r="AW109" s="40"/>
      <c r="AX109" s="106"/>
      <c r="AY109" s="106"/>
      <c r="AZ109" s="292"/>
      <c r="BA109" s="292"/>
      <c r="BB109" s="1"/>
    </row>
    <row r="110" spans="1:54" ht="13.5" thickBot="1">
      <c r="A110" s="1905" t="s">
        <v>102</v>
      </c>
      <c r="B110" s="1911"/>
      <c r="C110" s="237" t="e">
        <f>AVERAGEIFS(J2:J78,C2:C78,C108,Q2:Q78,A110)</f>
        <v>#DIV/0!</v>
      </c>
      <c r="D110" s="237" t="e">
        <f>AVERAGEIFS(J2:J78,C2:C78,D108,Q2:Q78,A110)</f>
        <v>#DIV/0!</v>
      </c>
      <c r="E110" s="237" t="e">
        <f>AVERAGEIFS(J2:J78,C2:C78,E108,Q2:Q78,A110)</f>
        <v>#DIV/0!</v>
      </c>
      <c r="F110" s="243" t="e">
        <f>AVERAGEIFS(J2:J78,C2:C78,F108,Q2:Q78,A110)</f>
        <v>#DIV/0!</v>
      </c>
      <c r="G110" s="106"/>
      <c r="H110" s="106"/>
      <c r="I110" s="106"/>
      <c r="J110" s="666"/>
      <c r="K110" s="106"/>
      <c r="L110" s="106"/>
      <c r="M110" s="106"/>
      <c r="N110" s="106"/>
      <c r="O110" s="1517" t="s">
        <v>514</v>
      </c>
      <c r="P110" s="404">
        <f t="shared" si="13"/>
        <v>1</v>
      </c>
      <c r="Q110" s="405">
        <f>COUNTIFS(AC2:AC78,"&gt;="&amp;DATE(2024,1,1),AC2:AC78,"&lt;="&amp;DATE(2024,12,31),$AS$2:$AS$78,O110)</f>
        <v>0</v>
      </c>
      <c r="R110" s="1522">
        <f t="shared" si="14"/>
        <v>1.3513513513513514E-2</v>
      </c>
      <c r="S110" s="106"/>
      <c r="T110" s="106"/>
      <c r="U110" s="106"/>
      <c r="V110" s="106"/>
      <c r="W110" s="106"/>
      <c r="X110" s="106"/>
      <c r="Y110" s="106"/>
      <c r="Z110" s="106"/>
      <c r="AA110" s="552"/>
      <c r="AB110" s="552"/>
      <c r="AC110" s="328"/>
      <c r="AD110" s="328"/>
      <c r="AE110" s="106"/>
      <c r="AF110" s="328"/>
      <c r="AG110" s="106"/>
      <c r="AH110" s="328"/>
      <c r="AI110" s="106"/>
      <c r="AJ110" s="106"/>
      <c r="AK110" s="106"/>
      <c r="AL110" s="645"/>
      <c r="AM110" s="106"/>
      <c r="AN110" s="106"/>
      <c r="AO110" s="106"/>
      <c r="AP110" s="106"/>
      <c r="AQ110" s="40"/>
      <c r="AR110" s="40"/>
      <c r="AS110" s="40"/>
      <c r="AT110" s="40"/>
      <c r="AU110" s="40"/>
      <c r="AV110" s="40"/>
      <c r="AW110" s="40"/>
      <c r="AX110" s="106"/>
      <c r="AY110" s="106"/>
      <c r="AZ110" s="292"/>
      <c r="BA110" s="292"/>
      <c r="BB110" s="1"/>
    </row>
    <row r="111" spans="1:54" ht="13.5" thickBot="1">
      <c r="A111" s="1907" t="s">
        <v>138</v>
      </c>
      <c r="B111" s="1912"/>
      <c r="C111" s="238" t="e">
        <f>AVERAGEIFS(J2:J78,C2:C78,C108,Q2:Q78,"")</f>
        <v>#DIV/0!</v>
      </c>
      <c r="D111" s="238" t="e">
        <f>AVERAGEIFS(J2:J78,C2:C78,D108,Q2:Q78,"")</f>
        <v>#DIV/0!</v>
      </c>
      <c r="E111" s="238" t="e">
        <f>AVERAGEIFS(J2:J78,C2:C78,E108,Q2:Q78,"")</f>
        <v>#DIV/0!</v>
      </c>
      <c r="F111" s="244" t="e">
        <f>AVERAGEIFS(J2:J78,C2:C78,F108,Q2:Q78,"")</f>
        <v>#DIV/0!</v>
      </c>
      <c r="G111" s="106"/>
      <c r="H111" s="106"/>
      <c r="I111" s="106"/>
      <c r="J111" s="666"/>
      <c r="K111" s="106"/>
      <c r="L111" s="106"/>
      <c r="M111" s="106"/>
      <c r="N111" s="106"/>
      <c r="O111" s="106"/>
      <c r="P111" s="106"/>
      <c r="Q111" s="106"/>
      <c r="R111" s="292"/>
      <c r="S111" s="106"/>
      <c r="T111" s="106"/>
      <c r="U111" s="106"/>
      <c r="V111" s="106"/>
      <c r="W111" s="106"/>
      <c r="X111" s="106"/>
      <c r="Y111" s="106"/>
      <c r="Z111" s="106"/>
      <c r="AA111" s="106"/>
      <c r="AB111" s="552"/>
      <c r="AC111" s="552"/>
      <c r="AD111" s="328"/>
      <c r="AE111" s="328"/>
      <c r="AF111" s="106"/>
      <c r="AG111" s="328"/>
      <c r="AH111" s="106"/>
      <c r="AI111" s="328"/>
      <c r="AJ111" s="106"/>
      <c r="AK111" s="106"/>
      <c r="AL111" s="106"/>
      <c r="AM111" s="645"/>
      <c r="AN111" s="106"/>
      <c r="AO111" s="106"/>
      <c r="AP111" s="106"/>
      <c r="AQ111" s="106"/>
      <c r="AR111" s="40"/>
      <c r="AS111" s="40"/>
      <c r="AT111" s="40"/>
      <c r="AU111" s="40"/>
      <c r="AV111" s="40"/>
      <c r="AW111" s="40"/>
      <c r="AX111" s="40"/>
      <c r="AY111" s="106"/>
      <c r="AZ111" s="106"/>
      <c r="BA111" s="292"/>
      <c r="BB111" s="292"/>
    </row>
    <row r="112" spans="1:54" ht="13.5" thickBot="1">
      <c r="A112" s="1913" t="s">
        <v>210</v>
      </c>
      <c r="B112" s="1914"/>
      <c r="C112" s="239" t="e">
        <f>AVERAGEIFS(J2:J78,C2:C78,C108,Q2:Q78,A112)</f>
        <v>#DIV/0!</v>
      </c>
      <c r="D112" s="239" t="e">
        <f>AVERAGEIFS(J2:J78,C2:C78,D108,Q2:Q78,A112)</f>
        <v>#DIV/0!</v>
      </c>
      <c r="E112" s="239" t="e">
        <f>AVERAGEIFS(J2:J78,C2:C78,E108,Q2:Q78,A112)</f>
        <v>#DIV/0!</v>
      </c>
      <c r="F112" s="245">
        <f>AVERAGEIFS(J2:J78,C2:C78,F108,Q2:Q78,A112)</f>
        <v>179.93300000000002</v>
      </c>
      <c r="G112" s="106"/>
      <c r="H112" s="106"/>
      <c r="I112" s="106"/>
      <c r="J112" s="666"/>
      <c r="K112" s="106"/>
      <c r="L112" s="106"/>
      <c r="M112" s="106"/>
      <c r="N112" s="106"/>
      <c r="O112" s="106"/>
      <c r="P112" s="106"/>
      <c r="Q112" s="106"/>
      <c r="R112" s="292"/>
      <c r="S112" s="106"/>
      <c r="T112" s="106"/>
      <c r="U112" s="106"/>
      <c r="V112" s="106"/>
      <c r="W112" s="106"/>
      <c r="X112" s="106"/>
      <c r="Y112" s="106"/>
      <c r="Z112" s="106"/>
      <c r="AA112" s="106"/>
      <c r="AB112" s="552"/>
      <c r="AC112" s="552"/>
      <c r="AD112" s="328"/>
      <c r="AE112" s="328"/>
      <c r="AF112" s="106"/>
      <c r="AG112" s="328"/>
      <c r="AH112" s="106"/>
      <c r="AI112" s="328"/>
      <c r="AJ112" s="106"/>
      <c r="AK112" s="106"/>
      <c r="AL112" s="106"/>
      <c r="AM112" s="645"/>
      <c r="AN112" s="106"/>
      <c r="AO112" s="106"/>
      <c r="AP112" s="106"/>
      <c r="AQ112" s="106"/>
      <c r="AR112" s="40"/>
      <c r="AS112" s="40"/>
      <c r="AT112" s="40"/>
      <c r="AU112" s="40"/>
      <c r="AV112" s="40"/>
      <c r="AW112" s="40"/>
      <c r="AX112" s="40"/>
      <c r="AY112" s="106"/>
      <c r="AZ112" s="106"/>
      <c r="BA112" s="292"/>
      <c r="BB112" s="292"/>
    </row>
    <row r="113" spans="1:54" ht="13.5" thickBot="1">
      <c r="A113" s="1899" t="s">
        <v>141</v>
      </c>
      <c r="B113" s="1900"/>
      <c r="C113" s="240">
        <f>AVERAGEIFS(J2:J78,C2:C78,C108)</f>
        <v>32.32</v>
      </c>
      <c r="D113" s="185">
        <f>AVERAGEIFS(J2:J78,C2:C78,D108)</f>
        <v>72.916233333333324</v>
      </c>
      <c r="E113" s="185">
        <f>AVERAGEIFS(J2:J78,C2:C78,E108)</f>
        <v>101.40406060606063</v>
      </c>
      <c r="F113" s="246">
        <f>AVERAGEIFS(J2:J78,C2:C78,F108)</f>
        <v>154.00769230769231</v>
      </c>
      <c r="G113" s="106"/>
      <c r="H113" s="106"/>
      <c r="I113" s="106"/>
      <c r="J113" s="666"/>
      <c r="K113" s="106"/>
      <c r="L113" s="106"/>
      <c r="M113" s="106"/>
      <c r="N113" s="106"/>
      <c r="O113" s="106"/>
      <c r="P113" s="106"/>
      <c r="Q113" s="106"/>
      <c r="R113" s="292"/>
      <c r="S113" s="106"/>
      <c r="T113" s="106"/>
      <c r="U113" s="106"/>
      <c r="V113" s="106"/>
      <c r="W113" s="106"/>
      <c r="X113" s="106"/>
      <c r="Y113" s="106"/>
      <c r="Z113" s="106"/>
      <c r="AA113" s="106"/>
      <c r="AB113" s="552"/>
      <c r="AC113" s="552"/>
      <c r="AD113" s="328"/>
      <c r="AE113" s="328"/>
      <c r="AF113" s="106"/>
      <c r="AG113" s="328"/>
      <c r="AH113" s="106"/>
      <c r="AI113" s="328"/>
      <c r="AJ113" s="106"/>
      <c r="AK113" s="106"/>
      <c r="AL113" s="106"/>
      <c r="AM113" s="645"/>
      <c r="AN113" s="106"/>
      <c r="AO113" s="106"/>
      <c r="AP113" s="106"/>
      <c r="AQ113" s="106"/>
      <c r="AR113" s="40"/>
      <c r="AS113" s="40"/>
      <c r="AT113" s="40"/>
      <c r="AU113" s="40"/>
      <c r="AV113" s="40"/>
      <c r="AW113" s="40"/>
      <c r="AX113" s="40"/>
      <c r="AY113" s="106"/>
      <c r="AZ113" s="106"/>
      <c r="BA113" s="292"/>
      <c r="BB113" s="292"/>
    </row>
    <row r="114" spans="1:54">
      <c r="A114" s="106"/>
      <c r="B114" s="106"/>
      <c r="C114" s="106"/>
      <c r="D114" s="106"/>
      <c r="E114" s="106"/>
      <c r="F114" s="106"/>
      <c r="G114" s="106"/>
      <c r="H114" s="106"/>
      <c r="I114" s="106"/>
      <c r="J114" s="666"/>
      <c r="K114" s="106"/>
      <c r="L114" s="106"/>
      <c r="M114" s="106"/>
      <c r="N114" s="106"/>
      <c r="O114" s="106"/>
      <c r="P114" s="106"/>
      <c r="Q114" s="106"/>
      <c r="R114" s="292"/>
      <c r="S114" s="106"/>
      <c r="T114" s="106"/>
      <c r="U114" s="106"/>
      <c r="V114" s="106"/>
      <c r="W114" s="106"/>
      <c r="X114" s="106"/>
      <c r="Y114" s="106"/>
      <c r="Z114" s="106"/>
      <c r="AA114" s="106"/>
      <c r="AB114" s="552"/>
      <c r="AC114" s="552"/>
      <c r="AD114" s="328"/>
      <c r="AE114" s="328"/>
      <c r="AF114" s="106"/>
      <c r="AG114" s="328"/>
      <c r="AH114" s="106"/>
      <c r="AI114" s="328"/>
      <c r="AJ114" s="106"/>
      <c r="AK114" s="106"/>
      <c r="AL114" s="106"/>
      <c r="AM114" s="645"/>
      <c r="AN114" s="106"/>
      <c r="AO114" s="106"/>
      <c r="AP114" s="106"/>
      <c r="AQ114" s="106"/>
      <c r="AR114" s="40"/>
      <c r="AS114" s="40"/>
      <c r="AT114" s="40"/>
      <c r="AU114" s="40"/>
      <c r="AV114" s="40"/>
      <c r="AW114" s="40"/>
      <c r="AX114" s="40"/>
      <c r="AY114" s="106"/>
      <c r="AZ114" s="106"/>
      <c r="BA114" s="292"/>
      <c r="BB114" s="292"/>
    </row>
    <row r="115" spans="1:54">
      <c r="A115" s="106"/>
      <c r="B115" s="106"/>
      <c r="C115" s="106"/>
      <c r="D115" s="106"/>
      <c r="E115" s="106"/>
      <c r="F115" s="106"/>
      <c r="G115" s="106"/>
      <c r="H115" s="106"/>
      <c r="I115" s="106"/>
      <c r="J115" s="666"/>
      <c r="K115" s="106"/>
      <c r="L115" s="106"/>
      <c r="M115" s="106"/>
      <c r="N115" s="106"/>
      <c r="O115" s="106"/>
      <c r="P115" s="106"/>
      <c r="Q115" s="106"/>
      <c r="R115" s="292"/>
      <c r="S115" s="106"/>
      <c r="T115" s="106"/>
      <c r="U115" s="106"/>
      <c r="V115" s="106"/>
      <c r="W115" s="106"/>
      <c r="X115" s="106"/>
      <c r="Y115" s="106"/>
      <c r="Z115" s="106"/>
      <c r="AA115" s="106"/>
      <c r="AB115" s="552"/>
      <c r="AC115" s="552"/>
      <c r="AD115" s="328"/>
      <c r="AE115" s="328"/>
      <c r="AF115" s="106"/>
      <c r="AG115" s="328"/>
      <c r="AH115" s="106"/>
      <c r="AI115" s="328"/>
      <c r="AJ115" s="106"/>
      <c r="AK115" s="106"/>
      <c r="AL115" s="106"/>
      <c r="AM115" s="645"/>
      <c r="AN115" s="106"/>
      <c r="AO115" s="106"/>
      <c r="AP115" s="106"/>
      <c r="AQ115" s="106"/>
      <c r="AR115" s="40"/>
      <c r="AS115" s="40"/>
      <c r="AT115" s="40"/>
      <c r="AU115" s="40"/>
      <c r="AV115" s="40"/>
      <c r="AW115" s="40"/>
      <c r="AX115" s="40"/>
      <c r="AY115" s="106"/>
      <c r="AZ115" s="106"/>
      <c r="BA115" s="292"/>
      <c r="BB115" s="292"/>
    </row>
    <row r="116" spans="1:54">
      <c r="A116" s="106"/>
      <c r="B116" s="106"/>
      <c r="C116" s="106"/>
      <c r="D116" s="106"/>
      <c r="E116" s="106"/>
      <c r="F116" s="106"/>
      <c r="G116" s="106"/>
      <c r="H116" s="106"/>
      <c r="I116" s="106"/>
      <c r="J116" s="666"/>
      <c r="K116" s="106"/>
      <c r="L116" s="106"/>
      <c r="M116" s="106"/>
      <c r="N116" s="106"/>
      <c r="O116" s="106"/>
      <c r="P116" s="106"/>
      <c r="Q116" s="106"/>
      <c r="R116" s="292"/>
      <c r="S116" s="106"/>
      <c r="T116" s="106"/>
      <c r="U116" s="106"/>
      <c r="V116" s="106"/>
      <c r="W116" s="106"/>
      <c r="X116" s="106"/>
      <c r="Y116" s="106"/>
      <c r="Z116" s="106"/>
      <c r="AA116" s="106"/>
      <c r="AB116" s="552"/>
      <c r="AC116" s="552"/>
      <c r="AD116" s="328"/>
      <c r="AE116" s="328"/>
      <c r="AF116" s="106"/>
      <c r="AG116" s="328"/>
      <c r="AH116" s="106"/>
      <c r="AI116" s="328"/>
      <c r="AJ116" s="106"/>
      <c r="AK116" s="106"/>
      <c r="AL116" s="106"/>
      <c r="AM116" s="645"/>
      <c r="AN116" s="106"/>
      <c r="AO116" s="106"/>
      <c r="AP116" s="106"/>
      <c r="AQ116" s="106"/>
      <c r="AR116" s="40"/>
      <c r="AS116" s="40"/>
      <c r="AT116" s="40"/>
      <c r="AU116" s="40"/>
      <c r="AV116" s="40"/>
      <c r="AW116" s="40"/>
      <c r="AX116" s="40"/>
      <c r="AY116" s="106"/>
      <c r="AZ116" s="106"/>
      <c r="BA116" s="292"/>
      <c r="BB116" s="292"/>
    </row>
    <row r="118" spans="1:54">
      <c r="AF118" s="1807"/>
    </row>
    <row r="130" spans="10:17">
      <c r="K130" s="304"/>
    </row>
    <row r="131" spans="10:17">
      <c r="K131" s="304"/>
    </row>
    <row r="132" spans="10:17">
      <c r="K132" s="304"/>
    </row>
    <row r="133" spans="10:17">
      <c r="L133" s="1849"/>
      <c r="Q133" s="329"/>
    </row>
    <row r="134" spans="10:17">
      <c r="L134" s="1850"/>
      <c r="Q134" s="329"/>
    </row>
    <row r="135" spans="10:17">
      <c r="L135" s="1850"/>
      <c r="Q135" s="329"/>
    </row>
    <row r="136" spans="10:17" ht="15" customHeight="1">
      <c r="L136" s="1850"/>
      <c r="Q136" s="329"/>
    </row>
    <row r="137" spans="10:17" ht="15" customHeight="1">
      <c r="L137" s="1850"/>
      <c r="M137" s="329"/>
      <c r="Q137" s="329"/>
    </row>
    <row r="138" spans="10:17" ht="15" customHeight="1">
      <c r="J138" s="194"/>
      <c r="K138" s="1584"/>
      <c r="L138" s="1584"/>
      <c r="M138" s="329"/>
    </row>
    <row r="139" spans="10:17" ht="15" customHeight="1">
      <c r="J139" s="194"/>
      <c r="K139" s="1584"/>
      <c r="L139" s="1584"/>
      <c r="M139" s="329"/>
    </row>
    <row r="140" spans="10:17" ht="15" customHeight="1">
      <c r="J140" s="194"/>
      <c r="K140" s="1584"/>
      <c r="L140" s="1584"/>
      <c r="M140" s="329"/>
    </row>
    <row r="141" spans="10:17" ht="15" customHeight="1">
      <c r="J141" s="194"/>
      <c r="K141" s="1584"/>
      <c r="L141" s="1584"/>
      <c r="M141" s="329"/>
    </row>
    <row r="142" spans="10:17" ht="15" customHeight="1">
      <c r="J142" s="194"/>
      <c r="K142" s="1584"/>
      <c r="M142" s="329"/>
    </row>
    <row r="143" spans="10:17" ht="15" customHeight="1">
      <c r="K143" s="1584"/>
      <c r="L143" s="1585"/>
      <c r="M143" s="329"/>
    </row>
  </sheetData>
  <sheetProtection selectLockedCells="1" selectUnlockedCells="1"/>
  <autoFilter ref="A1:CA93" xr:uid="{AC2D1C05-3162-4500-BA8A-6B7FA63D9270}"/>
  <mergeCells count="36">
    <mergeCell ref="A112:B112"/>
    <mergeCell ref="A113:B113"/>
    <mergeCell ref="A83:B83"/>
    <mergeCell ref="A84:B84"/>
    <mergeCell ref="A88:B88"/>
    <mergeCell ref="A89:B89"/>
    <mergeCell ref="A85:B85"/>
    <mergeCell ref="A86:B86"/>
    <mergeCell ref="A96:B96"/>
    <mergeCell ref="A97:B97"/>
    <mergeCell ref="A90:B90"/>
    <mergeCell ref="A109:B109"/>
    <mergeCell ref="A110:B110"/>
    <mergeCell ref="A111:B111"/>
    <mergeCell ref="A106:B106"/>
    <mergeCell ref="A103:B103"/>
    <mergeCell ref="A104:B104"/>
    <mergeCell ref="A105:B105"/>
    <mergeCell ref="A79:E79"/>
    <mergeCell ref="A108:B108"/>
    <mergeCell ref="A91:B91"/>
    <mergeCell ref="A93:B93"/>
    <mergeCell ref="A102:B102"/>
    <mergeCell ref="A98:B98"/>
    <mergeCell ref="A100:B100"/>
    <mergeCell ref="A92:B92"/>
    <mergeCell ref="A82:B82"/>
    <mergeCell ref="G81:H81"/>
    <mergeCell ref="A99:B99"/>
    <mergeCell ref="J88:V88"/>
    <mergeCell ref="J96:M96"/>
    <mergeCell ref="O96:S96"/>
    <mergeCell ref="J82:V82"/>
    <mergeCell ref="J85:V85"/>
    <mergeCell ref="J84:T84"/>
    <mergeCell ref="J91:V91"/>
  </mergeCells>
  <phoneticPr fontId="11" type="noConversion"/>
  <conditionalFormatting sqref="AB1:AB82 AA83 AB84:AB85 AA86 W86:W87 AB87 X88 W89 AA90 AB91 AA92:AA93 AB94:AB96 AA97:AA110 AB111:AB1048576">
    <cfRule type="cellIs" dxfId="8" priority="1" operator="lessThan">
      <formula>TODAY()-15</formula>
    </cfRule>
  </conditionalFormatting>
  <pageMargins left="0.25" right="0.25" top="0.75" bottom="0.75" header="0.3" footer="0.3"/>
  <pageSetup paperSize="8" scale="1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39E9-B90F-4875-8051-10252DB1A609}">
  <sheetPr>
    <tabColor theme="0"/>
  </sheetPr>
  <dimension ref="A1:CM165"/>
  <sheetViews>
    <sheetView zoomScaleNormal="100" workbookViewId="0">
      <pane xSplit="2" ySplit="1" topLeftCell="C108" activePane="bottomRight" state="frozen"/>
      <selection pane="topRight" activeCell="C1" sqref="C1"/>
      <selection pane="bottomLeft" activeCell="A2" sqref="A2"/>
      <selection pane="bottomRight" activeCell="G127" sqref="G127"/>
    </sheetView>
  </sheetViews>
  <sheetFormatPr defaultColWidth="9.140625" defaultRowHeight="15"/>
  <cols>
    <col min="1" max="1" width="9.140625" style="19" customWidth="1"/>
    <col min="2" max="2" width="12.140625" style="19" customWidth="1"/>
    <col min="3" max="3" width="12.28515625" style="19" customWidth="1"/>
    <col min="4" max="4" width="11.28515625" style="19" customWidth="1"/>
    <col min="5" max="6" width="9.140625" style="19" customWidth="1"/>
    <col min="7" max="7" width="12.7109375" style="19" customWidth="1"/>
    <col min="8" max="9" width="9.140625" style="19" customWidth="1"/>
    <col min="10" max="10" width="10.85546875" style="19" customWidth="1"/>
    <col min="11" max="11" width="13.42578125" style="19" customWidth="1"/>
    <col min="12" max="12" width="13.5703125" style="19" customWidth="1"/>
    <col min="13" max="16" width="9.140625" style="19" customWidth="1"/>
    <col min="17" max="17" width="14.7109375" style="19" customWidth="1"/>
    <col min="18" max="18" width="12.140625" style="562" customWidth="1"/>
    <col min="19" max="19" width="13.42578125" style="41" customWidth="1"/>
    <col min="20" max="20" width="14.85546875" style="19" customWidth="1"/>
    <col min="21" max="21" width="13.5703125" style="19" customWidth="1"/>
    <col min="22" max="22" width="22.42578125" style="19" customWidth="1"/>
    <col min="23" max="23" width="17" style="19" customWidth="1"/>
    <col min="24" max="25" width="19.140625" style="19" customWidth="1"/>
    <col min="26" max="26" width="13.85546875" style="563" customWidth="1"/>
    <col min="27" max="27" width="13.5703125" style="564" customWidth="1"/>
    <col min="28" max="28" width="11" style="564" customWidth="1"/>
    <col min="29" max="29" width="14.5703125" style="563" customWidth="1"/>
    <col min="30" max="30" width="15.140625" style="563" customWidth="1"/>
    <col min="31" max="31" width="15.5703125" style="564" customWidth="1"/>
    <col min="32" max="32" width="12.7109375" style="563" customWidth="1"/>
    <col min="33" max="33" width="14.7109375" style="564" customWidth="1"/>
    <col min="34" max="34" width="11.7109375" style="563" customWidth="1"/>
    <col min="35" max="36" width="15.42578125" style="19" customWidth="1"/>
    <col min="37" max="42" width="14.42578125" style="19" customWidth="1"/>
    <col min="43" max="44" width="11.28515625" style="19" customWidth="1"/>
    <col min="45" max="45" width="49.7109375" style="19" customWidth="1"/>
    <col min="46" max="51" width="10.28515625" style="19" customWidth="1"/>
    <col min="52" max="53" width="9.140625" style="19"/>
    <col min="54" max="54" width="11.28515625" style="562" bestFit="1" customWidth="1"/>
    <col min="55" max="56" width="9.140625" style="562"/>
    <col min="57" max="16384" width="9.140625" style="19"/>
  </cols>
  <sheetData>
    <row r="1" spans="1:91" s="558" customFormat="1" ht="15.75" thickBot="1">
      <c r="A1" s="379" t="s">
        <v>23</v>
      </c>
      <c r="B1" s="379" t="s">
        <v>5</v>
      </c>
      <c r="C1" s="379" t="s">
        <v>357</v>
      </c>
      <c r="D1" s="379" t="s">
        <v>1</v>
      </c>
      <c r="E1" s="380" t="s">
        <v>0</v>
      </c>
      <c r="F1" s="380" t="s">
        <v>3</v>
      </c>
      <c r="G1" s="379" t="s">
        <v>6</v>
      </c>
      <c r="H1" s="379" t="s">
        <v>2</v>
      </c>
      <c r="I1" s="379" t="s">
        <v>212</v>
      </c>
      <c r="J1" s="380" t="s">
        <v>7</v>
      </c>
      <c r="K1" s="381" t="s">
        <v>11</v>
      </c>
      <c r="L1" s="379" t="s">
        <v>216</v>
      </c>
      <c r="M1" s="379" t="s">
        <v>217</v>
      </c>
      <c r="N1" s="379" t="s">
        <v>218</v>
      </c>
      <c r="O1" s="379" t="s">
        <v>219</v>
      </c>
      <c r="P1" s="379" t="s">
        <v>22</v>
      </c>
      <c r="Q1" s="379" t="s">
        <v>12</v>
      </c>
      <c r="R1" s="157" t="s">
        <v>221</v>
      </c>
      <c r="S1" s="157" t="s">
        <v>17826</v>
      </c>
      <c r="T1" s="157" t="s">
        <v>17825</v>
      </c>
      <c r="U1" s="379" t="s">
        <v>227</v>
      </c>
      <c r="V1" s="379" t="s">
        <v>364</v>
      </c>
      <c r="W1" s="379" t="s">
        <v>17223</v>
      </c>
      <c r="X1" s="379" t="s">
        <v>228</v>
      </c>
      <c r="Y1" s="379" t="s">
        <v>17827</v>
      </c>
      <c r="Z1" s="382" t="s">
        <v>17828</v>
      </c>
      <c r="AA1" s="383" t="s">
        <v>300</v>
      </c>
      <c r="AB1" s="383" t="s">
        <v>4</v>
      </c>
      <c r="AC1" s="382" t="s">
        <v>545</v>
      </c>
      <c r="AD1" s="382" t="s">
        <v>546</v>
      </c>
      <c r="AE1" s="383" t="s">
        <v>553</v>
      </c>
      <c r="AF1" s="382" t="s">
        <v>547</v>
      </c>
      <c r="AG1" s="383" t="s">
        <v>554</v>
      </c>
      <c r="AH1" s="382" t="s">
        <v>548</v>
      </c>
      <c r="AI1" s="379" t="s">
        <v>8</v>
      </c>
      <c r="AJ1" s="379" t="s">
        <v>755</v>
      </c>
      <c r="AK1" s="379" t="s">
        <v>18</v>
      </c>
      <c r="AL1" s="379" t="s">
        <v>738</v>
      </c>
      <c r="AM1" s="379" t="s">
        <v>736</v>
      </c>
      <c r="AN1" s="379" t="s">
        <v>725</v>
      </c>
      <c r="AO1" s="379" t="s">
        <v>726</v>
      </c>
      <c r="AP1" s="379" t="s">
        <v>737</v>
      </c>
      <c r="AQ1" s="379" t="s">
        <v>728</v>
      </c>
      <c r="AR1" s="379" t="s">
        <v>727</v>
      </c>
      <c r="AS1" s="379" t="s">
        <v>19</v>
      </c>
      <c r="AT1" s="379" t="s">
        <v>261</v>
      </c>
      <c r="AU1" s="379" t="s">
        <v>17891</v>
      </c>
      <c r="AV1" s="379" t="s">
        <v>17892</v>
      </c>
      <c r="AW1" s="379" t="s">
        <v>17893</v>
      </c>
      <c r="AX1" s="379" t="s">
        <v>17599</v>
      </c>
      <c r="AY1" s="379" t="s">
        <v>17601</v>
      </c>
      <c r="AZ1" s="379" t="s">
        <v>262</v>
      </c>
      <c r="BA1" s="379" t="s">
        <v>263</v>
      </c>
      <c r="BB1" s="157" t="s">
        <v>20</v>
      </c>
      <c r="BC1" s="157" t="s">
        <v>21</v>
      </c>
      <c r="BD1" s="1825" t="s">
        <v>18351</v>
      </c>
    </row>
    <row r="2" spans="1:91" s="559" customFormat="1" ht="15.75" thickBot="1">
      <c r="A2" s="95">
        <v>1</v>
      </c>
      <c r="B2" s="293" t="s">
        <v>24</v>
      </c>
      <c r="C2" s="293" t="s">
        <v>359</v>
      </c>
      <c r="D2" s="293"/>
      <c r="E2" s="293">
        <v>0</v>
      </c>
      <c r="F2" s="293" t="s">
        <v>361</v>
      </c>
      <c r="G2" s="294">
        <v>113</v>
      </c>
      <c r="H2" s="295">
        <v>0</v>
      </c>
      <c r="I2" s="295">
        <v>0</v>
      </c>
      <c r="J2" s="296">
        <v>0</v>
      </c>
      <c r="K2" s="121">
        <f>G2+0.3*H2+0.2*I2+0.2*J2</f>
        <v>113</v>
      </c>
      <c r="L2" s="532" t="s">
        <v>369</v>
      </c>
      <c r="M2" s="95"/>
      <c r="N2" s="95">
        <v>34</v>
      </c>
      <c r="O2" s="95"/>
      <c r="P2" s="99"/>
      <c r="Q2" s="95" t="s">
        <v>258</v>
      </c>
      <c r="R2" s="297">
        <v>225000</v>
      </c>
      <c r="S2" s="297">
        <v>226980</v>
      </c>
      <c r="T2" s="297">
        <f>K2*3000</f>
        <v>339000</v>
      </c>
      <c r="U2" s="102">
        <f t="shared" ref="U2:U33" si="0">R2/K2</f>
        <v>1991.1504424778761</v>
      </c>
      <c r="V2" s="102">
        <f t="shared" ref="V2:V32" si="1">S2/K2</f>
        <v>2008.6725663716813</v>
      </c>
      <c r="W2" s="102"/>
      <c r="X2" s="102">
        <f t="shared" ref="X2:X32" si="2">T2/K2</f>
        <v>3000</v>
      </c>
      <c r="Y2" s="102"/>
      <c r="Z2" s="101"/>
      <c r="AA2" s="554"/>
      <c r="AB2" s="103">
        <v>45643</v>
      </c>
      <c r="AC2" s="313">
        <v>22500</v>
      </c>
      <c r="AD2" s="313"/>
      <c r="AE2" s="103"/>
      <c r="AF2" s="313"/>
      <c r="AG2" s="103"/>
      <c r="AH2" s="313">
        <v>202500</v>
      </c>
      <c r="AI2" s="95" t="s">
        <v>274</v>
      </c>
      <c r="AJ2" s="95"/>
      <c r="AK2" s="95"/>
      <c r="AL2" s="95"/>
      <c r="AM2" s="95"/>
      <c r="AN2" s="95"/>
      <c r="AO2" s="95"/>
      <c r="AP2" s="95"/>
      <c r="AQ2" s="95"/>
      <c r="AR2" s="95"/>
      <c r="AS2" s="104" t="s">
        <v>247</v>
      </c>
      <c r="AT2" s="559" t="s">
        <v>265</v>
      </c>
      <c r="AX2" s="104"/>
      <c r="AY2" s="104"/>
      <c r="AZ2" s="104"/>
      <c r="BA2" s="104"/>
      <c r="BB2" s="115">
        <f t="shared" ref="BB2:BB33" si="3">K2*BC2</f>
        <v>226000</v>
      </c>
      <c r="BC2" s="115">
        <v>2000</v>
      </c>
      <c r="BD2" s="115"/>
    </row>
    <row r="3" spans="1:91" s="559" customFormat="1" ht="15.75" thickBot="1">
      <c r="A3" s="95">
        <v>2</v>
      </c>
      <c r="B3" s="293" t="s">
        <v>25</v>
      </c>
      <c r="C3" s="293" t="s">
        <v>359</v>
      </c>
      <c r="D3" s="293"/>
      <c r="E3" s="293">
        <v>0</v>
      </c>
      <c r="F3" s="293" t="s">
        <v>361</v>
      </c>
      <c r="G3" s="294">
        <v>54</v>
      </c>
      <c r="H3" s="295">
        <v>0</v>
      </c>
      <c r="I3" s="295">
        <v>0</v>
      </c>
      <c r="J3" s="296">
        <v>0</v>
      </c>
      <c r="K3" s="121">
        <f t="shared" ref="K3:K66" si="4">G3+0.3*H3+0.2*I3+0.2*J3</f>
        <v>54</v>
      </c>
      <c r="L3" s="98" t="s">
        <v>370</v>
      </c>
      <c r="M3" s="95"/>
      <c r="N3" s="95">
        <v>31</v>
      </c>
      <c r="O3" s="95"/>
      <c r="P3" s="105"/>
      <c r="Q3" s="95" t="s">
        <v>258</v>
      </c>
      <c r="R3" s="298">
        <v>108000</v>
      </c>
      <c r="S3" s="298">
        <v>108000</v>
      </c>
      <c r="T3" s="297">
        <f>K3*3000</f>
        <v>162000</v>
      </c>
      <c r="U3" s="102">
        <f t="shared" si="0"/>
        <v>2000</v>
      </c>
      <c r="V3" s="102">
        <f t="shared" si="1"/>
        <v>2000</v>
      </c>
      <c r="W3" s="102"/>
      <c r="X3" s="102">
        <f t="shared" si="2"/>
        <v>3000</v>
      </c>
      <c r="Y3" s="102"/>
      <c r="Z3" s="101"/>
      <c r="AA3" s="554"/>
      <c r="AB3" s="103">
        <v>45643</v>
      </c>
      <c r="AC3" s="313">
        <v>10800</v>
      </c>
      <c r="AD3" s="313"/>
      <c r="AE3" s="103"/>
      <c r="AF3" s="313"/>
      <c r="AG3" s="103"/>
      <c r="AH3" s="313">
        <v>97200</v>
      </c>
      <c r="AI3" s="95" t="s">
        <v>274</v>
      </c>
      <c r="AJ3" s="95"/>
      <c r="AK3" s="95"/>
      <c r="AL3" s="95"/>
      <c r="AM3" s="95"/>
      <c r="AN3" s="95"/>
      <c r="AO3" s="95"/>
      <c r="AP3" s="95"/>
      <c r="AQ3" s="95"/>
      <c r="AR3" s="95"/>
      <c r="AS3" s="104" t="s">
        <v>247</v>
      </c>
      <c r="AT3" s="104" t="s">
        <v>265</v>
      </c>
      <c r="AU3" s="104"/>
      <c r="AV3" s="104"/>
      <c r="AW3" s="104"/>
      <c r="AX3" s="132"/>
      <c r="AY3" s="132"/>
      <c r="AZ3" s="132"/>
      <c r="BA3" s="132"/>
      <c r="BB3" s="115">
        <f t="shared" si="3"/>
        <v>108000</v>
      </c>
      <c r="BC3" s="115">
        <v>2000</v>
      </c>
      <c r="BD3" s="115"/>
    </row>
    <row r="4" spans="1:91" s="559" customFormat="1" ht="15.75" thickBot="1">
      <c r="A4" s="95">
        <v>3</v>
      </c>
      <c r="B4" s="384" t="s">
        <v>26</v>
      </c>
      <c r="C4" s="384" t="s">
        <v>359</v>
      </c>
      <c r="D4" s="384" t="s">
        <v>455</v>
      </c>
      <c r="E4" s="384">
        <v>0</v>
      </c>
      <c r="F4" s="384" t="s">
        <v>361</v>
      </c>
      <c r="G4" s="385">
        <v>54</v>
      </c>
      <c r="H4" s="386">
        <v>0</v>
      </c>
      <c r="I4" s="386">
        <v>0</v>
      </c>
      <c r="J4" s="296">
        <v>0</v>
      </c>
      <c r="K4" s="121">
        <f t="shared" si="4"/>
        <v>54</v>
      </c>
      <c r="L4" s="98" t="s">
        <v>398</v>
      </c>
      <c r="M4" s="95"/>
      <c r="N4" s="95">
        <v>35</v>
      </c>
      <c r="O4" s="95"/>
      <c r="P4" s="387"/>
      <c r="Q4" s="95" t="s">
        <v>258</v>
      </c>
      <c r="R4" s="298">
        <v>158760</v>
      </c>
      <c r="S4" s="298">
        <v>109740</v>
      </c>
      <c r="T4" s="297">
        <f>K4*3000</f>
        <v>162000</v>
      </c>
      <c r="U4" s="102">
        <f t="shared" si="0"/>
        <v>2940</v>
      </c>
      <c r="V4" s="102">
        <f t="shared" si="1"/>
        <v>2032.2222222222222</v>
      </c>
      <c r="W4" s="102"/>
      <c r="X4" s="102">
        <f t="shared" si="2"/>
        <v>3000</v>
      </c>
      <c r="Y4" s="102"/>
      <c r="Z4" s="101"/>
      <c r="AA4" s="554" t="s">
        <v>589</v>
      </c>
      <c r="AB4" s="103">
        <v>45100</v>
      </c>
      <c r="AC4" s="313">
        <f>20%*R4</f>
        <v>31752</v>
      </c>
      <c r="AD4" s="313"/>
      <c r="AE4" s="103"/>
      <c r="AF4" s="313"/>
      <c r="AG4" s="103"/>
      <c r="AH4" s="313">
        <f>80%*R4</f>
        <v>127008</v>
      </c>
      <c r="AI4" s="95" t="s">
        <v>247</v>
      </c>
      <c r="AJ4" s="95"/>
      <c r="AK4" s="306">
        <v>0.04</v>
      </c>
      <c r="AL4" s="306"/>
      <c r="AM4" s="306" t="s">
        <v>746</v>
      </c>
      <c r="AN4" s="95"/>
      <c r="AO4" s="95"/>
      <c r="AP4" s="95" t="s">
        <v>739</v>
      </c>
      <c r="AQ4" s="306" t="s">
        <v>249</v>
      </c>
      <c r="AR4" s="95"/>
      <c r="AS4" s="104" t="s">
        <v>721</v>
      </c>
      <c r="AT4" s="104" t="s">
        <v>265</v>
      </c>
      <c r="AU4" s="104"/>
      <c r="AV4" s="104"/>
      <c r="AW4" s="104"/>
      <c r="AX4" s="104"/>
      <c r="AY4" s="104"/>
      <c r="AZ4" s="104"/>
      <c r="BA4" s="104"/>
      <c r="BB4" s="115">
        <f t="shared" si="3"/>
        <v>108000</v>
      </c>
      <c r="BC4" s="115">
        <v>2000</v>
      </c>
      <c r="BD4" s="115"/>
      <c r="BE4" s="341"/>
      <c r="BF4" s="341"/>
      <c r="BG4" s="341"/>
      <c r="BH4" s="341"/>
      <c r="BI4" s="341"/>
      <c r="BJ4" s="341"/>
      <c r="BK4" s="341"/>
      <c r="BL4" s="341"/>
      <c r="BM4" s="341"/>
      <c r="BN4" s="341"/>
      <c r="BO4" s="341"/>
      <c r="BP4" s="341"/>
      <c r="BQ4" s="341"/>
      <c r="BR4" s="341"/>
      <c r="BS4" s="341"/>
      <c r="BT4" s="341"/>
      <c r="BU4" s="341"/>
      <c r="BV4" s="341"/>
      <c r="BW4" s="341"/>
      <c r="BX4" s="341"/>
      <c r="BY4" s="341"/>
      <c r="BZ4" s="341"/>
      <c r="CA4" s="341"/>
      <c r="CB4" s="341"/>
      <c r="CC4" s="341"/>
      <c r="CD4" s="341"/>
      <c r="CE4" s="341"/>
      <c r="CF4" s="341"/>
      <c r="CG4" s="341"/>
      <c r="CH4" s="341"/>
      <c r="CI4" s="341"/>
      <c r="CJ4" s="341"/>
      <c r="CK4" s="341"/>
      <c r="CL4" s="341"/>
      <c r="CM4" s="341"/>
    </row>
    <row r="5" spans="1:91" s="559" customFormat="1" ht="14.25" customHeight="1">
      <c r="A5" s="95">
        <v>4</v>
      </c>
      <c r="B5" s="384" t="s">
        <v>27</v>
      </c>
      <c r="C5" s="384" t="s">
        <v>359</v>
      </c>
      <c r="D5" s="384" t="s">
        <v>455</v>
      </c>
      <c r="E5" s="384">
        <v>0</v>
      </c>
      <c r="F5" s="384" t="s">
        <v>361</v>
      </c>
      <c r="G5" s="385">
        <v>123</v>
      </c>
      <c r="H5" s="386">
        <v>0</v>
      </c>
      <c r="I5" s="386">
        <v>0</v>
      </c>
      <c r="J5" s="296">
        <v>0</v>
      </c>
      <c r="K5" s="121">
        <f t="shared" si="4"/>
        <v>123</v>
      </c>
      <c r="L5" s="98" t="s">
        <v>397</v>
      </c>
      <c r="M5" s="95"/>
      <c r="N5" s="95" t="s">
        <v>454</v>
      </c>
      <c r="O5" s="95"/>
      <c r="P5" s="388"/>
      <c r="Q5" s="95" t="s">
        <v>258</v>
      </c>
      <c r="R5" s="298">
        <v>361620</v>
      </c>
      <c r="S5" s="298">
        <v>246020</v>
      </c>
      <c r="T5" s="297">
        <f>K5*3000</f>
        <v>369000</v>
      </c>
      <c r="U5" s="102">
        <f t="shared" si="0"/>
        <v>2940</v>
      </c>
      <c r="V5" s="102">
        <f t="shared" si="1"/>
        <v>2000.1626016260163</v>
      </c>
      <c r="W5" s="102"/>
      <c r="X5" s="102">
        <f t="shared" si="2"/>
        <v>3000</v>
      </c>
      <c r="Y5" s="102"/>
      <c r="Z5" s="101"/>
      <c r="AA5" s="554" t="s">
        <v>589</v>
      </c>
      <c r="AB5" s="103">
        <v>45100</v>
      </c>
      <c r="AC5" s="313">
        <f>20%*R5</f>
        <v>72324</v>
      </c>
      <c r="AD5" s="313"/>
      <c r="AE5" s="103"/>
      <c r="AF5" s="313"/>
      <c r="AG5" s="103"/>
      <c r="AH5" s="313">
        <f>80%*R5</f>
        <v>289296</v>
      </c>
      <c r="AI5" s="95" t="s">
        <v>247</v>
      </c>
      <c r="AJ5" s="95"/>
      <c r="AK5" s="306">
        <v>0.04</v>
      </c>
      <c r="AL5" s="306"/>
      <c r="AM5" s="306" t="s">
        <v>746</v>
      </c>
      <c r="AN5" s="95"/>
      <c r="AO5" s="95"/>
      <c r="AP5" s="95" t="s">
        <v>739</v>
      </c>
      <c r="AQ5" s="306" t="s">
        <v>249</v>
      </c>
      <c r="AR5" s="95"/>
      <c r="AS5" s="104" t="s">
        <v>721</v>
      </c>
      <c r="AT5" s="104" t="s">
        <v>265</v>
      </c>
      <c r="AU5" s="104"/>
      <c r="AV5" s="104"/>
      <c r="AW5" s="104"/>
      <c r="AX5" s="104"/>
      <c r="AY5" s="104"/>
      <c r="AZ5" s="104"/>
      <c r="BA5" s="104"/>
      <c r="BB5" s="115">
        <f t="shared" si="3"/>
        <v>246000</v>
      </c>
      <c r="BC5" s="115">
        <v>2000</v>
      </c>
      <c r="BD5" s="115"/>
      <c r="BE5" s="341"/>
      <c r="BF5" s="341"/>
      <c r="BG5" s="341"/>
      <c r="BH5" s="341"/>
      <c r="BI5" s="341"/>
      <c r="BJ5" s="341"/>
      <c r="BK5" s="341"/>
      <c r="BL5" s="341"/>
      <c r="BM5" s="341"/>
      <c r="BN5" s="341"/>
      <c r="BO5" s="341"/>
      <c r="BP5" s="341"/>
      <c r="BQ5" s="341"/>
      <c r="BR5" s="341"/>
      <c r="BS5" s="341"/>
      <c r="BT5" s="341"/>
      <c r="BU5" s="341"/>
      <c r="BV5" s="341"/>
      <c r="BW5" s="341"/>
      <c r="BX5" s="341"/>
      <c r="BY5" s="341"/>
      <c r="BZ5" s="341"/>
      <c r="CA5" s="341"/>
      <c r="CB5" s="341"/>
      <c r="CC5" s="341"/>
      <c r="CD5" s="341"/>
      <c r="CE5" s="341"/>
      <c r="CF5" s="341"/>
      <c r="CG5" s="341"/>
      <c r="CH5" s="341"/>
      <c r="CI5" s="341"/>
      <c r="CJ5" s="341"/>
      <c r="CK5" s="341"/>
      <c r="CL5" s="341"/>
      <c r="CM5" s="341"/>
    </row>
    <row r="6" spans="1:91" s="560" customFormat="1" ht="15.75" thickBot="1">
      <c r="A6" s="95">
        <v>5</v>
      </c>
      <c r="B6" s="293" t="s">
        <v>28</v>
      </c>
      <c r="C6" s="293" t="s">
        <v>359</v>
      </c>
      <c r="D6" s="293"/>
      <c r="E6" s="293">
        <v>0</v>
      </c>
      <c r="F6" s="293" t="s">
        <v>361</v>
      </c>
      <c r="G6" s="294">
        <v>180</v>
      </c>
      <c r="H6" s="295">
        <v>0</v>
      </c>
      <c r="I6" s="295">
        <v>0</v>
      </c>
      <c r="J6" s="296">
        <v>0</v>
      </c>
      <c r="K6" s="121">
        <v>160</v>
      </c>
      <c r="L6" s="98"/>
      <c r="M6" s="95"/>
      <c r="N6" s="95" t="s">
        <v>455</v>
      </c>
      <c r="O6" s="95"/>
      <c r="P6" s="99"/>
      <c r="Q6" s="95" t="s">
        <v>258</v>
      </c>
      <c r="R6" s="299">
        <v>312147.67</v>
      </c>
      <c r="S6" s="299"/>
      <c r="T6" s="299">
        <v>361200</v>
      </c>
      <c r="U6" s="102">
        <f t="shared" si="0"/>
        <v>1950.9229375</v>
      </c>
      <c r="V6" s="102">
        <f t="shared" si="1"/>
        <v>0</v>
      </c>
      <c r="W6" s="102"/>
      <c r="X6" s="102">
        <f t="shared" si="2"/>
        <v>2257.5</v>
      </c>
      <c r="Y6" s="102"/>
      <c r="Z6" s="101">
        <f t="shared" ref="Z6:Z18" si="5">-(100%-(R6/T6))</f>
        <v>-0.13580379291251388</v>
      </c>
      <c r="AA6" s="554"/>
      <c r="AB6" s="103">
        <v>44953</v>
      </c>
      <c r="AC6" s="313">
        <f t="shared" ref="AC6:AC14" si="6">50%*R6</f>
        <v>156073.83499999999</v>
      </c>
      <c r="AD6" s="313"/>
      <c r="AE6" s="103"/>
      <c r="AF6" s="313"/>
      <c r="AG6" s="103"/>
      <c r="AH6" s="313">
        <f t="shared" ref="AH6:AH14" si="7">50%*R6</f>
        <v>156073.83499999999</v>
      </c>
      <c r="AI6" s="104" t="s">
        <v>274</v>
      </c>
      <c r="AJ6" s="104"/>
      <c r="AK6" s="95"/>
      <c r="AL6" s="95"/>
      <c r="AM6" s="95"/>
      <c r="AN6" s="95"/>
      <c r="AO6" s="95"/>
      <c r="AP6" s="95"/>
      <c r="AQ6" s="95" t="s">
        <v>455</v>
      </c>
      <c r="AR6" s="95" t="s">
        <v>455</v>
      </c>
      <c r="AS6" s="104" t="s">
        <v>103</v>
      </c>
      <c r="AT6" s="104" t="s">
        <v>265</v>
      </c>
      <c r="AU6" s="104"/>
      <c r="AV6" s="104"/>
      <c r="AW6" s="104"/>
      <c r="AX6" s="104"/>
      <c r="AY6" s="104"/>
      <c r="AZ6" s="104"/>
      <c r="BA6" s="104"/>
      <c r="BB6" s="115">
        <f t="shared" si="3"/>
        <v>320000</v>
      </c>
      <c r="BC6" s="115">
        <v>2000</v>
      </c>
      <c r="BD6" s="115"/>
      <c r="BE6" s="341"/>
      <c r="BF6" s="341"/>
      <c r="BG6" s="341"/>
      <c r="BH6" s="341"/>
      <c r="BI6" s="341"/>
      <c r="BJ6" s="341"/>
      <c r="BK6" s="341"/>
      <c r="BL6" s="341"/>
      <c r="BM6" s="341"/>
      <c r="BN6" s="341"/>
      <c r="BO6" s="341"/>
      <c r="BP6" s="341"/>
      <c r="BQ6" s="341"/>
      <c r="BR6" s="341"/>
      <c r="BS6" s="341"/>
      <c r="BT6" s="341"/>
      <c r="BU6" s="341"/>
      <c r="BV6" s="341"/>
      <c r="BW6" s="341"/>
      <c r="BX6" s="341"/>
      <c r="BY6" s="341"/>
      <c r="BZ6" s="341"/>
      <c r="CA6" s="341"/>
      <c r="CB6" s="341"/>
      <c r="CC6" s="341"/>
      <c r="CD6" s="341"/>
      <c r="CE6" s="341"/>
      <c r="CF6" s="341"/>
      <c r="CG6" s="341"/>
      <c r="CH6" s="341"/>
      <c r="CI6" s="341"/>
      <c r="CJ6" s="341"/>
      <c r="CK6" s="341"/>
      <c r="CL6" s="341"/>
      <c r="CM6" s="341"/>
    </row>
    <row r="7" spans="1:91">
      <c r="A7" s="95">
        <v>6</v>
      </c>
      <c r="B7" s="293" t="s">
        <v>29</v>
      </c>
      <c r="C7" s="293" t="s">
        <v>360</v>
      </c>
      <c r="D7" s="293"/>
      <c r="E7" s="293">
        <v>1</v>
      </c>
      <c r="F7" s="293" t="s">
        <v>361</v>
      </c>
      <c r="G7" s="294">
        <v>192</v>
      </c>
      <c r="H7" s="295">
        <v>0</v>
      </c>
      <c r="I7" s="295">
        <v>0</v>
      </c>
      <c r="J7" s="296">
        <v>0</v>
      </c>
      <c r="K7" s="121">
        <f t="shared" si="4"/>
        <v>192</v>
      </c>
      <c r="L7" s="98" t="s">
        <v>371</v>
      </c>
      <c r="M7" s="95"/>
      <c r="N7" s="95" t="s">
        <v>456</v>
      </c>
      <c r="O7" s="95"/>
      <c r="P7" s="105"/>
      <c r="Q7" s="95" t="s">
        <v>258</v>
      </c>
      <c r="R7" s="297">
        <v>373480</v>
      </c>
      <c r="S7" s="297"/>
      <c r="T7" s="297">
        <v>408400.00000000006</v>
      </c>
      <c r="U7" s="102">
        <f t="shared" si="0"/>
        <v>1945.2083333333333</v>
      </c>
      <c r="V7" s="102">
        <f t="shared" si="1"/>
        <v>0</v>
      </c>
      <c r="W7" s="102"/>
      <c r="X7" s="102">
        <f t="shared" si="2"/>
        <v>2127.0833333333335</v>
      </c>
      <c r="Y7" s="102"/>
      <c r="Z7" s="101">
        <f t="shared" si="5"/>
        <v>-8.5504407443682817E-2</v>
      </c>
      <c r="AA7" s="554"/>
      <c r="AB7" s="103">
        <v>44953</v>
      </c>
      <c r="AC7" s="313">
        <f t="shared" si="6"/>
        <v>186740</v>
      </c>
      <c r="AD7" s="313"/>
      <c r="AE7" s="103"/>
      <c r="AF7" s="313"/>
      <c r="AG7" s="103"/>
      <c r="AH7" s="313">
        <f t="shared" si="7"/>
        <v>186740</v>
      </c>
      <c r="AI7" s="104" t="s">
        <v>274</v>
      </c>
      <c r="AJ7" s="104"/>
      <c r="AK7" s="95"/>
      <c r="AL7" s="95"/>
      <c r="AM7" s="95"/>
      <c r="AN7" s="95"/>
      <c r="AO7" s="95"/>
      <c r="AP7" s="95"/>
      <c r="AQ7" s="95" t="s">
        <v>455</v>
      </c>
      <c r="AR7" s="95" t="s">
        <v>455</v>
      </c>
      <c r="AS7" s="104" t="s">
        <v>103</v>
      </c>
      <c r="AT7" s="104" t="s">
        <v>265</v>
      </c>
      <c r="AU7" s="104"/>
      <c r="AV7" s="104"/>
      <c r="AW7" s="104"/>
      <c r="AX7" s="104"/>
      <c r="AY7" s="104"/>
      <c r="AZ7" s="95"/>
      <c r="BA7" s="95"/>
      <c r="BB7" s="115">
        <f t="shared" si="3"/>
        <v>384000</v>
      </c>
      <c r="BC7" s="115">
        <v>2000</v>
      </c>
      <c r="BD7" s="115"/>
      <c r="BE7" s="341"/>
      <c r="BF7" s="341"/>
      <c r="BG7" s="341"/>
      <c r="BH7" s="341"/>
      <c r="BI7" s="341"/>
      <c r="BJ7" s="341"/>
      <c r="BK7" s="341"/>
      <c r="BL7" s="341"/>
      <c r="BM7" s="341"/>
      <c r="BN7" s="341"/>
      <c r="BO7" s="341"/>
      <c r="BP7" s="341"/>
      <c r="BQ7" s="341"/>
      <c r="BR7" s="341"/>
      <c r="BS7" s="341"/>
      <c r="BT7" s="341"/>
      <c r="BU7" s="341"/>
      <c r="BV7" s="341"/>
      <c r="BW7" s="341"/>
      <c r="BX7" s="341"/>
      <c r="BY7" s="341"/>
      <c r="BZ7" s="341"/>
      <c r="CA7" s="341"/>
      <c r="CB7" s="341"/>
      <c r="CC7" s="341"/>
      <c r="CD7" s="341"/>
      <c r="CE7" s="341"/>
      <c r="CF7" s="341"/>
      <c r="CG7" s="341"/>
      <c r="CH7" s="341"/>
      <c r="CI7" s="341"/>
      <c r="CJ7" s="341"/>
      <c r="CK7" s="341"/>
      <c r="CL7" s="341"/>
      <c r="CM7" s="341"/>
    </row>
    <row r="8" spans="1:91">
      <c r="A8" s="95">
        <v>7</v>
      </c>
      <c r="B8" s="293" t="s">
        <v>30</v>
      </c>
      <c r="C8" s="293" t="s">
        <v>360</v>
      </c>
      <c r="D8" s="293"/>
      <c r="E8" s="293">
        <v>1</v>
      </c>
      <c r="F8" s="293" t="s">
        <v>361</v>
      </c>
      <c r="G8" s="294">
        <v>54</v>
      </c>
      <c r="H8" s="295">
        <v>0</v>
      </c>
      <c r="I8" s="295">
        <v>0</v>
      </c>
      <c r="J8" s="296">
        <v>0</v>
      </c>
      <c r="K8" s="121">
        <f t="shared" si="4"/>
        <v>54</v>
      </c>
      <c r="L8" s="98" t="s">
        <v>372</v>
      </c>
      <c r="M8" s="95"/>
      <c r="N8" s="95" t="s">
        <v>457</v>
      </c>
      <c r="O8" s="95"/>
      <c r="P8" s="99"/>
      <c r="Q8" s="95" t="s">
        <v>258</v>
      </c>
      <c r="R8" s="298">
        <v>106780</v>
      </c>
      <c r="S8" s="298"/>
      <c r="T8" s="298">
        <v>120600</v>
      </c>
      <c r="U8" s="102">
        <f t="shared" si="0"/>
        <v>1977.4074074074074</v>
      </c>
      <c r="V8" s="102">
        <f t="shared" si="1"/>
        <v>0</v>
      </c>
      <c r="W8" s="102"/>
      <c r="X8" s="102">
        <f t="shared" si="2"/>
        <v>2233.3333333333335</v>
      </c>
      <c r="Y8" s="102"/>
      <c r="Z8" s="101">
        <f t="shared" si="5"/>
        <v>-0.11459369817578768</v>
      </c>
      <c r="AA8" s="554"/>
      <c r="AB8" s="103">
        <v>44953</v>
      </c>
      <c r="AC8" s="313">
        <f t="shared" si="6"/>
        <v>53390</v>
      </c>
      <c r="AD8" s="313"/>
      <c r="AE8" s="103"/>
      <c r="AF8" s="313"/>
      <c r="AG8" s="103"/>
      <c r="AH8" s="313">
        <f t="shared" si="7"/>
        <v>53390</v>
      </c>
      <c r="AI8" s="104" t="s">
        <v>274</v>
      </c>
      <c r="AJ8" s="104"/>
      <c r="AK8" s="95"/>
      <c r="AL8" s="95"/>
      <c r="AM8" s="95"/>
      <c r="AN8" s="95"/>
      <c r="AO8" s="95"/>
      <c r="AP8" s="95"/>
      <c r="AQ8" s="95" t="s">
        <v>455</v>
      </c>
      <c r="AR8" s="95" t="s">
        <v>455</v>
      </c>
      <c r="AS8" s="104" t="s">
        <v>103</v>
      </c>
      <c r="AT8" s="104" t="s">
        <v>265</v>
      </c>
      <c r="AU8" s="104"/>
      <c r="AV8" s="104"/>
      <c r="AW8" s="104"/>
      <c r="AX8" s="104"/>
      <c r="AY8" s="104"/>
      <c r="AZ8" s="95"/>
      <c r="BA8" s="95"/>
      <c r="BB8" s="115">
        <f t="shared" si="3"/>
        <v>108000</v>
      </c>
      <c r="BC8" s="115">
        <v>2000</v>
      </c>
      <c r="BD8" s="115"/>
      <c r="BE8" s="341"/>
      <c r="BF8" s="341"/>
      <c r="BG8" s="341"/>
      <c r="BH8" s="341"/>
      <c r="BI8" s="341"/>
      <c r="BJ8" s="341"/>
      <c r="BK8" s="341"/>
      <c r="BL8" s="341"/>
      <c r="BM8" s="341"/>
      <c r="BN8" s="341"/>
      <c r="BO8" s="341"/>
      <c r="BP8" s="341"/>
      <c r="BQ8" s="341"/>
      <c r="BR8" s="341"/>
      <c r="BS8" s="341"/>
      <c r="BT8" s="341"/>
      <c r="BU8" s="341"/>
      <c r="BV8" s="341"/>
      <c r="BW8" s="341"/>
      <c r="BX8" s="341"/>
      <c r="BY8" s="341"/>
      <c r="BZ8" s="341"/>
      <c r="CA8" s="341"/>
      <c r="CB8" s="341"/>
      <c r="CC8" s="341"/>
      <c r="CD8" s="341"/>
      <c r="CE8" s="341"/>
      <c r="CF8" s="341"/>
      <c r="CG8" s="341"/>
      <c r="CH8" s="341"/>
      <c r="CI8" s="341"/>
      <c r="CJ8" s="341"/>
      <c r="CK8" s="341"/>
      <c r="CL8" s="341"/>
      <c r="CM8" s="341"/>
    </row>
    <row r="9" spans="1:91">
      <c r="A9" s="95">
        <v>8</v>
      </c>
      <c r="B9" s="293" t="s">
        <v>31</v>
      </c>
      <c r="C9" s="293" t="s">
        <v>360</v>
      </c>
      <c r="D9" s="293"/>
      <c r="E9" s="293">
        <v>1</v>
      </c>
      <c r="F9" s="293" t="s">
        <v>361</v>
      </c>
      <c r="G9" s="294">
        <v>54</v>
      </c>
      <c r="H9" s="295">
        <v>0</v>
      </c>
      <c r="I9" s="295">
        <v>0</v>
      </c>
      <c r="J9" s="296">
        <v>0</v>
      </c>
      <c r="K9" s="121">
        <f t="shared" si="4"/>
        <v>54</v>
      </c>
      <c r="L9" s="98" t="s">
        <v>373</v>
      </c>
      <c r="M9" s="95"/>
      <c r="N9" s="95">
        <v>36</v>
      </c>
      <c r="O9" s="95"/>
      <c r="P9" s="105"/>
      <c r="Q9" s="95" t="s">
        <v>258</v>
      </c>
      <c r="R9" s="298">
        <v>104990</v>
      </c>
      <c r="S9" s="298"/>
      <c r="T9" s="298">
        <v>107960</v>
      </c>
      <c r="U9" s="102">
        <f t="shared" si="0"/>
        <v>1944.2592592592594</v>
      </c>
      <c r="V9" s="102">
        <f t="shared" si="1"/>
        <v>0</v>
      </c>
      <c r="W9" s="102"/>
      <c r="X9" s="102">
        <f t="shared" si="2"/>
        <v>1999.2592592592594</v>
      </c>
      <c r="Y9" s="102"/>
      <c r="Z9" s="101">
        <f t="shared" si="5"/>
        <v>-2.7510188958873694E-2</v>
      </c>
      <c r="AA9" s="554"/>
      <c r="AB9" s="103">
        <v>44953</v>
      </c>
      <c r="AC9" s="313">
        <f t="shared" si="6"/>
        <v>52495</v>
      </c>
      <c r="AD9" s="313"/>
      <c r="AE9" s="103"/>
      <c r="AF9" s="313"/>
      <c r="AG9" s="103"/>
      <c r="AH9" s="313">
        <f t="shared" si="7"/>
        <v>52495</v>
      </c>
      <c r="AI9" s="104" t="s">
        <v>274</v>
      </c>
      <c r="AJ9" s="104"/>
      <c r="AK9" s="95"/>
      <c r="AL9" s="95"/>
      <c r="AM9" s="95"/>
      <c r="AN9" s="95"/>
      <c r="AO9" s="95"/>
      <c r="AP9" s="95"/>
      <c r="AQ9" s="95" t="s">
        <v>455</v>
      </c>
      <c r="AR9" s="95" t="s">
        <v>455</v>
      </c>
      <c r="AS9" s="104" t="s">
        <v>103</v>
      </c>
      <c r="AT9" s="104" t="s">
        <v>265</v>
      </c>
      <c r="AU9" s="104"/>
      <c r="AV9" s="104"/>
      <c r="AW9" s="104"/>
      <c r="AX9" s="104"/>
      <c r="AY9" s="104"/>
      <c r="AZ9" s="112"/>
      <c r="BA9" s="112"/>
      <c r="BB9" s="115">
        <f t="shared" si="3"/>
        <v>108000</v>
      </c>
      <c r="BC9" s="115">
        <v>2000</v>
      </c>
      <c r="BD9" s="115"/>
      <c r="BE9" s="341"/>
      <c r="BF9" s="341"/>
      <c r="BG9" s="341"/>
      <c r="BH9" s="341"/>
      <c r="BI9" s="341"/>
      <c r="BJ9" s="341"/>
      <c r="BK9" s="341"/>
      <c r="BL9" s="341"/>
      <c r="BM9" s="341"/>
      <c r="BN9" s="341"/>
      <c r="BO9" s="341"/>
      <c r="BP9" s="341"/>
      <c r="BQ9" s="341"/>
      <c r="BR9" s="341"/>
      <c r="BS9" s="341"/>
      <c r="BT9" s="341"/>
      <c r="BU9" s="341"/>
      <c r="BV9" s="341"/>
      <c r="BW9" s="341"/>
      <c r="BX9" s="341"/>
      <c r="BY9" s="341"/>
      <c r="BZ9" s="341"/>
      <c r="CA9" s="341"/>
      <c r="CB9" s="341"/>
      <c r="CC9" s="341"/>
      <c r="CD9" s="341"/>
      <c r="CE9" s="341"/>
      <c r="CF9" s="341"/>
      <c r="CG9" s="341"/>
      <c r="CH9" s="341"/>
      <c r="CI9" s="341"/>
      <c r="CJ9" s="341"/>
      <c r="CK9" s="341"/>
      <c r="CL9" s="341"/>
      <c r="CM9" s="341"/>
    </row>
    <row r="10" spans="1:91">
      <c r="A10" s="95">
        <v>9</v>
      </c>
      <c r="B10" s="293" t="s">
        <v>32</v>
      </c>
      <c r="C10" s="293" t="s">
        <v>360</v>
      </c>
      <c r="D10" s="293"/>
      <c r="E10" s="293">
        <v>1</v>
      </c>
      <c r="F10" s="293" t="s">
        <v>361</v>
      </c>
      <c r="G10" s="294">
        <v>54</v>
      </c>
      <c r="H10" s="295">
        <v>0</v>
      </c>
      <c r="I10" s="295">
        <v>0</v>
      </c>
      <c r="J10" s="296">
        <v>0</v>
      </c>
      <c r="K10" s="121">
        <f t="shared" si="4"/>
        <v>54</v>
      </c>
      <c r="L10" s="98" t="s">
        <v>374</v>
      </c>
      <c r="M10" s="95"/>
      <c r="N10" s="95">
        <v>83</v>
      </c>
      <c r="O10" s="95"/>
      <c r="P10" s="99"/>
      <c r="Q10" s="95" t="s">
        <v>258</v>
      </c>
      <c r="R10" s="298">
        <v>105145</v>
      </c>
      <c r="S10" s="298"/>
      <c r="T10" s="298">
        <v>108120</v>
      </c>
      <c r="U10" s="102">
        <f t="shared" si="0"/>
        <v>1947.1296296296296</v>
      </c>
      <c r="V10" s="102">
        <f t="shared" si="1"/>
        <v>0</v>
      </c>
      <c r="W10" s="102"/>
      <c r="X10" s="102">
        <f t="shared" si="2"/>
        <v>2002.2222222222222</v>
      </c>
      <c r="Y10" s="102"/>
      <c r="Z10" s="101">
        <f t="shared" si="5"/>
        <v>-2.7515723270440273E-2</v>
      </c>
      <c r="AA10" s="554"/>
      <c r="AB10" s="103">
        <v>44953</v>
      </c>
      <c r="AC10" s="313">
        <f t="shared" si="6"/>
        <v>52572.5</v>
      </c>
      <c r="AD10" s="313"/>
      <c r="AE10" s="103"/>
      <c r="AF10" s="313"/>
      <c r="AG10" s="103"/>
      <c r="AH10" s="313">
        <f t="shared" si="7"/>
        <v>52572.5</v>
      </c>
      <c r="AI10" s="104" t="s">
        <v>274</v>
      </c>
      <c r="AJ10" s="104"/>
      <c r="AK10" s="95"/>
      <c r="AL10" s="95"/>
      <c r="AM10" s="95"/>
      <c r="AN10" s="95"/>
      <c r="AO10" s="95"/>
      <c r="AP10" s="95"/>
      <c r="AQ10" s="95" t="s">
        <v>455</v>
      </c>
      <c r="AR10" s="95" t="s">
        <v>455</v>
      </c>
      <c r="AS10" s="104" t="s">
        <v>103</v>
      </c>
      <c r="AT10" s="104" t="s">
        <v>265</v>
      </c>
      <c r="AU10" s="104"/>
      <c r="AV10" s="104"/>
      <c r="AW10" s="104"/>
      <c r="AX10" s="104"/>
      <c r="AY10" s="104"/>
      <c r="AZ10" s="104"/>
      <c r="BA10" s="104"/>
      <c r="BB10" s="115">
        <f t="shared" si="3"/>
        <v>108000</v>
      </c>
      <c r="BC10" s="115">
        <v>2000</v>
      </c>
      <c r="BD10" s="115"/>
      <c r="BE10" s="341"/>
      <c r="BF10" s="341"/>
      <c r="BG10" s="341"/>
      <c r="BH10" s="341"/>
      <c r="BI10" s="341"/>
      <c r="BJ10" s="341"/>
      <c r="BK10" s="341"/>
      <c r="BL10" s="341"/>
      <c r="BM10" s="341"/>
      <c r="BN10" s="341"/>
      <c r="BO10" s="341"/>
      <c r="BP10" s="341"/>
      <c r="BQ10" s="341"/>
      <c r="BR10" s="341"/>
      <c r="BS10" s="341"/>
      <c r="BT10" s="341"/>
      <c r="BU10" s="341"/>
      <c r="BV10" s="341"/>
      <c r="BW10" s="341"/>
      <c r="BX10" s="341"/>
      <c r="BY10" s="341"/>
      <c r="BZ10" s="341"/>
      <c r="CA10" s="341"/>
      <c r="CB10" s="341"/>
      <c r="CC10" s="341"/>
      <c r="CD10" s="341"/>
      <c r="CE10" s="341"/>
      <c r="CF10" s="341"/>
      <c r="CG10" s="341"/>
      <c r="CH10" s="341"/>
      <c r="CI10" s="341"/>
      <c r="CJ10" s="341"/>
      <c r="CK10" s="341"/>
      <c r="CL10" s="341"/>
      <c r="CM10" s="341"/>
    </row>
    <row r="11" spans="1:91">
      <c r="A11" s="95">
        <v>10</v>
      </c>
      <c r="B11" s="293" t="s">
        <v>33</v>
      </c>
      <c r="C11" s="293" t="s">
        <v>360</v>
      </c>
      <c r="D11" s="293"/>
      <c r="E11" s="293">
        <v>1</v>
      </c>
      <c r="F11" s="293" t="s">
        <v>361</v>
      </c>
      <c r="G11" s="294">
        <v>54</v>
      </c>
      <c r="H11" s="295">
        <v>0</v>
      </c>
      <c r="I11" s="295">
        <v>0</v>
      </c>
      <c r="J11" s="296">
        <v>0</v>
      </c>
      <c r="K11" s="121">
        <f t="shared" si="4"/>
        <v>54</v>
      </c>
      <c r="L11" s="98" t="s">
        <v>375</v>
      </c>
      <c r="M11" s="95"/>
      <c r="N11" s="95">
        <v>84</v>
      </c>
      <c r="O11" s="95"/>
      <c r="P11" s="105"/>
      <c r="Q11" s="95" t="s">
        <v>258</v>
      </c>
      <c r="R11" s="298">
        <v>105145</v>
      </c>
      <c r="S11" s="298"/>
      <c r="T11" s="298">
        <v>118380.00000000001</v>
      </c>
      <c r="U11" s="102">
        <f t="shared" si="0"/>
        <v>1947.1296296296296</v>
      </c>
      <c r="V11" s="102">
        <f t="shared" si="1"/>
        <v>0</v>
      </c>
      <c r="W11" s="102"/>
      <c r="X11" s="102">
        <f t="shared" si="2"/>
        <v>2192.2222222222226</v>
      </c>
      <c r="Y11" s="102"/>
      <c r="Z11" s="101">
        <f t="shared" si="5"/>
        <v>-0.11180097989525273</v>
      </c>
      <c r="AA11" s="554"/>
      <c r="AB11" s="103">
        <v>44953</v>
      </c>
      <c r="AC11" s="313">
        <f t="shared" si="6"/>
        <v>52572.5</v>
      </c>
      <c r="AD11" s="313"/>
      <c r="AE11" s="103"/>
      <c r="AF11" s="313"/>
      <c r="AG11" s="103"/>
      <c r="AH11" s="313">
        <f t="shared" si="7"/>
        <v>52572.5</v>
      </c>
      <c r="AI11" s="104" t="s">
        <v>274</v>
      </c>
      <c r="AJ11" s="104"/>
      <c r="AK11" s="95"/>
      <c r="AL11" s="95"/>
      <c r="AM11" s="95"/>
      <c r="AN11" s="95"/>
      <c r="AO11" s="95"/>
      <c r="AP11" s="95"/>
      <c r="AQ11" s="95" t="s">
        <v>455</v>
      </c>
      <c r="AR11" s="95" t="s">
        <v>455</v>
      </c>
      <c r="AS11" s="104" t="s">
        <v>103</v>
      </c>
      <c r="AT11" s="104" t="s">
        <v>265</v>
      </c>
      <c r="AU11" s="104"/>
      <c r="AV11" s="104"/>
      <c r="AW11" s="104"/>
      <c r="AX11" s="104"/>
      <c r="AY11" s="104"/>
      <c r="AZ11" s="132"/>
      <c r="BA11" s="132"/>
      <c r="BB11" s="115">
        <f t="shared" si="3"/>
        <v>108000</v>
      </c>
      <c r="BC11" s="115">
        <v>2000</v>
      </c>
      <c r="BD11" s="115"/>
      <c r="BE11" s="341"/>
      <c r="BF11" s="341"/>
      <c r="BG11" s="341"/>
      <c r="BH11" s="341"/>
      <c r="BI11" s="341"/>
      <c r="BJ11" s="341"/>
      <c r="BK11" s="341"/>
      <c r="BL11" s="341"/>
      <c r="BM11" s="341"/>
      <c r="BN11" s="341"/>
      <c r="BO11" s="341"/>
      <c r="BP11" s="341"/>
      <c r="BQ11" s="341"/>
      <c r="BR11" s="341"/>
      <c r="BS11" s="341"/>
      <c r="BT11" s="341"/>
      <c r="BU11" s="341"/>
      <c r="BV11" s="341"/>
      <c r="BW11" s="341"/>
      <c r="BX11" s="341"/>
      <c r="BY11" s="341"/>
      <c r="BZ11" s="341"/>
      <c r="CA11" s="341"/>
      <c r="CB11" s="341"/>
      <c r="CC11" s="341"/>
      <c r="CD11" s="341"/>
      <c r="CE11" s="341"/>
      <c r="CF11" s="341"/>
      <c r="CG11" s="341"/>
      <c r="CH11" s="341"/>
      <c r="CI11" s="341"/>
      <c r="CJ11" s="341"/>
      <c r="CK11" s="341"/>
      <c r="CL11" s="341"/>
      <c r="CM11" s="341"/>
    </row>
    <row r="12" spans="1:91">
      <c r="A12" s="95">
        <v>11</v>
      </c>
      <c r="B12" s="293" t="s">
        <v>34</v>
      </c>
      <c r="C12" s="293" t="s">
        <v>360</v>
      </c>
      <c r="D12" s="293"/>
      <c r="E12" s="293">
        <v>1</v>
      </c>
      <c r="F12" s="293" t="s">
        <v>361</v>
      </c>
      <c r="G12" s="294">
        <v>54</v>
      </c>
      <c r="H12" s="295">
        <v>0</v>
      </c>
      <c r="I12" s="295">
        <v>0</v>
      </c>
      <c r="J12" s="296">
        <v>0</v>
      </c>
      <c r="K12" s="121">
        <f t="shared" si="4"/>
        <v>54</v>
      </c>
      <c r="L12" s="98" t="s">
        <v>376</v>
      </c>
      <c r="M12" s="95"/>
      <c r="N12" s="95">
        <v>85</v>
      </c>
      <c r="O12" s="95"/>
      <c r="P12" s="99"/>
      <c r="Q12" s="95" t="s">
        <v>258</v>
      </c>
      <c r="R12" s="298">
        <v>105145</v>
      </c>
      <c r="S12" s="298"/>
      <c r="T12" s="298">
        <v>118200</v>
      </c>
      <c r="U12" s="102">
        <f t="shared" si="0"/>
        <v>1947.1296296296296</v>
      </c>
      <c r="V12" s="102">
        <f t="shared" si="1"/>
        <v>0</v>
      </c>
      <c r="W12" s="102"/>
      <c r="X12" s="102">
        <f t="shared" si="2"/>
        <v>2188.8888888888887</v>
      </c>
      <c r="Y12" s="102"/>
      <c r="Z12" s="101">
        <f t="shared" si="5"/>
        <v>-0.1104483925549915</v>
      </c>
      <c r="AA12" s="554"/>
      <c r="AB12" s="103">
        <v>44953</v>
      </c>
      <c r="AC12" s="313">
        <f t="shared" si="6"/>
        <v>52572.5</v>
      </c>
      <c r="AD12" s="313"/>
      <c r="AE12" s="103"/>
      <c r="AF12" s="313"/>
      <c r="AG12" s="103"/>
      <c r="AH12" s="313">
        <f t="shared" si="7"/>
        <v>52572.5</v>
      </c>
      <c r="AI12" s="104" t="s">
        <v>274</v>
      </c>
      <c r="AJ12" s="104"/>
      <c r="AK12" s="95"/>
      <c r="AL12" s="95"/>
      <c r="AM12" s="95"/>
      <c r="AN12" s="95"/>
      <c r="AO12" s="95"/>
      <c r="AP12" s="95"/>
      <c r="AQ12" s="95" t="s">
        <v>455</v>
      </c>
      <c r="AR12" s="95" t="s">
        <v>455</v>
      </c>
      <c r="AS12" s="104" t="s">
        <v>103</v>
      </c>
      <c r="AT12" s="104" t="s">
        <v>265</v>
      </c>
      <c r="AU12" s="104"/>
      <c r="AV12" s="104"/>
      <c r="AW12" s="104"/>
      <c r="AX12" s="104"/>
      <c r="AY12" s="104"/>
      <c r="AZ12" s="132"/>
      <c r="BA12" s="132"/>
      <c r="BB12" s="115">
        <f t="shared" si="3"/>
        <v>108000</v>
      </c>
      <c r="BC12" s="115">
        <v>2000</v>
      </c>
      <c r="BD12" s="115"/>
      <c r="BE12" s="341"/>
      <c r="BF12" s="341"/>
      <c r="BG12" s="341"/>
      <c r="BH12" s="341"/>
      <c r="BI12" s="341"/>
      <c r="BJ12" s="341"/>
      <c r="BK12" s="341"/>
      <c r="BL12" s="341"/>
      <c r="BM12" s="341"/>
      <c r="BN12" s="341"/>
      <c r="BO12" s="341"/>
      <c r="BP12" s="341"/>
      <c r="BQ12" s="341"/>
      <c r="BR12" s="341"/>
      <c r="BS12" s="341"/>
      <c r="BT12" s="341"/>
      <c r="BU12" s="341"/>
      <c r="BV12" s="341"/>
      <c r="BW12" s="341"/>
      <c r="BX12" s="341"/>
      <c r="BY12" s="341"/>
      <c r="BZ12" s="341"/>
      <c r="CA12" s="341"/>
      <c r="CB12" s="341"/>
      <c r="CC12" s="341"/>
      <c r="CD12" s="341"/>
      <c r="CE12" s="341"/>
      <c r="CF12" s="341"/>
      <c r="CG12" s="341"/>
      <c r="CH12" s="341"/>
      <c r="CI12" s="341"/>
      <c r="CJ12" s="341"/>
      <c r="CK12" s="341"/>
      <c r="CL12" s="341"/>
      <c r="CM12" s="341"/>
    </row>
    <row r="13" spans="1:91">
      <c r="A13" s="95">
        <v>12</v>
      </c>
      <c r="B13" s="293" t="s">
        <v>35</v>
      </c>
      <c r="C13" s="293" t="s">
        <v>360</v>
      </c>
      <c r="D13" s="293"/>
      <c r="E13" s="293">
        <v>1</v>
      </c>
      <c r="F13" s="293" t="s">
        <v>361</v>
      </c>
      <c r="G13" s="294">
        <v>54</v>
      </c>
      <c r="H13" s="295">
        <v>0</v>
      </c>
      <c r="I13" s="295">
        <v>0</v>
      </c>
      <c r="J13" s="296">
        <v>0</v>
      </c>
      <c r="K13" s="121">
        <f t="shared" si="4"/>
        <v>54</v>
      </c>
      <c r="L13" s="98" t="s">
        <v>377</v>
      </c>
      <c r="M13" s="95"/>
      <c r="N13" s="95">
        <v>86</v>
      </c>
      <c r="O13" s="95"/>
      <c r="P13" s="105"/>
      <c r="Q13" s="95" t="s">
        <v>258</v>
      </c>
      <c r="R13" s="298">
        <v>106820</v>
      </c>
      <c r="S13" s="298"/>
      <c r="T13" s="298">
        <v>109840</v>
      </c>
      <c r="U13" s="102">
        <f t="shared" si="0"/>
        <v>1978.148148148148</v>
      </c>
      <c r="V13" s="102">
        <f t="shared" si="1"/>
        <v>0</v>
      </c>
      <c r="W13" s="102"/>
      <c r="X13" s="102">
        <f t="shared" si="2"/>
        <v>2034.0740740740741</v>
      </c>
      <c r="Y13" s="102"/>
      <c r="Z13" s="101">
        <f t="shared" si="5"/>
        <v>-2.7494537509104133E-2</v>
      </c>
      <c r="AA13" s="554"/>
      <c r="AB13" s="103">
        <v>44953</v>
      </c>
      <c r="AC13" s="313">
        <f t="shared" si="6"/>
        <v>53410</v>
      </c>
      <c r="AD13" s="313"/>
      <c r="AE13" s="103"/>
      <c r="AF13" s="313"/>
      <c r="AG13" s="103"/>
      <c r="AH13" s="313">
        <f t="shared" si="7"/>
        <v>53410</v>
      </c>
      <c r="AI13" s="104" t="s">
        <v>274</v>
      </c>
      <c r="AJ13" s="104"/>
      <c r="AK13" s="95"/>
      <c r="AL13" s="95"/>
      <c r="AM13" s="95"/>
      <c r="AN13" s="95"/>
      <c r="AO13" s="95"/>
      <c r="AP13" s="95"/>
      <c r="AQ13" s="95" t="s">
        <v>455</v>
      </c>
      <c r="AR13" s="95" t="s">
        <v>455</v>
      </c>
      <c r="AS13" s="104" t="s">
        <v>103</v>
      </c>
      <c r="AT13" s="104" t="s">
        <v>265</v>
      </c>
      <c r="AU13" s="104"/>
      <c r="AV13" s="104"/>
      <c r="AW13" s="104"/>
      <c r="AX13" s="104"/>
      <c r="AY13" s="104"/>
      <c r="AZ13" s="104"/>
      <c r="BA13" s="104"/>
      <c r="BB13" s="115">
        <f t="shared" si="3"/>
        <v>108000</v>
      </c>
      <c r="BC13" s="115">
        <v>2000</v>
      </c>
      <c r="BD13" s="115"/>
      <c r="BE13" s="341"/>
      <c r="BF13" s="341"/>
      <c r="BG13" s="341"/>
      <c r="BH13" s="341"/>
      <c r="BI13" s="341"/>
      <c r="BJ13" s="341"/>
      <c r="BK13" s="341"/>
      <c r="BL13" s="341"/>
      <c r="BM13" s="341"/>
      <c r="BN13" s="341"/>
      <c r="BO13" s="341"/>
      <c r="BP13" s="341"/>
      <c r="BQ13" s="341"/>
      <c r="BR13" s="341"/>
      <c r="BS13" s="341"/>
      <c r="BT13" s="341"/>
      <c r="BU13" s="341"/>
      <c r="BV13" s="341"/>
      <c r="BW13" s="341"/>
      <c r="BX13" s="341"/>
      <c r="BY13" s="341"/>
      <c r="BZ13" s="341"/>
      <c r="CA13" s="341"/>
      <c r="CB13" s="341"/>
      <c r="CC13" s="341"/>
      <c r="CD13" s="341"/>
      <c r="CE13" s="341"/>
      <c r="CF13" s="341"/>
      <c r="CG13" s="341"/>
      <c r="CH13" s="341"/>
      <c r="CI13" s="341"/>
      <c r="CJ13" s="341"/>
      <c r="CK13" s="341"/>
      <c r="CL13" s="341"/>
      <c r="CM13" s="341"/>
    </row>
    <row r="14" spans="1:91" ht="15.75" thickBot="1">
      <c r="A14" s="95">
        <v>13</v>
      </c>
      <c r="B14" s="293" t="s">
        <v>36</v>
      </c>
      <c r="C14" s="293" t="s">
        <v>360</v>
      </c>
      <c r="D14" s="293"/>
      <c r="E14" s="293">
        <v>1</v>
      </c>
      <c r="F14" s="293" t="s">
        <v>361</v>
      </c>
      <c r="G14" s="294">
        <v>171</v>
      </c>
      <c r="H14" s="295">
        <v>0</v>
      </c>
      <c r="I14" s="295">
        <v>0</v>
      </c>
      <c r="J14" s="296">
        <v>0</v>
      </c>
      <c r="K14" s="121">
        <f t="shared" si="4"/>
        <v>171</v>
      </c>
      <c r="L14" s="98" t="s">
        <v>378</v>
      </c>
      <c r="M14" s="98"/>
      <c r="N14" s="95" t="s">
        <v>458</v>
      </c>
      <c r="O14" s="95"/>
      <c r="P14" s="99"/>
      <c r="Q14" s="95" t="s">
        <v>258</v>
      </c>
      <c r="R14" s="299">
        <v>341230</v>
      </c>
      <c r="S14" s="299"/>
      <c r="T14" s="299">
        <v>350880</v>
      </c>
      <c r="U14" s="102">
        <f t="shared" si="0"/>
        <v>1995.4970760233919</v>
      </c>
      <c r="V14" s="102">
        <f t="shared" si="1"/>
        <v>0</v>
      </c>
      <c r="W14" s="102"/>
      <c r="X14" s="102">
        <f t="shared" si="2"/>
        <v>2051.9298245614036</v>
      </c>
      <c r="Y14" s="102"/>
      <c r="Z14" s="101">
        <f t="shared" si="5"/>
        <v>-2.7502279981760136E-2</v>
      </c>
      <c r="AA14" s="554"/>
      <c r="AB14" s="103">
        <v>44953</v>
      </c>
      <c r="AC14" s="313">
        <f t="shared" si="6"/>
        <v>170615</v>
      </c>
      <c r="AD14" s="313"/>
      <c r="AE14" s="103"/>
      <c r="AF14" s="313"/>
      <c r="AG14" s="103"/>
      <c r="AH14" s="313">
        <f t="shared" si="7"/>
        <v>170615</v>
      </c>
      <c r="AI14" s="104" t="s">
        <v>274</v>
      </c>
      <c r="AJ14" s="104"/>
      <c r="AK14" s="95"/>
      <c r="AL14" s="95"/>
      <c r="AM14" s="95"/>
      <c r="AN14" s="95"/>
      <c r="AO14" s="95"/>
      <c r="AP14" s="95"/>
      <c r="AQ14" s="95" t="s">
        <v>455</v>
      </c>
      <c r="AR14" s="95" t="s">
        <v>455</v>
      </c>
      <c r="AS14" s="104" t="s">
        <v>103</v>
      </c>
      <c r="AT14" s="104" t="s">
        <v>265</v>
      </c>
      <c r="AU14" s="104"/>
      <c r="AV14" s="104"/>
      <c r="AW14" s="104"/>
      <c r="AX14" s="104"/>
      <c r="AY14" s="104"/>
      <c r="AZ14" s="104"/>
      <c r="BA14" s="104"/>
      <c r="BB14" s="115">
        <f t="shared" si="3"/>
        <v>342000</v>
      </c>
      <c r="BC14" s="115">
        <v>2000</v>
      </c>
      <c r="BD14" s="115"/>
      <c r="BE14" s="341"/>
      <c r="BF14" s="341"/>
      <c r="BG14" s="341"/>
      <c r="BH14" s="341"/>
      <c r="BI14" s="341"/>
      <c r="BJ14" s="341"/>
      <c r="BK14" s="341"/>
      <c r="BL14" s="341"/>
      <c r="BM14" s="341"/>
      <c r="BN14" s="341"/>
      <c r="BO14" s="341"/>
      <c r="BP14" s="341"/>
      <c r="BQ14" s="341"/>
      <c r="BR14" s="341"/>
      <c r="BS14" s="341"/>
      <c r="BT14" s="341"/>
      <c r="BU14" s="341"/>
      <c r="BV14" s="341"/>
      <c r="BW14" s="341"/>
      <c r="BX14" s="341"/>
      <c r="BY14" s="341"/>
      <c r="BZ14" s="341"/>
      <c r="CA14" s="341"/>
      <c r="CB14" s="341"/>
      <c r="CC14" s="341"/>
      <c r="CD14" s="341"/>
      <c r="CE14" s="341"/>
      <c r="CF14" s="341"/>
      <c r="CG14" s="341"/>
      <c r="CH14" s="341"/>
      <c r="CI14" s="341"/>
      <c r="CJ14" s="341"/>
      <c r="CK14" s="341"/>
      <c r="CL14" s="341"/>
      <c r="CM14" s="341"/>
    </row>
    <row r="15" spans="1:91" s="559" customFormat="1" ht="15.75" thickBot="1">
      <c r="A15" s="95">
        <v>14</v>
      </c>
      <c r="B15" s="293" t="s">
        <v>37</v>
      </c>
      <c r="C15" s="293" t="s">
        <v>359</v>
      </c>
      <c r="D15" s="293"/>
      <c r="E15" s="293">
        <v>2</v>
      </c>
      <c r="F15" s="293" t="s">
        <v>362</v>
      </c>
      <c r="G15" s="294">
        <v>91</v>
      </c>
      <c r="H15" s="295">
        <v>0</v>
      </c>
      <c r="I15" s="295">
        <v>0</v>
      </c>
      <c r="J15" s="296">
        <v>0</v>
      </c>
      <c r="K15" s="121">
        <f t="shared" si="4"/>
        <v>91</v>
      </c>
      <c r="L15" s="531" t="s">
        <v>399</v>
      </c>
      <c r="M15" s="95"/>
      <c r="N15" s="95">
        <v>32</v>
      </c>
      <c r="O15" s="95"/>
      <c r="P15" s="114"/>
      <c r="Q15" s="95" t="s">
        <v>258</v>
      </c>
      <c r="R15" s="1423">
        <v>285000</v>
      </c>
      <c r="S15" s="100">
        <v>179660</v>
      </c>
      <c r="T15" s="100">
        <v>273000</v>
      </c>
      <c r="U15" s="102">
        <f t="shared" si="0"/>
        <v>3131.868131868132</v>
      </c>
      <c r="V15" s="102">
        <f t="shared" si="1"/>
        <v>1974.2857142857142</v>
      </c>
      <c r="W15" s="115">
        <v>273000</v>
      </c>
      <c r="X15" s="102">
        <f t="shared" si="2"/>
        <v>3000</v>
      </c>
      <c r="Y15" s="102">
        <v>295000</v>
      </c>
      <c r="Z15" s="101"/>
      <c r="AA15" s="554">
        <v>45594</v>
      </c>
      <c r="AB15" s="103">
        <v>45632</v>
      </c>
      <c r="AC15" s="313">
        <f>20%*R15</f>
        <v>57000</v>
      </c>
      <c r="AD15" s="313"/>
      <c r="AE15" s="103"/>
      <c r="AF15" s="313"/>
      <c r="AG15" s="103"/>
      <c r="AH15" s="313">
        <f>80%*R15</f>
        <v>228000</v>
      </c>
      <c r="AI15" s="95" t="s">
        <v>103</v>
      </c>
      <c r="AJ15" s="95"/>
      <c r="AK15" s="95"/>
      <c r="AL15" s="95"/>
      <c r="AM15" s="95"/>
      <c r="AN15" s="95"/>
      <c r="AO15" s="95"/>
      <c r="AP15" s="95"/>
      <c r="AQ15" s="95"/>
      <c r="AR15" s="95"/>
      <c r="AS15" s="104" t="s">
        <v>17764</v>
      </c>
      <c r="AT15" s="104" t="s">
        <v>265</v>
      </c>
      <c r="AU15" s="104"/>
      <c r="AV15" s="104"/>
      <c r="AW15" s="104"/>
      <c r="AX15" s="104" t="s">
        <v>18297</v>
      </c>
      <c r="AY15" s="104">
        <v>967566090</v>
      </c>
      <c r="AZ15" s="104"/>
      <c r="BA15" s="104"/>
      <c r="BB15" s="115">
        <f t="shared" si="3"/>
        <v>182000</v>
      </c>
      <c r="BC15" s="115">
        <v>2000</v>
      </c>
      <c r="BD15" s="115"/>
    </row>
    <row r="16" spans="1:91" s="559" customFormat="1">
      <c r="A16" s="95">
        <v>13</v>
      </c>
      <c r="B16" s="293" t="s">
        <v>38</v>
      </c>
      <c r="C16" s="293" t="s">
        <v>358</v>
      </c>
      <c r="D16" s="293" t="s">
        <v>91</v>
      </c>
      <c r="E16" s="293">
        <v>2</v>
      </c>
      <c r="F16" s="293" t="s">
        <v>361</v>
      </c>
      <c r="G16" s="294">
        <v>107</v>
      </c>
      <c r="H16" s="295">
        <v>12</v>
      </c>
      <c r="I16" s="295">
        <v>0</v>
      </c>
      <c r="J16" s="296">
        <v>0</v>
      </c>
      <c r="K16" s="121">
        <f t="shared" si="4"/>
        <v>110.6</v>
      </c>
      <c r="L16" s="532" t="s">
        <v>431</v>
      </c>
      <c r="M16" s="95"/>
      <c r="N16" s="95" t="s">
        <v>459</v>
      </c>
      <c r="O16" s="95"/>
      <c r="P16" s="232"/>
      <c r="Q16" s="95" t="s">
        <v>258</v>
      </c>
      <c r="R16" s="297">
        <v>329000</v>
      </c>
      <c r="S16" s="115">
        <v>327250</v>
      </c>
      <c r="T16" s="115">
        <f>S16*1.04</f>
        <v>340340</v>
      </c>
      <c r="U16" s="102">
        <f t="shared" si="0"/>
        <v>2974.6835443037976</v>
      </c>
      <c r="V16" s="102">
        <f t="shared" si="1"/>
        <v>2958.8607594936711</v>
      </c>
      <c r="W16" s="102"/>
      <c r="X16" s="102">
        <f t="shared" si="2"/>
        <v>3077.2151898734178</v>
      </c>
      <c r="Y16" s="102"/>
      <c r="Z16" s="101"/>
      <c r="AA16" s="554"/>
      <c r="AB16" s="103">
        <v>45231</v>
      </c>
      <c r="AC16" s="313">
        <v>65800</v>
      </c>
      <c r="AD16" s="313"/>
      <c r="AE16" s="103"/>
      <c r="AF16" s="313"/>
      <c r="AG16" s="103"/>
      <c r="AH16" s="313">
        <v>263200</v>
      </c>
      <c r="AI16" s="95" t="s">
        <v>274</v>
      </c>
      <c r="AJ16" s="95"/>
      <c r="AK16" s="95"/>
      <c r="AL16" s="95"/>
      <c r="AM16" s="95"/>
      <c r="AN16" s="95"/>
      <c r="AO16" s="95"/>
      <c r="AP16" s="95"/>
      <c r="AQ16" s="95"/>
      <c r="AR16" s="95"/>
      <c r="AS16" s="104" t="s">
        <v>17188</v>
      </c>
      <c r="AT16" s="104" t="s">
        <v>517</v>
      </c>
      <c r="AU16" s="104"/>
      <c r="AV16" s="104"/>
      <c r="AW16" s="104"/>
      <c r="AX16" s="104" t="s">
        <v>18298</v>
      </c>
      <c r="AY16" s="104">
        <v>-3306932</v>
      </c>
      <c r="AZ16" s="104"/>
      <c r="BA16" s="104"/>
      <c r="BB16" s="115">
        <f t="shared" si="3"/>
        <v>353920</v>
      </c>
      <c r="BC16" s="115">
        <v>3200</v>
      </c>
      <c r="BD16" s="115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</row>
    <row r="17" spans="1:91" s="559" customFormat="1">
      <c r="A17" s="95">
        <v>16</v>
      </c>
      <c r="B17" s="293" t="s">
        <v>39</v>
      </c>
      <c r="C17" s="293" t="s">
        <v>358</v>
      </c>
      <c r="D17" s="293" t="s">
        <v>91</v>
      </c>
      <c r="E17" s="293">
        <v>2</v>
      </c>
      <c r="F17" s="293" t="s">
        <v>361</v>
      </c>
      <c r="G17" s="294">
        <v>107</v>
      </c>
      <c r="H17" s="295">
        <v>23</v>
      </c>
      <c r="I17" s="295">
        <v>0</v>
      </c>
      <c r="J17" s="296">
        <v>0</v>
      </c>
      <c r="K17" s="121">
        <f t="shared" si="4"/>
        <v>113.9</v>
      </c>
      <c r="L17" s="98" t="s">
        <v>432</v>
      </c>
      <c r="M17" s="95"/>
      <c r="N17" s="95" t="s">
        <v>460</v>
      </c>
      <c r="O17" s="95"/>
      <c r="P17" s="105"/>
      <c r="Q17" s="95" t="s">
        <v>258</v>
      </c>
      <c r="R17" s="115">
        <v>329472</v>
      </c>
      <c r="S17" s="115">
        <v>330000</v>
      </c>
      <c r="T17" s="115">
        <f>S17*1.04</f>
        <v>343200</v>
      </c>
      <c r="U17" s="102">
        <f t="shared" si="0"/>
        <v>2892.6426690079015</v>
      </c>
      <c r="V17" s="102">
        <f t="shared" si="1"/>
        <v>2897.2783143107986</v>
      </c>
      <c r="W17" s="102"/>
      <c r="X17" s="102">
        <f t="shared" si="2"/>
        <v>3013.1694468832306</v>
      </c>
      <c r="Y17" s="102"/>
      <c r="Z17" s="101"/>
      <c r="AA17" s="554"/>
      <c r="AB17" s="103">
        <v>45141</v>
      </c>
      <c r="AC17" s="313">
        <v>65894.399999999994</v>
      </c>
      <c r="AD17" s="313">
        <v>31947.200000000001</v>
      </c>
      <c r="AE17" s="103">
        <v>45507</v>
      </c>
      <c r="AF17" s="313"/>
      <c r="AG17" s="103"/>
      <c r="AH17" s="313">
        <v>231630.4</v>
      </c>
      <c r="AI17" s="95" t="s">
        <v>103</v>
      </c>
      <c r="AJ17" s="95"/>
      <c r="AK17" s="95"/>
      <c r="AL17" s="95"/>
      <c r="AM17" s="95"/>
      <c r="AN17" s="95"/>
      <c r="AO17" s="95"/>
      <c r="AP17" s="95"/>
      <c r="AQ17" s="95"/>
      <c r="AR17" s="95"/>
      <c r="AS17" s="104" t="s">
        <v>767</v>
      </c>
      <c r="AT17" s="104" t="s">
        <v>265</v>
      </c>
      <c r="AU17" s="104"/>
      <c r="AV17" s="104"/>
      <c r="AW17" s="104"/>
      <c r="AX17" s="104" t="s">
        <v>18299</v>
      </c>
      <c r="AY17" s="104">
        <v>911031611</v>
      </c>
      <c r="AZ17" s="104"/>
      <c r="BA17" s="104"/>
      <c r="BB17" s="115">
        <f t="shared" si="3"/>
        <v>364480</v>
      </c>
      <c r="BC17" s="115">
        <v>3200</v>
      </c>
      <c r="BD17" s="115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</row>
    <row r="18" spans="1:91" s="561" customFormat="1" ht="15.75" thickBot="1">
      <c r="A18" s="541">
        <v>17</v>
      </c>
      <c r="B18" s="1153" t="s">
        <v>40</v>
      </c>
      <c r="C18" s="1153" t="s">
        <v>358</v>
      </c>
      <c r="D18" s="1153" t="s">
        <v>91</v>
      </c>
      <c r="E18" s="1153">
        <v>2</v>
      </c>
      <c r="F18" s="1153" t="s">
        <v>361</v>
      </c>
      <c r="G18" s="1154">
        <v>107</v>
      </c>
      <c r="H18" s="1155">
        <v>20</v>
      </c>
      <c r="I18" s="1155">
        <v>0</v>
      </c>
      <c r="J18" s="1009">
        <v>0</v>
      </c>
      <c r="K18" s="1156">
        <f t="shared" si="4"/>
        <v>113</v>
      </c>
      <c r="L18" s="1157" t="s">
        <v>433</v>
      </c>
      <c r="M18" s="541"/>
      <c r="N18" s="541" t="s">
        <v>461</v>
      </c>
      <c r="O18" s="541"/>
      <c r="P18" s="1158"/>
      <c r="Q18" s="541" t="s">
        <v>258</v>
      </c>
      <c r="R18" s="1159">
        <f>S18</f>
        <v>329472</v>
      </c>
      <c r="S18" s="1160">
        <f>T18*0.96</f>
        <v>329472</v>
      </c>
      <c r="T18" s="769">
        <v>343200</v>
      </c>
      <c r="U18" s="764">
        <f t="shared" si="0"/>
        <v>2915.6814159292035</v>
      </c>
      <c r="V18" s="764">
        <f t="shared" si="1"/>
        <v>2915.6814159292035</v>
      </c>
      <c r="W18" s="764"/>
      <c r="X18" s="764">
        <f t="shared" si="2"/>
        <v>3037.1681415929202</v>
      </c>
      <c r="Y18" s="764"/>
      <c r="Z18" s="763">
        <f t="shared" si="5"/>
        <v>-4.0000000000000036E-2</v>
      </c>
      <c r="AA18" s="765"/>
      <c r="AB18" s="1161">
        <v>45064</v>
      </c>
      <c r="AC18" s="1162">
        <v>32847.199999999997</v>
      </c>
      <c r="AD18" s="1162">
        <v>32847.199999999997</v>
      </c>
      <c r="AE18" s="1161">
        <v>45248</v>
      </c>
      <c r="AF18" s="1162"/>
      <c r="AG18" s="1161"/>
      <c r="AH18" s="1162">
        <v>263777.59999999998</v>
      </c>
      <c r="AI18" s="541" t="s">
        <v>247</v>
      </c>
      <c r="AJ18" s="541" t="s">
        <v>253</v>
      </c>
      <c r="AK18" s="1163">
        <v>0.04</v>
      </c>
      <c r="AL18" s="1163"/>
      <c r="AM18" s="1163" t="s">
        <v>744</v>
      </c>
      <c r="AN18" s="1163" t="s">
        <v>249</v>
      </c>
      <c r="AO18" s="1163"/>
      <c r="AP18" s="1163" t="s">
        <v>742</v>
      </c>
      <c r="AQ18" s="1163" t="s">
        <v>249</v>
      </c>
      <c r="AR18" s="1163"/>
      <c r="AS18" s="541" t="s">
        <v>567</v>
      </c>
      <c r="AT18" s="768" t="s">
        <v>265</v>
      </c>
      <c r="AU18" s="768"/>
      <c r="AV18" s="768"/>
      <c r="AW18" s="768"/>
      <c r="AX18" s="768" t="s">
        <v>18300</v>
      </c>
      <c r="AY18" s="768">
        <v>919566579</v>
      </c>
      <c r="AZ18" s="541"/>
      <c r="BA18" s="541"/>
      <c r="BB18" s="769">
        <f t="shared" si="3"/>
        <v>361600</v>
      </c>
      <c r="BC18" s="769">
        <v>3200</v>
      </c>
      <c r="BD18" s="115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</row>
    <row r="19" spans="1:91" s="1561" customFormat="1" ht="15.75" thickBot="1">
      <c r="A19" s="1545">
        <v>18</v>
      </c>
      <c r="B19" s="1546" t="s">
        <v>41</v>
      </c>
      <c r="C19" s="1546" t="s">
        <v>358</v>
      </c>
      <c r="D19" s="1546" t="s">
        <v>89</v>
      </c>
      <c r="E19" s="1546">
        <v>2</v>
      </c>
      <c r="F19" s="1546" t="s">
        <v>361</v>
      </c>
      <c r="G19" s="1547">
        <v>137</v>
      </c>
      <c r="H19" s="1548">
        <v>32</v>
      </c>
      <c r="I19" s="1548">
        <v>0</v>
      </c>
      <c r="J19" s="1549">
        <v>0</v>
      </c>
      <c r="K19" s="1550">
        <f t="shared" si="4"/>
        <v>146.6</v>
      </c>
      <c r="L19" s="1551" t="s">
        <v>379</v>
      </c>
      <c r="M19" s="1552"/>
      <c r="N19" s="1552" t="s">
        <v>462</v>
      </c>
      <c r="O19" s="2078" t="s">
        <v>17503</v>
      </c>
      <c r="P19" s="2079"/>
      <c r="Q19" s="1552" t="s">
        <v>258</v>
      </c>
      <c r="R19" s="1553">
        <v>490000</v>
      </c>
      <c r="S19" s="1554">
        <v>455000</v>
      </c>
      <c r="T19" s="1555">
        <f>S19*1.04</f>
        <v>473200</v>
      </c>
      <c r="U19" s="1556">
        <f t="shared" si="0"/>
        <v>3342.4283765347886</v>
      </c>
      <c r="V19" s="1556">
        <f>W19/K19</f>
        <v>3405.1841746248297</v>
      </c>
      <c r="W19" s="1555">
        <f>Y19*0.96</f>
        <v>499200</v>
      </c>
      <c r="X19" s="1556">
        <f>Y19/K19</f>
        <v>3547.066848567531</v>
      </c>
      <c r="Y19" s="1556">
        <v>520000</v>
      </c>
      <c r="Z19" s="102">
        <v>490000</v>
      </c>
      <c r="AA19" s="1557">
        <v>45694</v>
      </c>
      <c r="AB19" s="1558">
        <v>45737</v>
      </c>
      <c r="AC19" s="1508">
        <f>5000+44000</f>
        <v>49000</v>
      </c>
      <c r="AD19" s="1508"/>
      <c r="AE19" s="1558"/>
      <c r="AF19" s="1508"/>
      <c r="AG19" s="1558"/>
      <c r="AH19" s="1508">
        <v>441000</v>
      </c>
      <c r="AI19" s="1552" t="s">
        <v>247</v>
      </c>
      <c r="AJ19" s="1552"/>
      <c r="AK19" s="1552"/>
      <c r="AL19" s="1552"/>
      <c r="AM19" s="1552"/>
      <c r="AN19" s="1552"/>
      <c r="AO19" s="1552"/>
      <c r="AP19" s="1552"/>
      <c r="AQ19" s="1559"/>
      <c r="AR19" s="1559"/>
      <c r="AS19" s="1560" t="s">
        <v>17861</v>
      </c>
      <c r="AT19" s="1560" t="s">
        <v>565</v>
      </c>
      <c r="AU19" s="1560"/>
      <c r="AV19" s="1560"/>
      <c r="AW19" s="1560"/>
      <c r="AX19" s="1560" t="s">
        <v>18301</v>
      </c>
      <c r="AY19" s="1560">
        <v>910765809</v>
      </c>
      <c r="AZ19" s="1560"/>
      <c r="BA19" s="1560"/>
      <c r="BB19" s="1555">
        <f t="shared" si="3"/>
        <v>469120</v>
      </c>
      <c r="BC19" s="1555">
        <v>3200</v>
      </c>
      <c r="BD19" s="115"/>
    </row>
    <row r="20" spans="1:91" s="559" customFormat="1" ht="15.75" thickBot="1">
      <c r="A20" s="770">
        <v>19</v>
      </c>
      <c r="B20" s="1417" t="s">
        <v>42</v>
      </c>
      <c r="C20" s="1417" t="s">
        <v>359</v>
      </c>
      <c r="D20" s="1417"/>
      <c r="E20" s="1417">
        <v>2</v>
      </c>
      <c r="F20" s="1417" t="s">
        <v>362</v>
      </c>
      <c r="G20" s="1418">
        <v>91</v>
      </c>
      <c r="H20" s="1419">
        <v>0</v>
      </c>
      <c r="I20" s="1419">
        <v>0</v>
      </c>
      <c r="J20" s="1420">
        <v>0</v>
      </c>
      <c r="K20" s="1421">
        <f t="shared" si="4"/>
        <v>91</v>
      </c>
      <c r="L20" s="1422" t="s">
        <v>400</v>
      </c>
      <c r="M20" s="770"/>
      <c r="N20" s="770">
        <v>33</v>
      </c>
      <c r="O20" s="770"/>
      <c r="P20" s="232"/>
      <c r="Q20" s="770" t="s">
        <v>258</v>
      </c>
      <c r="R20" s="1423">
        <v>283200</v>
      </c>
      <c r="S20" s="1423">
        <v>179600</v>
      </c>
      <c r="T20" s="1423">
        <v>273000</v>
      </c>
      <c r="U20" s="783">
        <f t="shared" si="0"/>
        <v>3112.0879120879122</v>
      </c>
      <c r="V20" s="783">
        <f t="shared" si="1"/>
        <v>1973.6263736263736</v>
      </c>
      <c r="W20" s="788">
        <v>273000</v>
      </c>
      <c r="X20" s="783">
        <f t="shared" si="2"/>
        <v>3000</v>
      </c>
      <c r="Y20" s="783">
        <v>295000</v>
      </c>
      <c r="Z20" s="782"/>
      <c r="AA20" s="784"/>
      <c r="AB20" s="1424">
        <v>45623</v>
      </c>
      <c r="AC20" s="1425">
        <f>20%*R20</f>
        <v>56640</v>
      </c>
      <c r="AD20" s="1425"/>
      <c r="AE20" s="1424"/>
      <c r="AF20" s="1425"/>
      <c r="AG20" s="1424"/>
      <c r="AH20" s="1425">
        <f>80%*R20</f>
        <v>226560</v>
      </c>
      <c r="AI20" s="770" t="s">
        <v>247</v>
      </c>
      <c r="AJ20" s="770"/>
      <c r="AK20" s="770"/>
      <c r="AL20" s="770"/>
      <c r="AM20" s="770"/>
      <c r="AN20" s="770"/>
      <c r="AO20" s="770"/>
      <c r="AP20" s="770"/>
      <c r="AQ20" s="1426"/>
      <c r="AR20" s="1426"/>
      <c r="AS20" s="787" t="s">
        <v>17723</v>
      </c>
      <c r="AT20" s="787" t="s">
        <v>265</v>
      </c>
      <c r="AU20" s="787"/>
      <c r="AV20" s="787"/>
      <c r="AW20" s="787"/>
      <c r="AX20" s="787" t="s">
        <v>18302</v>
      </c>
      <c r="AY20" s="787">
        <v>929117502</v>
      </c>
      <c r="AZ20" s="787"/>
      <c r="BA20" s="787"/>
      <c r="BB20" s="788">
        <f t="shared" si="3"/>
        <v>182000</v>
      </c>
      <c r="BC20" s="788">
        <v>2000</v>
      </c>
      <c r="BD20" s="115"/>
    </row>
    <row r="21" spans="1:91" s="559" customFormat="1" ht="15.75" thickBot="1">
      <c r="A21" s="95">
        <v>20</v>
      </c>
      <c r="B21" s="293" t="s">
        <v>43</v>
      </c>
      <c r="C21" s="293" t="s">
        <v>358</v>
      </c>
      <c r="D21" s="293" t="s">
        <v>89</v>
      </c>
      <c r="E21" s="293">
        <v>3</v>
      </c>
      <c r="F21" s="293" t="s">
        <v>362</v>
      </c>
      <c r="G21" s="294">
        <v>116</v>
      </c>
      <c r="H21" s="295">
        <v>0</v>
      </c>
      <c r="I21" s="295">
        <v>6</v>
      </c>
      <c r="J21" s="296">
        <v>0</v>
      </c>
      <c r="K21" s="121">
        <f t="shared" si="4"/>
        <v>117.2</v>
      </c>
      <c r="L21" s="98" t="s">
        <v>380</v>
      </c>
      <c r="M21" s="95"/>
      <c r="N21" s="95" t="s">
        <v>463</v>
      </c>
      <c r="O21" s="95"/>
      <c r="P21" s="105"/>
      <c r="Q21" s="95" t="s">
        <v>258</v>
      </c>
      <c r="R21" s="1393">
        <v>360000</v>
      </c>
      <c r="S21" s="454">
        <v>390000</v>
      </c>
      <c r="T21" s="115">
        <f>S21*1.04</f>
        <v>405600</v>
      </c>
      <c r="U21" s="102">
        <f t="shared" si="0"/>
        <v>3071.6723549488056</v>
      </c>
      <c r="V21" s="102">
        <f>W21/K21</f>
        <v>3194.5392491467578</v>
      </c>
      <c r="W21" s="115">
        <f>Y21*0.96</f>
        <v>374400</v>
      </c>
      <c r="X21" s="102">
        <f>Y21/K21</f>
        <v>3327.6450511945391</v>
      </c>
      <c r="Y21" s="102">
        <v>390000</v>
      </c>
      <c r="Z21" s="102">
        <v>360000</v>
      </c>
      <c r="AA21" s="554"/>
      <c r="AB21" s="103">
        <v>45687</v>
      </c>
      <c r="AC21" s="313">
        <f>5000+31000</f>
        <v>36000</v>
      </c>
      <c r="AD21" s="1508"/>
      <c r="AE21" s="103"/>
      <c r="AF21" s="313"/>
      <c r="AG21" s="103"/>
      <c r="AH21" s="313">
        <v>324000</v>
      </c>
      <c r="AI21" s="95" t="s">
        <v>247</v>
      </c>
      <c r="AJ21" s="95"/>
      <c r="AK21" s="95"/>
      <c r="AL21" s="95"/>
      <c r="AM21" s="95"/>
      <c r="AN21" s="95"/>
      <c r="AO21" s="95"/>
      <c r="AP21" s="95"/>
      <c r="AQ21" s="306"/>
      <c r="AR21" s="306"/>
      <c r="AS21" s="104" t="s">
        <v>17843</v>
      </c>
      <c r="AT21" s="104" t="s">
        <v>265</v>
      </c>
      <c r="AU21" s="104"/>
      <c r="AV21" s="104"/>
      <c r="AW21" s="104"/>
      <c r="AX21" s="104" t="s">
        <v>18303</v>
      </c>
      <c r="AY21" s="104">
        <v>937730229</v>
      </c>
      <c r="AZ21" s="104"/>
      <c r="BA21" s="104"/>
      <c r="BB21" s="115">
        <f t="shared" si="3"/>
        <v>375040</v>
      </c>
      <c r="BC21" s="115">
        <v>3200</v>
      </c>
      <c r="BD21" s="115"/>
    </row>
    <row r="22" spans="1:91" s="559" customFormat="1">
      <c r="A22" s="95">
        <v>21</v>
      </c>
      <c r="B22" s="293" t="s">
        <v>44</v>
      </c>
      <c r="C22" s="293" t="s">
        <v>358</v>
      </c>
      <c r="D22" s="293" t="s">
        <v>91</v>
      </c>
      <c r="E22" s="293">
        <v>3</v>
      </c>
      <c r="F22" s="293" t="s">
        <v>361</v>
      </c>
      <c r="G22" s="294">
        <v>107</v>
      </c>
      <c r="H22" s="295">
        <v>19</v>
      </c>
      <c r="I22" s="295">
        <v>0</v>
      </c>
      <c r="J22" s="296">
        <v>0</v>
      </c>
      <c r="K22" s="121">
        <f t="shared" si="4"/>
        <v>112.7</v>
      </c>
      <c r="L22" s="98" t="s">
        <v>434</v>
      </c>
      <c r="M22" s="95"/>
      <c r="N22" s="95" t="s">
        <v>464</v>
      </c>
      <c r="O22" s="95"/>
      <c r="P22" s="99"/>
      <c r="Q22" s="95" t="s">
        <v>258</v>
      </c>
      <c r="R22" s="298">
        <v>342000</v>
      </c>
      <c r="S22" s="115">
        <v>340000</v>
      </c>
      <c r="T22" s="115">
        <f>S22*1.04</f>
        <v>353600</v>
      </c>
      <c r="U22" s="102">
        <f t="shared" si="0"/>
        <v>3034.6051464063885</v>
      </c>
      <c r="V22" s="102">
        <f t="shared" si="1"/>
        <v>3016.8589174800354</v>
      </c>
      <c r="W22" s="102"/>
      <c r="X22" s="102">
        <f t="shared" si="2"/>
        <v>3137.5332741792367</v>
      </c>
      <c r="Y22" s="102"/>
      <c r="Z22" s="101"/>
      <c r="AA22" s="554"/>
      <c r="AB22" s="103">
        <v>45174</v>
      </c>
      <c r="AC22" s="313">
        <v>102600</v>
      </c>
      <c r="AD22" s="313">
        <v>34200</v>
      </c>
      <c r="AE22" s="103">
        <f>365+AB22</f>
        <v>45539</v>
      </c>
      <c r="AF22" s="313"/>
      <c r="AG22" s="103"/>
      <c r="AH22" s="313">
        <v>205200</v>
      </c>
      <c r="AI22" s="95" t="s">
        <v>103</v>
      </c>
      <c r="AJ22" s="95"/>
      <c r="AK22" s="95"/>
      <c r="AL22" s="95"/>
      <c r="AM22" s="95"/>
      <c r="AN22" s="95"/>
      <c r="AO22" s="95"/>
      <c r="AP22" s="95"/>
      <c r="AQ22" s="306"/>
      <c r="AR22" s="306"/>
      <c r="AS22" s="104" t="s">
        <v>18378</v>
      </c>
      <c r="AT22" s="104" t="s">
        <v>265</v>
      </c>
      <c r="AU22" s="104"/>
      <c r="AV22" s="104"/>
      <c r="AW22" s="104"/>
      <c r="AX22" s="104"/>
      <c r="AY22" s="104"/>
      <c r="AZ22" s="104"/>
      <c r="BA22" s="104"/>
      <c r="BB22" s="115">
        <f t="shared" si="3"/>
        <v>360640</v>
      </c>
      <c r="BC22" s="115">
        <v>3200</v>
      </c>
      <c r="BD22" s="115">
        <v>392500</v>
      </c>
      <c r="BE22" s="341"/>
      <c r="BF22" s="341"/>
      <c r="BG22" s="341"/>
      <c r="BH22" s="341"/>
      <c r="BI22" s="341"/>
      <c r="BJ22" s="341"/>
      <c r="BK22" s="341"/>
      <c r="BL22" s="341"/>
      <c r="BM22" s="341"/>
      <c r="BN22" s="341"/>
      <c r="BO22" s="341"/>
      <c r="BP22" s="341"/>
      <c r="BQ22" s="341"/>
      <c r="BR22" s="341"/>
      <c r="BS22" s="341"/>
      <c r="BT22" s="341"/>
      <c r="BU22" s="341"/>
      <c r="BV22" s="341"/>
      <c r="BW22" s="341"/>
      <c r="BX22" s="341"/>
      <c r="BY22" s="341"/>
      <c r="BZ22" s="341"/>
      <c r="CA22" s="341"/>
      <c r="CB22" s="341"/>
      <c r="CC22" s="341"/>
      <c r="CD22" s="341"/>
      <c r="CE22" s="341"/>
      <c r="CF22" s="341"/>
      <c r="CG22" s="341"/>
      <c r="CH22" s="341"/>
      <c r="CI22" s="341"/>
      <c r="CJ22" s="341"/>
      <c r="CK22" s="341"/>
      <c r="CL22" s="341"/>
      <c r="CM22" s="341"/>
    </row>
    <row r="23" spans="1:91" s="559" customFormat="1">
      <c r="A23" s="95">
        <v>22</v>
      </c>
      <c r="B23" s="293" t="s">
        <v>45</v>
      </c>
      <c r="C23" s="293" t="s">
        <v>358</v>
      </c>
      <c r="D23" s="293" t="s">
        <v>90</v>
      </c>
      <c r="E23" s="293">
        <v>3</v>
      </c>
      <c r="F23" s="293" t="s">
        <v>361</v>
      </c>
      <c r="G23" s="294">
        <v>57</v>
      </c>
      <c r="H23" s="295">
        <v>7</v>
      </c>
      <c r="I23" s="295">
        <v>0</v>
      </c>
      <c r="J23" s="296">
        <v>0</v>
      </c>
      <c r="K23" s="121">
        <f t="shared" si="4"/>
        <v>59.1</v>
      </c>
      <c r="L23" s="98"/>
      <c r="M23" s="95"/>
      <c r="N23" s="95" t="s">
        <v>455</v>
      </c>
      <c r="O23" s="95"/>
      <c r="P23" s="105"/>
      <c r="Q23" s="95" t="s">
        <v>258</v>
      </c>
      <c r="R23" s="322">
        <v>211665</v>
      </c>
      <c r="S23" s="322">
        <v>212000</v>
      </c>
      <c r="T23" s="115">
        <f>S23*1.04</f>
        <v>220480</v>
      </c>
      <c r="U23" s="102">
        <f t="shared" si="0"/>
        <v>3581.4720812182741</v>
      </c>
      <c r="V23" s="102">
        <f t="shared" si="1"/>
        <v>3587.1404399323178</v>
      </c>
      <c r="W23" s="102"/>
      <c r="X23" s="102">
        <f t="shared" si="2"/>
        <v>3730.6260575296105</v>
      </c>
      <c r="Y23" s="102"/>
      <c r="Z23" s="101"/>
      <c r="AA23" s="554"/>
      <c r="AB23" s="103">
        <v>45166</v>
      </c>
      <c r="AC23" s="313">
        <v>21166.5</v>
      </c>
      <c r="AD23" s="313">
        <v>21166.5</v>
      </c>
      <c r="AE23" s="103"/>
      <c r="AF23" s="313"/>
      <c r="AG23" s="103"/>
      <c r="AH23" s="313">
        <v>169332</v>
      </c>
      <c r="AI23" s="95" t="s">
        <v>247</v>
      </c>
      <c r="AJ23" s="95"/>
      <c r="AK23" s="95"/>
      <c r="AL23" s="95"/>
      <c r="AM23" s="95"/>
      <c r="AN23" s="95"/>
      <c r="AO23" s="95"/>
      <c r="AP23" s="95"/>
      <c r="AQ23" s="95"/>
      <c r="AR23" s="95"/>
      <c r="AS23" s="104" t="s">
        <v>17359</v>
      </c>
      <c r="AT23" s="104" t="s">
        <v>565</v>
      </c>
      <c r="AU23" s="104"/>
      <c r="AV23" s="104"/>
      <c r="AW23" s="104"/>
      <c r="AX23" s="104"/>
      <c r="AY23" s="104"/>
      <c r="AZ23" s="104"/>
      <c r="BA23" s="104"/>
      <c r="BB23" s="115">
        <f t="shared" si="3"/>
        <v>189120</v>
      </c>
      <c r="BC23" s="115">
        <v>3200</v>
      </c>
      <c r="BD23" s="115"/>
      <c r="BE23" s="341"/>
      <c r="BF23" s="341"/>
      <c r="BG23" s="341"/>
      <c r="BH23" s="341"/>
      <c r="BI23" s="341"/>
      <c r="BJ23" s="341"/>
      <c r="BK23" s="341"/>
      <c r="BL23" s="341"/>
      <c r="BM23" s="341"/>
      <c r="BN23" s="341"/>
      <c r="BO23" s="341"/>
      <c r="BP23" s="341"/>
      <c r="BQ23" s="341"/>
      <c r="BR23" s="341"/>
      <c r="BS23" s="341"/>
      <c r="BT23" s="341"/>
      <c r="BU23" s="341"/>
      <c r="BV23" s="341"/>
      <c r="BW23" s="341"/>
      <c r="BX23" s="341"/>
      <c r="BY23" s="341"/>
      <c r="BZ23" s="341"/>
      <c r="CA23" s="341"/>
      <c r="CB23" s="341"/>
      <c r="CC23" s="341"/>
      <c r="CD23" s="341"/>
      <c r="CE23" s="341"/>
      <c r="CF23" s="341"/>
      <c r="CG23" s="341"/>
      <c r="CH23" s="341"/>
      <c r="CI23" s="341"/>
      <c r="CJ23" s="341"/>
      <c r="CK23" s="341"/>
      <c r="CL23" s="341"/>
      <c r="CM23" s="341"/>
    </row>
    <row r="24" spans="1:91" s="559" customFormat="1">
      <c r="A24" s="95">
        <v>23</v>
      </c>
      <c r="B24" s="384" t="s">
        <v>46</v>
      </c>
      <c r="C24" s="384" t="s">
        <v>358</v>
      </c>
      <c r="D24" s="384" t="s">
        <v>365</v>
      </c>
      <c r="E24" s="384">
        <v>3</v>
      </c>
      <c r="F24" s="384" t="s">
        <v>363</v>
      </c>
      <c r="G24" s="385">
        <v>107</v>
      </c>
      <c r="H24" s="386">
        <v>11</v>
      </c>
      <c r="I24" s="386">
        <v>0</v>
      </c>
      <c r="J24" s="296">
        <v>0</v>
      </c>
      <c r="K24" s="121">
        <f t="shared" si="4"/>
        <v>110.3</v>
      </c>
      <c r="L24" s="98" t="s">
        <v>421</v>
      </c>
      <c r="M24" s="95"/>
      <c r="N24" s="95" t="s">
        <v>465</v>
      </c>
      <c r="O24" s="95"/>
      <c r="P24" s="387"/>
      <c r="Q24" s="95" t="s">
        <v>258</v>
      </c>
      <c r="R24" s="298">
        <v>359712</v>
      </c>
      <c r="S24" s="389">
        <v>360000</v>
      </c>
      <c r="T24" s="115">
        <f>S24*1.04</f>
        <v>374400</v>
      </c>
      <c r="U24" s="102">
        <f t="shared" si="0"/>
        <v>3261.2148685403445</v>
      </c>
      <c r="V24" s="102">
        <f t="shared" si="1"/>
        <v>3263.8259292837715</v>
      </c>
      <c r="W24" s="102"/>
      <c r="X24" s="102">
        <f t="shared" si="2"/>
        <v>3394.3789664551223</v>
      </c>
      <c r="Y24" s="102"/>
      <c r="Z24" s="101">
        <f>-(100%-(R24/T24))</f>
        <v>-3.923076923076918E-2</v>
      </c>
      <c r="AA24" s="554"/>
      <c r="AB24" s="103">
        <v>45093</v>
      </c>
      <c r="AC24" s="313">
        <f>15%*R24</f>
        <v>53956.799999999996</v>
      </c>
      <c r="AD24" s="313">
        <f>15%*R24</f>
        <v>53956.799999999996</v>
      </c>
      <c r="AE24" s="103">
        <v>45445</v>
      </c>
      <c r="AF24" s="313"/>
      <c r="AG24" s="103"/>
      <c r="AH24" s="313">
        <f>70%*R24</f>
        <v>251798.39999999999</v>
      </c>
      <c r="AI24" s="95" t="s">
        <v>103</v>
      </c>
      <c r="AJ24" s="95"/>
      <c r="AK24" s="306">
        <v>0.04</v>
      </c>
      <c r="AL24" s="306"/>
      <c r="AM24" s="306" t="s">
        <v>744</v>
      </c>
      <c r="AN24" s="306" t="s">
        <v>249</v>
      </c>
      <c r="AO24" s="306"/>
      <c r="AP24" s="306" t="s">
        <v>741</v>
      </c>
      <c r="AQ24" s="306" t="s">
        <v>249</v>
      </c>
      <c r="AR24" s="306"/>
      <c r="AS24" s="104" t="s">
        <v>582</v>
      </c>
      <c r="AT24" s="104" t="s">
        <v>265</v>
      </c>
      <c r="AU24" s="104"/>
      <c r="AV24" s="104"/>
      <c r="AW24" s="104"/>
      <c r="AX24" s="104" t="s">
        <v>18304</v>
      </c>
      <c r="AY24" s="104">
        <v>912108289</v>
      </c>
      <c r="AZ24" s="104"/>
      <c r="BA24" s="104"/>
      <c r="BB24" s="115">
        <f t="shared" si="3"/>
        <v>352960</v>
      </c>
      <c r="BC24" s="115">
        <v>3200</v>
      </c>
      <c r="BD24" s="115"/>
      <c r="BE24" s="341"/>
      <c r="BF24" s="341"/>
      <c r="BG24" s="341"/>
      <c r="BH24" s="341"/>
      <c r="BI24" s="341"/>
      <c r="BJ24" s="341"/>
      <c r="BK24" s="341"/>
      <c r="BL24" s="341"/>
      <c r="BM24" s="341"/>
      <c r="BN24" s="341"/>
      <c r="BO24" s="341"/>
      <c r="BP24" s="341"/>
      <c r="BQ24" s="341"/>
      <c r="BR24" s="341"/>
      <c r="BS24" s="341"/>
      <c r="BT24" s="341"/>
      <c r="BU24" s="341"/>
      <c r="BV24" s="341"/>
      <c r="BW24" s="341"/>
      <c r="BX24" s="341"/>
      <c r="BY24" s="341"/>
      <c r="BZ24" s="341"/>
      <c r="CA24" s="341"/>
      <c r="CB24" s="341"/>
      <c r="CC24" s="341"/>
      <c r="CD24" s="341"/>
      <c r="CE24" s="341"/>
      <c r="CF24" s="341"/>
      <c r="CG24" s="341"/>
      <c r="CH24" s="341"/>
      <c r="CI24" s="341"/>
      <c r="CJ24" s="341"/>
      <c r="CK24" s="341"/>
      <c r="CL24" s="341"/>
      <c r="CM24" s="341"/>
    </row>
    <row r="25" spans="1:91" s="559" customFormat="1">
      <c r="A25" s="95">
        <v>24</v>
      </c>
      <c r="B25" s="384" t="s">
        <v>47</v>
      </c>
      <c r="C25" s="384" t="s">
        <v>358</v>
      </c>
      <c r="D25" s="384" t="s">
        <v>365</v>
      </c>
      <c r="E25" s="384">
        <v>3</v>
      </c>
      <c r="F25" s="384" t="s">
        <v>363</v>
      </c>
      <c r="G25" s="385">
        <v>107</v>
      </c>
      <c r="H25" s="386">
        <v>10</v>
      </c>
      <c r="I25" s="386">
        <v>0</v>
      </c>
      <c r="J25" s="296">
        <v>0</v>
      </c>
      <c r="K25" s="121">
        <f t="shared" si="4"/>
        <v>110</v>
      </c>
      <c r="L25" s="98" t="s">
        <v>420</v>
      </c>
      <c r="M25" s="95"/>
      <c r="N25" s="95" t="s">
        <v>466</v>
      </c>
      <c r="O25" s="95"/>
      <c r="P25" s="388"/>
      <c r="Q25" s="95" t="s">
        <v>258</v>
      </c>
      <c r="R25" s="298">
        <v>359712</v>
      </c>
      <c r="S25" s="389">
        <v>360000</v>
      </c>
      <c r="T25" s="115">
        <f>S25*1.04</f>
        <v>374400</v>
      </c>
      <c r="U25" s="102">
        <f t="shared" si="0"/>
        <v>3270.1090909090908</v>
      </c>
      <c r="V25" s="102">
        <f t="shared" si="1"/>
        <v>3272.7272727272725</v>
      </c>
      <c r="W25" s="102"/>
      <c r="X25" s="102">
        <f t="shared" si="2"/>
        <v>3403.6363636363635</v>
      </c>
      <c r="Y25" s="102"/>
      <c r="Z25" s="101">
        <f>-(100%-(R25/T25))</f>
        <v>-3.923076923076918E-2</v>
      </c>
      <c r="AA25" s="554"/>
      <c r="AB25" s="103">
        <v>45093</v>
      </c>
      <c r="AC25" s="313">
        <f>15%*R25</f>
        <v>53956.799999999996</v>
      </c>
      <c r="AD25" s="313">
        <f>15%*R25</f>
        <v>53956.799999999996</v>
      </c>
      <c r="AE25" s="103">
        <v>45445</v>
      </c>
      <c r="AF25" s="313"/>
      <c r="AG25" s="103"/>
      <c r="AH25" s="313">
        <f>70%*R25</f>
        <v>251798.39999999999</v>
      </c>
      <c r="AI25" s="95" t="s">
        <v>103</v>
      </c>
      <c r="AJ25" s="95"/>
      <c r="AK25" s="306">
        <v>0.04</v>
      </c>
      <c r="AL25" s="306"/>
      <c r="AM25" s="306" t="s">
        <v>744</v>
      </c>
      <c r="AN25" s="306" t="s">
        <v>249</v>
      </c>
      <c r="AO25" s="306"/>
      <c r="AP25" s="306" t="s">
        <v>741</v>
      </c>
      <c r="AQ25" s="306" t="s">
        <v>249</v>
      </c>
      <c r="AR25" s="306"/>
      <c r="AS25" s="132" t="s">
        <v>582</v>
      </c>
      <c r="AT25" s="104" t="s">
        <v>265</v>
      </c>
      <c r="AU25" s="104"/>
      <c r="AV25" s="104"/>
      <c r="AW25" s="104"/>
      <c r="AX25" s="104" t="s">
        <v>18304</v>
      </c>
      <c r="AY25" s="104">
        <v>912108289</v>
      </c>
      <c r="AZ25" s="132"/>
      <c r="BA25" s="132"/>
      <c r="BB25" s="115">
        <f t="shared" si="3"/>
        <v>352000</v>
      </c>
      <c r="BC25" s="115">
        <v>3200</v>
      </c>
      <c r="BD25" s="115">
        <v>410000</v>
      </c>
      <c r="BE25" s="341"/>
      <c r="BF25" s="341"/>
      <c r="BG25" s="341"/>
      <c r="BH25" s="341"/>
      <c r="BI25" s="341"/>
      <c r="BJ25" s="341"/>
      <c r="BK25" s="341"/>
      <c r="BL25" s="341"/>
      <c r="BM25" s="341"/>
      <c r="BN25" s="341"/>
      <c r="BO25" s="341"/>
      <c r="BP25" s="341"/>
      <c r="BQ25" s="341"/>
      <c r="BR25" s="341"/>
      <c r="BS25" s="341"/>
      <c r="BT25" s="341"/>
      <c r="BU25" s="341"/>
      <c r="BV25" s="341"/>
      <c r="BW25" s="341"/>
      <c r="BX25" s="341"/>
      <c r="BY25" s="341"/>
      <c r="BZ25" s="341"/>
      <c r="CA25" s="341"/>
      <c r="CB25" s="341"/>
      <c r="CC25" s="341"/>
      <c r="CD25" s="341"/>
      <c r="CE25" s="341"/>
      <c r="CF25" s="341"/>
      <c r="CG25" s="341"/>
      <c r="CH25" s="341"/>
      <c r="CI25" s="341"/>
      <c r="CJ25" s="341"/>
      <c r="CK25" s="341"/>
      <c r="CL25" s="341"/>
      <c r="CM25" s="341"/>
    </row>
    <row r="26" spans="1:91" s="559" customFormat="1" ht="15.75" thickBot="1">
      <c r="A26" s="95">
        <v>25</v>
      </c>
      <c r="B26" s="293" t="s">
        <v>48</v>
      </c>
      <c r="C26" s="293" t="s">
        <v>358</v>
      </c>
      <c r="D26" s="293" t="s">
        <v>90</v>
      </c>
      <c r="E26" s="293">
        <v>3</v>
      </c>
      <c r="F26" s="293" t="s">
        <v>361</v>
      </c>
      <c r="G26" s="294">
        <v>57</v>
      </c>
      <c r="H26" s="295">
        <v>12</v>
      </c>
      <c r="I26" s="295">
        <v>0</v>
      </c>
      <c r="J26" s="296">
        <v>0</v>
      </c>
      <c r="K26" s="121">
        <f t="shared" si="4"/>
        <v>60.6</v>
      </c>
      <c r="L26" s="98" t="s">
        <v>441</v>
      </c>
      <c r="M26" s="95"/>
      <c r="N26" s="95">
        <v>30</v>
      </c>
      <c r="O26" s="95"/>
      <c r="P26" s="99"/>
      <c r="Q26" s="95" t="s">
        <v>258</v>
      </c>
      <c r="R26" s="298">
        <v>206400</v>
      </c>
      <c r="S26" s="322">
        <f>T26*0.96</f>
        <v>206400</v>
      </c>
      <c r="T26" s="115">
        <v>215000</v>
      </c>
      <c r="U26" s="102">
        <f t="shared" si="0"/>
        <v>3405.9405940594061</v>
      </c>
      <c r="V26" s="102">
        <f t="shared" si="1"/>
        <v>3405.9405940594061</v>
      </c>
      <c r="W26" s="102"/>
      <c r="X26" s="102">
        <f t="shared" si="2"/>
        <v>3547.8547854785479</v>
      </c>
      <c r="Y26" s="102"/>
      <c r="Z26" s="101">
        <f>-(100%-(R26/T26))</f>
        <v>-4.0000000000000036E-2</v>
      </c>
      <c r="AA26" s="554"/>
      <c r="AB26" s="103">
        <v>45076</v>
      </c>
      <c r="AC26" s="313">
        <f>5%*R26</f>
        <v>10320</v>
      </c>
      <c r="AD26" s="313">
        <f>15%*R26</f>
        <v>30960</v>
      </c>
      <c r="AE26" s="103">
        <v>45092</v>
      </c>
      <c r="AF26" s="313"/>
      <c r="AG26" s="103"/>
      <c r="AH26" s="313">
        <f>80%*R26</f>
        <v>165120</v>
      </c>
      <c r="AI26" s="95" t="s">
        <v>247</v>
      </c>
      <c r="AJ26" s="95" t="s">
        <v>253</v>
      </c>
      <c r="AK26" s="306">
        <v>0.04</v>
      </c>
      <c r="AL26" s="306"/>
      <c r="AM26" s="306" t="s">
        <v>744</v>
      </c>
      <c r="AN26" s="306" t="s">
        <v>249</v>
      </c>
      <c r="AO26" s="306"/>
      <c r="AP26" s="306" t="s">
        <v>742</v>
      </c>
      <c r="AQ26" s="306" t="s">
        <v>249</v>
      </c>
      <c r="AR26" s="306"/>
      <c r="AS26" s="104" t="s">
        <v>580</v>
      </c>
      <c r="AT26" s="104" t="s">
        <v>265</v>
      </c>
      <c r="AU26" s="104"/>
      <c r="AV26" s="104"/>
      <c r="AW26" s="104"/>
      <c r="AX26" s="104" t="s">
        <v>18305</v>
      </c>
      <c r="AY26" s="104">
        <v>912079716</v>
      </c>
      <c r="AZ26" s="104"/>
      <c r="BA26" s="104"/>
      <c r="BB26" s="115">
        <f t="shared" si="3"/>
        <v>193920</v>
      </c>
      <c r="BC26" s="115">
        <v>3200</v>
      </c>
      <c r="BD26" s="115"/>
      <c r="BE26" s="341"/>
      <c r="BF26" s="341"/>
      <c r="BG26" s="341"/>
      <c r="BH26" s="341"/>
      <c r="BI26" s="341"/>
      <c r="BJ26" s="341"/>
      <c r="BK26" s="341"/>
      <c r="BL26" s="341"/>
      <c r="BM26" s="341"/>
      <c r="BN26" s="341"/>
      <c r="BO26" s="341"/>
      <c r="BP26" s="341"/>
      <c r="BQ26" s="341"/>
      <c r="BR26" s="341"/>
      <c r="BS26" s="341"/>
      <c r="BT26" s="341"/>
      <c r="BU26" s="341"/>
      <c r="BV26" s="341"/>
      <c r="BW26" s="341"/>
      <c r="BX26" s="341"/>
      <c r="BY26" s="341"/>
      <c r="BZ26" s="341"/>
      <c r="CA26" s="341"/>
      <c r="CB26" s="341"/>
      <c r="CC26" s="341"/>
      <c r="CD26" s="341"/>
      <c r="CE26" s="341"/>
      <c r="CF26" s="341"/>
      <c r="CG26" s="341"/>
      <c r="CH26" s="341"/>
      <c r="CI26" s="341"/>
      <c r="CJ26" s="341"/>
      <c r="CK26" s="341"/>
      <c r="CL26" s="341"/>
      <c r="CM26" s="341"/>
    </row>
    <row r="27" spans="1:91" s="559" customFormat="1" ht="15.75" thickBot="1">
      <c r="A27" s="95">
        <v>26</v>
      </c>
      <c r="B27" s="293" t="s">
        <v>49</v>
      </c>
      <c r="C27" s="293" t="s">
        <v>358</v>
      </c>
      <c r="D27" s="293" t="s">
        <v>89</v>
      </c>
      <c r="E27" s="293">
        <v>3</v>
      </c>
      <c r="F27" s="293" t="s">
        <v>361</v>
      </c>
      <c r="G27" s="294">
        <v>136</v>
      </c>
      <c r="H27" s="295">
        <v>23</v>
      </c>
      <c r="I27" s="295">
        <v>0</v>
      </c>
      <c r="J27" s="296">
        <v>0</v>
      </c>
      <c r="K27" s="121">
        <f t="shared" si="4"/>
        <v>142.9</v>
      </c>
      <c r="L27" s="98" t="s">
        <v>381</v>
      </c>
      <c r="M27" s="95"/>
      <c r="N27" s="95" t="s">
        <v>467</v>
      </c>
      <c r="O27" s="95"/>
      <c r="P27" s="105"/>
      <c r="Q27" s="95" t="s">
        <v>258</v>
      </c>
      <c r="R27" s="668">
        <v>470250</v>
      </c>
      <c r="S27" s="454">
        <v>455000</v>
      </c>
      <c r="T27" s="115">
        <f>S27*1.04</f>
        <v>473200</v>
      </c>
      <c r="U27" s="102">
        <f t="shared" si="0"/>
        <v>3290.7627711686491</v>
      </c>
      <c r="V27" s="102">
        <f>W27/K27</f>
        <v>3325.402379286214</v>
      </c>
      <c r="W27" s="115">
        <f>Y27*0.96</f>
        <v>475200</v>
      </c>
      <c r="X27" s="102">
        <f>Y27/K27</f>
        <v>3463.960811756473</v>
      </c>
      <c r="Y27" s="102">
        <v>495000</v>
      </c>
      <c r="Z27" s="102">
        <v>465000</v>
      </c>
      <c r="AA27" s="554"/>
      <c r="AB27" s="103">
        <v>45786</v>
      </c>
      <c r="AC27" s="313">
        <f>5000+42025</f>
        <v>47025</v>
      </c>
      <c r="AD27" s="1508">
        <v>94050</v>
      </c>
      <c r="AE27" s="103">
        <f>AB27+30</f>
        <v>45816</v>
      </c>
      <c r="AF27" s="313"/>
      <c r="AG27" s="103"/>
      <c r="AH27" s="313">
        <v>329175</v>
      </c>
      <c r="AI27" s="95" t="s">
        <v>247</v>
      </c>
      <c r="AJ27" s="95"/>
      <c r="AK27" s="95"/>
      <c r="AL27" s="95"/>
      <c r="AM27" s="95"/>
      <c r="AN27" s="95"/>
      <c r="AO27" s="95"/>
      <c r="AP27" s="95"/>
      <c r="AQ27" s="95"/>
      <c r="AR27" s="95"/>
      <c r="AS27" s="104" t="s">
        <v>17994</v>
      </c>
      <c r="AT27" s="104" t="s">
        <v>563</v>
      </c>
      <c r="AU27" s="104"/>
      <c r="AV27" s="104"/>
      <c r="AW27" s="104"/>
      <c r="AX27" s="104"/>
      <c r="AY27" s="104"/>
      <c r="AZ27" s="104"/>
      <c r="BA27" s="104"/>
      <c r="BB27" s="115">
        <f t="shared" si="3"/>
        <v>457280</v>
      </c>
      <c r="BC27" s="115">
        <v>3200</v>
      </c>
      <c r="BD27" s="115"/>
    </row>
    <row r="28" spans="1:91" s="559" customFormat="1">
      <c r="A28" s="95">
        <v>27</v>
      </c>
      <c r="B28" s="293" t="s">
        <v>50</v>
      </c>
      <c r="C28" s="293" t="s">
        <v>358</v>
      </c>
      <c r="D28" s="293" t="s">
        <v>91</v>
      </c>
      <c r="E28" s="293">
        <v>3</v>
      </c>
      <c r="F28" s="293" t="s">
        <v>362</v>
      </c>
      <c r="G28" s="294">
        <v>95</v>
      </c>
      <c r="H28" s="295">
        <v>0</v>
      </c>
      <c r="I28" s="295">
        <v>0</v>
      </c>
      <c r="J28" s="296">
        <v>0</v>
      </c>
      <c r="K28" s="121">
        <f t="shared" si="4"/>
        <v>95</v>
      </c>
      <c r="L28" s="98" t="s">
        <v>423</v>
      </c>
      <c r="M28" s="95"/>
      <c r="N28" s="95" t="s">
        <v>468</v>
      </c>
      <c r="O28" s="95"/>
      <c r="P28" s="99"/>
      <c r="Q28" s="95" t="s">
        <v>258</v>
      </c>
      <c r="R28" s="668">
        <v>310500</v>
      </c>
      <c r="S28" s="115">
        <v>325000</v>
      </c>
      <c r="T28" s="115" t="s">
        <v>356</v>
      </c>
      <c r="U28" s="102">
        <f t="shared" si="0"/>
        <v>3268.4210526315787</v>
      </c>
      <c r="V28" s="102">
        <f>W28/K28</f>
        <v>3486.3157894736842</v>
      </c>
      <c r="W28" s="115">
        <f>Y28*0.96</f>
        <v>331200</v>
      </c>
      <c r="X28" s="102">
        <f>Y28/K28</f>
        <v>3631.5789473684213</v>
      </c>
      <c r="Y28" s="102">
        <v>345000</v>
      </c>
      <c r="Z28" s="102"/>
      <c r="AA28" s="554"/>
      <c r="AB28" s="103">
        <v>45621</v>
      </c>
      <c r="AC28" s="313">
        <v>62100</v>
      </c>
      <c r="AD28" s="313"/>
      <c r="AE28" s="103"/>
      <c r="AF28" s="313"/>
      <c r="AG28" s="103"/>
      <c r="AH28" s="313">
        <v>248400</v>
      </c>
      <c r="AI28" s="95" t="s">
        <v>274</v>
      </c>
      <c r="AJ28" s="95"/>
      <c r="AK28" s="95"/>
      <c r="AL28" s="95"/>
      <c r="AM28" s="95"/>
      <c r="AN28" s="95"/>
      <c r="AO28" s="95"/>
      <c r="AP28" s="95"/>
      <c r="AQ28" s="95"/>
      <c r="AR28" s="95"/>
      <c r="AS28" s="104" t="s">
        <v>17730</v>
      </c>
      <c r="AT28" s="104" t="s">
        <v>517</v>
      </c>
      <c r="AU28" s="104"/>
      <c r="AV28" s="104"/>
      <c r="AW28" s="104"/>
      <c r="AX28" s="104" t="s">
        <v>18306</v>
      </c>
      <c r="AY28" s="104">
        <v>972508270275</v>
      </c>
      <c r="AZ28" s="104"/>
      <c r="BA28" s="104"/>
      <c r="BB28" s="115">
        <f t="shared" si="3"/>
        <v>304000</v>
      </c>
      <c r="BC28" s="115">
        <v>3200</v>
      </c>
      <c r="BD28" s="115"/>
    </row>
    <row r="29" spans="1:91" s="559" customFormat="1" ht="15.75" thickBot="1">
      <c r="A29" s="95">
        <v>28</v>
      </c>
      <c r="B29" s="293" t="s">
        <v>51</v>
      </c>
      <c r="C29" s="293" t="s">
        <v>358</v>
      </c>
      <c r="D29" s="293" t="s">
        <v>90</v>
      </c>
      <c r="E29" s="293">
        <v>3</v>
      </c>
      <c r="F29" s="293" t="s">
        <v>362</v>
      </c>
      <c r="G29" s="294">
        <v>57</v>
      </c>
      <c r="H29" s="295">
        <v>0</v>
      </c>
      <c r="I29" s="295">
        <v>6</v>
      </c>
      <c r="J29" s="296">
        <v>0</v>
      </c>
      <c r="K29" s="121">
        <f t="shared" si="4"/>
        <v>58.2</v>
      </c>
      <c r="L29" s="98"/>
      <c r="M29" s="95"/>
      <c r="N29" s="95" t="s">
        <v>455</v>
      </c>
      <c r="O29" s="95"/>
      <c r="P29" s="105"/>
      <c r="Q29" s="95" t="s">
        <v>258</v>
      </c>
      <c r="R29" s="668">
        <v>199000</v>
      </c>
      <c r="S29" s="322">
        <f>T29*0.96</f>
        <v>198681.60000000001</v>
      </c>
      <c r="T29" s="115">
        <v>206960</v>
      </c>
      <c r="U29" s="102">
        <f t="shared" si="0"/>
        <v>3419.2439862542956</v>
      </c>
      <c r="V29" s="102">
        <f t="shared" si="1"/>
        <v>3413.7731958762888</v>
      </c>
      <c r="W29" s="102"/>
      <c r="X29" s="102">
        <f t="shared" si="2"/>
        <v>3556.0137457044671</v>
      </c>
      <c r="Y29" s="102"/>
      <c r="Z29" s="101"/>
      <c r="AA29" s="554">
        <v>45188</v>
      </c>
      <c r="AB29" s="103">
        <v>45331</v>
      </c>
      <c r="AC29" s="313">
        <v>39800</v>
      </c>
      <c r="AD29" s="313"/>
      <c r="AE29" s="103"/>
      <c r="AF29" s="313"/>
      <c r="AG29" s="103"/>
      <c r="AH29" s="313">
        <v>159200</v>
      </c>
      <c r="AI29" s="95" t="s">
        <v>274</v>
      </c>
      <c r="AJ29" s="95"/>
      <c r="AK29" s="95"/>
      <c r="AL29" s="95"/>
      <c r="AM29" s="95"/>
      <c r="AN29" s="95"/>
      <c r="AO29" s="95"/>
      <c r="AP29" s="95"/>
      <c r="AQ29" s="95"/>
      <c r="AR29" s="95"/>
      <c r="AS29" s="104" t="s">
        <v>17186</v>
      </c>
      <c r="AT29" s="104" t="s">
        <v>517</v>
      </c>
      <c r="AU29" s="104"/>
      <c r="AV29" s="104"/>
      <c r="AW29" s="104"/>
      <c r="AX29" s="104" t="s">
        <v>18307</v>
      </c>
      <c r="AY29" s="104">
        <v>972502444444</v>
      </c>
      <c r="AZ29" s="104"/>
      <c r="BA29" s="104"/>
      <c r="BB29" s="115">
        <f t="shared" si="3"/>
        <v>186240</v>
      </c>
      <c r="BC29" s="115">
        <v>3200</v>
      </c>
      <c r="BD29" s="115"/>
      <c r="BE29" s="341"/>
      <c r="BF29" s="341"/>
      <c r="BG29" s="341"/>
      <c r="BH29" s="341"/>
      <c r="BI29" s="341"/>
      <c r="BJ29" s="341"/>
      <c r="BK29" s="341"/>
      <c r="BL29" s="341"/>
      <c r="BM29" s="341"/>
      <c r="BN29" s="341"/>
      <c r="BO29" s="341"/>
      <c r="BP29" s="341"/>
      <c r="BQ29" s="341"/>
      <c r="BR29" s="341"/>
      <c r="BS29" s="341"/>
      <c r="BT29" s="341"/>
      <c r="BU29" s="341"/>
      <c r="BV29" s="341"/>
      <c r="BW29" s="341"/>
      <c r="BX29" s="341"/>
      <c r="BY29" s="341"/>
      <c r="BZ29" s="341"/>
      <c r="CA29" s="341"/>
      <c r="CB29" s="341"/>
      <c r="CC29" s="341"/>
      <c r="CD29" s="341"/>
      <c r="CE29" s="341"/>
      <c r="CF29" s="341"/>
      <c r="CG29" s="341"/>
      <c r="CH29" s="341"/>
      <c r="CI29" s="341"/>
      <c r="CJ29" s="341"/>
      <c r="CK29" s="341"/>
      <c r="CL29" s="341"/>
      <c r="CM29" s="341"/>
    </row>
    <row r="30" spans="1:91" s="559" customFormat="1" ht="15.75" thickBot="1">
      <c r="A30" s="95">
        <v>29</v>
      </c>
      <c r="B30" s="293" t="s">
        <v>52</v>
      </c>
      <c r="C30" s="293" t="s">
        <v>358</v>
      </c>
      <c r="D30" s="293" t="s">
        <v>89</v>
      </c>
      <c r="E30" s="293">
        <v>4</v>
      </c>
      <c r="F30" s="293" t="s">
        <v>362</v>
      </c>
      <c r="G30" s="294">
        <v>116</v>
      </c>
      <c r="H30" s="295">
        <v>0</v>
      </c>
      <c r="I30" s="295">
        <v>6</v>
      </c>
      <c r="J30" s="296">
        <v>0</v>
      </c>
      <c r="K30" s="121">
        <f t="shared" si="4"/>
        <v>117.2</v>
      </c>
      <c r="L30" s="98" t="s">
        <v>382</v>
      </c>
      <c r="M30" s="95"/>
      <c r="N30" s="95" t="s">
        <v>469</v>
      </c>
      <c r="O30" s="95"/>
      <c r="P30" s="99"/>
      <c r="Q30" s="95" t="s">
        <v>258</v>
      </c>
      <c r="R30" s="1393">
        <v>375250</v>
      </c>
      <c r="S30" s="535">
        <v>394000</v>
      </c>
      <c r="T30" s="115">
        <f>S30*1.04</f>
        <v>409760</v>
      </c>
      <c r="U30" s="102">
        <f t="shared" si="0"/>
        <v>3201.7918088737201</v>
      </c>
      <c r="V30" s="102">
        <f>W30/K30</f>
        <v>3235.4948805460749</v>
      </c>
      <c r="W30" s="115">
        <f>Y30*0.96</f>
        <v>379200</v>
      </c>
      <c r="X30" s="102">
        <f>Y30/K30</f>
        <v>3370.3071672354949</v>
      </c>
      <c r="Y30" s="102">
        <v>395000</v>
      </c>
      <c r="Z30" s="102">
        <v>365000</v>
      </c>
      <c r="AA30" s="554">
        <v>45674</v>
      </c>
      <c r="AB30" s="103">
        <v>45686</v>
      </c>
      <c r="AC30" s="313">
        <f>5000+70050</f>
        <v>75050</v>
      </c>
      <c r="AD30" s="1508"/>
      <c r="AE30" s="103"/>
      <c r="AF30" s="313"/>
      <c r="AG30" s="103"/>
      <c r="AH30" s="313">
        <v>300200</v>
      </c>
      <c r="AI30" s="95" t="s">
        <v>247</v>
      </c>
      <c r="AJ30" s="95"/>
      <c r="AK30" s="95"/>
      <c r="AL30" s="95"/>
      <c r="AM30" s="95"/>
      <c r="AN30" s="95"/>
      <c r="AO30" s="95"/>
      <c r="AP30" s="95"/>
      <c r="AQ30" s="95"/>
      <c r="AR30" s="95"/>
      <c r="AS30" s="104" t="s">
        <v>17835</v>
      </c>
      <c r="AT30" s="104" t="s">
        <v>565</v>
      </c>
      <c r="AU30" s="104"/>
      <c r="AV30" s="104"/>
      <c r="AW30" s="104"/>
      <c r="AX30" s="104" t="s">
        <v>18308</v>
      </c>
      <c r="AY30" s="104">
        <v>5585991056907</v>
      </c>
      <c r="AZ30" s="104"/>
      <c r="BA30" s="104"/>
      <c r="BB30" s="115">
        <f t="shared" si="3"/>
        <v>375040</v>
      </c>
      <c r="BC30" s="115">
        <v>3200</v>
      </c>
      <c r="BD30" s="115"/>
    </row>
    <row r="31" spans="1:91" s="559" customFormat="1">
      <c r="A31" s="95">
        <v>30</v>
      </c>
      <c r="B31" s="384" t="s">
        <v>53</v>
      </c>
      <c r="C31" s="384" t="s">
        <v>358</v>
      </c>
      <c r="D31" s="384" t="s">
        <v>91</v>
      </c>
      <c r="E31" s="384">
        <v>4</v>
      </c>
      <c r="F31" s="384" t="s">
        <v>361</v>
      </c>
      <c r="G31" s="385">
        <v>107</v>
      </c>
      <c r="H31" s="386">
        <v>14</v>
      </c>
      <c r="I31" s="386">
        <v>0</v>
      </c>
      <c r="J31" s="296">
        <v>0</v>
      </c>
      <c r="K31" s="121">
        <f t="shared" si="4"/>
        <v>111.2</v>
      </c>
      <c r="L31" s="98" t="s">
        <v>427</v>
      </c>
      <c r="M31" s="95"/>
      <c r="N31" s="95" t="s">
        <v>470</v>
      </c>
      <c r="O31" s="95"/>
      <c r="P31" s="388"/>
      <c r="Q31" s="95" t="s">
        <v>258</v>
      </c>
      <c r="R31" s="298">
        <v>331200</v>
      </c>
      <c r="S31" s="390">
        <f>T31*0.96</f>
        <v>331200</v>
      </c>
      <c r="T31" s="115">
        <v>345000</v>
      </c>
      <c r="U31" s="102">
        <f t="shared" si="0"/>
        <v>2978.4172661870502</v>
      </c>
      <c r="V31" s="102">
        <f t="shared" si="1"/>
        <v>2978.4172661870502</v>
      </c>
      <c r="W31" s="102"/>
      <c r="X31" s="102">
        <f t="shared" si="2"/>
        <v>3102.5179856115105</v>
      </c>
      <c r="Y31" s="102"/>
      <c r="Z31" s="101">
        <f>-(100%-(R31/T31))</f>
        <v>-4.0000000000000036E-2</v>
      </c>
      <c r="AA31" s="554"/>
      <c r="AB31" s="103">
        <v>45097</v>
      </c>
      <c r="AC31" s="313">
        <f>15%*S31</f>
        <v>49680</v>
      </c>
      <c r="AD31" s="313">
        <f>15%*R31</f>
        <v>49680</v>
      </c>
      <c r="AE31" s="103">
        <v>45445</v>
      </c>
      <c r="AF31" s="313"/>
      <c r="AG31" s="103"/>
      <c r="AH31" s="313">
        <f>70%*R31</f>
        <v>231839.99999999997</v>
      </c>
      <c r="AI31" s="95" t="s">
        <v>103</v>
      </c>
      <c r="AJ31" s="95"/>
      <c r="AK31" s="306">
        <v>0.04</v>
      </c>
      <c r="AL31" s="306"/>
      <c r="AM31" s="306" t="s">
        <v>744</v>
      </c>
      <c r="AN31" s="306" t="s">
        <v>249</v>
      </c>
      <c r="AO31" s="306"/>
      <c r="AP31" s="306" t="s">
        <v>741</v>
      </c>
      <c r="AQ31" s="306" t="s">
        <v>249</v>
      </c>
      <c r="AR31" s="306"/>
      <c r="AS31" s="104" t="s">
        <v>17199</v>
      </c>
      <c r="AT31" s="104" t="s">
        <v>265</v>
      </c>
      <c r="AU31" s="104"/>
      <c r="AV31" s="104"/>
      <c r="AW31" s="104"/>
      <c r="AX31" s="104" t="s">
        <v>18309</v>
      </c>
      <c r="AY31" s="104">
        <v>912236024</v>
      </c>
      <c r="AZ31" s="104"/>
      <c r="BA31" s="104"/>
      <c r="BB31" s="115">
        <f t="shared" si="3"/>
        <v>355840</v>
      </c>
      <c r="BC31" s="115">
        <v>3200</v>
      </c>
      <c r="BD31" s="115"/>
      <c r="BE31" s="341"/>
      <c r="BF31" s="341"/>
      <c r="BG31" s="341"/>
      <c r="BH31" s="341"/>
      <c r="BI31" s="341"/>
      <c r="BJ31" s="341"/>
      <c r="BK31" s="341"/>
      <c r="BL31" s="341"/>
      <c r="BM31" s="341"/>
      <c r="BN31" s="341"/>
      <c r="BO31" s="341"/>
      <c r="BP31" s="341"/>
      <c r="BQ31" s="341"/>
      <c r="BR31" s="341"/>
      <c r="BS31" s="341"/>
      <c r="BT31" s="341"/>
      <c r="BU31" s="341"/>
      <c r="BV31" s="341"/>
      <c r="BW31" s="341"/>
      <c r="BX31" s="341"/>
      <c r="BY31" s="341"/>
      <c r="BZ31" s="341"/>
      <c r="CA31" s="341"/>
      <c r="CB31" s="341"/>
      <c r="CC31" s="341"/>
      <c r="CD31" s="341"/>
      <c r="CE31" s="341"/>
      <c r="CF31" s="341"/>
      <c r="CG31" s="341"/>
      <c r="CH31" s="341"/>
      <c r="CI31" s="341"/>
      <c r="CJ31" s="341"/>
      <c r="CK31" s="341"/>
      <c r="CL31" s="341"/>
      <c r="CM31" s="341"/>
    </row>
    <row r="32" spans="1:91" s="559" customFormat="1">
      <c r="A32" s="95">
        <v>31</v>
      </c>
      <c r="B32" s="384" t="s">
        <v>54</v>
      </c>
      <c r="C32" s="384" t="s">
        <v>358</v>
      </c>
      <c r="D32" s="384" t="s">
        <v>90</v>
      </c>
      <c r="E32" s="384">
        <v>4</v>
      </c>
      <c r="F32" s="384" t="s">
        <v>361</v>
      </c>
      <c r="G32" s="385">
        <v>57</v>
      </c>
      <c r="H32" s="386">
        <v>10</v>
      </c>
      <c r="I32" s="386">
        <v>0</v>
      </c>
      <c r="J32" s="296">
        <v>0</v>
      </c>
      <c r="K32" s="121">
        <f t="shared" si="4"/>
        <v>60</v>
      </c>
      <c r="L32" s="98" t="s">
        <v>529</v>
      </c>
      <c r="M32" s="95"/>
      <c r="N32" s="98">
        <v>38</v>
      </c>
      <c r="O32" s="95"/>
      <c r="P32" s="387"/>
      <c r="Q32" s="95" t="s">
        <v>258</v>
      </c>
      <c r="R32" s="603">
        <v>215650</v>
      </c>
      <c r="S32" s="115">
        <v>216000</v>
      </c>
      <c r="T32" s="115">
        <f>S32*1.04</f>
        <v>224640</v>
      </c>
      <c r="U32" s="102">
        <f t="shared" si="0"/>
        <v>3594.1666666666665</v>
      </c>
      <c r="V32" s="102">
        <f t="shared" si="1"/>
        <v>3600</v>
      </c>
      <c r="W32" s="102"/>
      <c r="X32" s="102">
        <f t="shared" si="2"/>
        <v>3744</v>
      </c>
      <c r="Y32" s="102"/>
      <c r="Z32" s="101"/>
      <c r="AA32" s="554"/>
      <c r="AB32" s="103">
        <v>45100</v>
      </c>
      <c r="AC32" s="313">
        <f>20%*R32</f>
        <v>43130</v>
      </c>
      <c r="AD32" s="313">
        <f>10%*R32</f>
        <v>21565</v>
      </c>
      <c r="AE32" s="103"/>
      <c r="AF32" s="313"/>
      <c r="AG32" s="103"/>
      <c r="AH32" s="313">
        <f>70%*R32</f>
        <v>150955</v>
      </c>
      <c r="AI32" s="95" t="s">
        <v>103</v>
      </c>
      <c r="AJ32" s="95"/>
      <c r="AK32" s="306">
        <v>0.04</v>
      </c>
      <c r="AL32" s="306"/>
      <c r="AM32" s="306" t="s">
        <v>746</v>
      </c>
      <c r="AN32" s="95"/>
      <c r="AO32" s="95"/>
      <c r="AP32" s="95" t="s">
        <v>739</v>
      </c>
      <c r="AQ32" s="306" t="s">
        <v>249</v>
      </c>
      <c r="AR32" s="95"/>
      <c r="AS32" s="104" t="s">
        <v>588</v>
      </c>
      <c r="AT32" s="104" t="s">
        <v>265</v>
      </c>
      <c r="AU32" s="104"/>
      <c r="AV32" s="104"/>
      <c r="AW32" s="104"/>
      <c r="AX32" s="104"/>
      <c r="AY32" s="104"/>
      <c r="AZ32" s="104"/>
      <c r="BA32" s="104"/>
      <c r="BB32" s="115">
        <f t="shared" si="3"/>
        <v>192000</v>
      </c>
      <c r="BC32" s="115">
        <v>3200</v>
      </c>
      <c r="BD32" s="115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</row>
    <row r="33" spans="1:91" s="559" customFormat="1">
      <c r="A33" s="95">
        <v>32</v>
      </c>
      <c r="B33" s="293" t="s">
        <v>55</v>
      </c>
      <c r="C33" s="293" t="s">
        <v>358</v>
      </c>
      <c r="D33" s="293" t="s">
        <v>365</v>
      </c>
      <c r="E33" s="293">
        <v>4</v>
      </c>
      <c r="F33" s="293" t="s">
        <v>363</v>
      </c>
      <c r="G33" s="294">
        <v>107</v>
      </c>
      <c r="H33" s="295">
        <v>10</v>
      </c>
      <c r="I33" s="295">
        <v>0</v>
      </c>
      <c r="J33" s="296">
        <v>0</v>
      </c>
      <c r="K33" s="121">
        <f t="shared" si="4"/>
        <v>110</v>
      </c>
      <c r="L33" s="98" t="s">
        <v>419</v>
      </c>
      <c r="M33" s="95"/>
      <c r="N33" s="95" t="s">
        <v>471</v>
      </c>
      <c r="O33" s="95"/>
      <c r="P33" s="105"/>
      <c r="Q33" s="95" t="s">
        <v>258</v>
      </c>
      <c r="R33" s="668">
        <v>379200</v>
      </c>
      <c r="S33" s="115">
        <v>363000</v>
      </c>
      <c r="T33" s="115">
        <f>S33*1.04</f>
        <v>377520</v>
      </c>
      <c r="U33" s="102">
        <f t="shared" si="0"/>
        <v>3447.2727272727275</v>
      </c>
      <c r="V33" s="102">
        <f>W33/K33</f>
        <v>3447.2727272727275</v>
      </c>
      <c r="W33" s="115">
        <f>Y33*0.96</f>
        <v>379200</v>
      </c>
      <c r="X33" s="102">
        <f>Y33/K33</f>
        <v>3590.909090909091</v>
      </c>
      <c r="Y33" s="102">
        <v>395000</v>
      </c>
      <c r="Z33" s="101"/>
      <c r="AA33" s="554"/>
      <c r="AB33" s="103">
        <v>45562</v>
      </c>
      <c r="AC33" s="313">
        <v>75840</v>
      </c>
      <c r="AD33" s="313"/>
      <c r="AE33" s="103"/>
      <c r="AF33" s="313"/>
      <c r="AG33" s="103"/>
      <c r="AH33" s="313">
        <v>303360</v>
      </c>
      <c r="AI33" s="95" t="s">
        <v>274</v>
      </c>
      <c r="AJ33" s="95"/>
      <c r="AK33" s="95"/>
      <c r="AL33" s="95"/>
      <c r="AM33" s="95"/>
      <c r="AN33" s="95"/>
      <c r="AO33" s="95"/>
      <c r="AP33" s="95"/>
      <c r="AQ33" s="95"/>
      <c r="AR33" s="95"/>
      <c r="AS33" s="104" t="s">
        <v>17646</v>
      </c>
      <c r="AT33" s="104" t="s">
        <v>517</v>
      </c>
      <c r="AU33" s="104"/>
      <c r="AV33" s="104"/>
      <c r="AW33" s="104"/>
      <c r="AX33" s="104"/>
      <c r="AY33" s="104"/>
      <c r="AZ33" s="104"/>
      <c r="BA33" s="104"/>
      <c r="BB33" s="115">
        <f t="shared" si="3"/>
        <v>352000</v>
      </c>
      <c r="BC33" s="115">
        <v>3200</v>
      </c>
      <c r="BD33" s="115"/>
    </row>
    <row r="34" spans="1:91" s="559" customFormat="1" ht="15.75" thickBot="1">
      <c r="A34" s="95">
        <v>33</v>
      </c>
      <c r="B34" s="293" t="s">
        <v>56</v>
      </c>
      <c r="C34" s="293" t="s">
        <v>358</v>
      </c>
      <c r="D34" s="293" t="s">
        <v>365</v>
      </c>
      <c r="E34" s="293">
        <v>4</v>
      </c>
      <c r="F34" s="293" t="s">
        <v>363</v>
      </c>
      <c r="G34" s="294">
        <v>107</v>
      </c>
      <c r="H34" s="295">
        <v>8</v>
      </c>
      <c r="I34" s="295">
        <v>0</v>
      </c>
      <c r="J34" s="296">
        <v>0</v>
      </c>
      <c r="K34" s="121">
        <f t="shared" si="4"/>
        <v>109.4</v>
      </c>
      <c r="L34" s="98" t="s">
        <v>418</v>
      </c>
      <c r="M34" s="95"/>
      <c r="N34" s="95" t="s">
        <v>472</v>
      </c>
      <c r="O34" s="95"/>
      <c r="P34" s="300"/>
      <c r="Q34" s="95" t="s">
        <v>258</v>
      </c>
      <c r="R34" s="298">
        <v>362420</v>
      </c>
      <c r="S34" s="115">
        <v>363000</v>
      </c>
      <c r="T34" s="115">
        <f>S34*1.04</f>
        <v>377520</v>
      </c>
      <c r="U34" s="102">
        <f t="shared" ref="U34:U65" si="8">R34/K34</f>
        <v>3312.797074954296</v>
      </c>
      <c r="V34" s="102">
        <f t="shared" ref="V34:V65" si="9">S34/K34</f>
        <v>3318.0987202925044</v>
      </c>
      <c r="W34" s="102"/>
      <c r="X34" s="102">
        <f t="shared" ref="X34:X65" si="10">T34/K34</f>
        <v>3450.8226691042046</v>
      </c>
      <c r="Y34" s="102"/>
      <c r="Z34" s="101"/>
      <c r="AA34" s="554"/>
      <c r="AB34" s="103">
        <v>45224</v>
      </c>
      <c r="AC34" s="313">
        <v>36242</v>
      </c>
      <c r="AD34" s="313"/>
      <c r="AE34" s="103"/>
      <c r="AF34" s="313"/>
      <c r="AG34" s="103"/>
      <c r="AH34" s="313">
        <v>326178</v>
      </c>
      <c r="AI34" s="95" t="s">
        <v>247</v>
      </c>
      <c r="AJ34" s="95"/>
      <c r="AK34" s="95"/>
      <c r="AL34" s="95"/>
      <c r="AM34" s="95"/>
      <c r="AN34" s="95"/>
      <c r="AO34" s="95"/>
      <c r="AP34" s="95"/>
      <c r="AQ34" s="95"/>
      <c r="AR34" s="95"/>
      <c r="AS34" s="104" t="s">
        <v>17231</v>
      </c>
      <c r="AT34" s="104" t="s">
        <v>265</v>
      </c>
      <c r="AU34" s="104"/>
      <c r="AV34" s="104"/>
      <c r="AW34" s="104"/>
      <c r="AX34" s="104"/>
      <c r="AY34" s="104">
        <v>962982703</v>
      </c>
      <c r="AZ34" s="104"/>
      <c r="BA34" s="104"/>
      <c r="BB34" s="115">
        <f t="shared" ref="BB34:BB65" si="11">K34*BC34</f>
        <v>350080</v>
      </c>
      <c r="BC34" s="115">
        <v>3200</v>
      </c>
      <c r="BD34" s="115"/>
      <c r="BE34" s="341"/>
      <c r="BF34" s="341"/>
      <c r="BG34" s="341"/>
      <c r="BH34" s="341"/>
      <c r="BI34" s="341"/>
      <c r="BJ34" s="341"/>
      <c r="BK34" s="341"/>
      <c r="BL34" s="341"/>
      <c r="BM34" s="341"/>
      <c r="BN34" s="341"/>
      <c r="BO34" s="341"/>
      <c r="BP34" s="341"/>
      <c r="BQ34" s="341"/>
      <c r="BR34" s="341"/>
      <c r="BS34" s="341"/>
      <c r="BT34" s="341"/>
      <c r="BU34" s="341"/>
      <c r="BV34" s="341"/>
      <c r="BW34" s="341"/>
      <c r="BX34" s="341"/>
      <c r="BY34" s="341"/>
      <c r="BZ34" s="341"/>
      <c r="CA34" s="341"/>
      <c r="CB34" s="341"/>
      <c r="CC34" s="341"/>
      <c r="CD34" s="341"/>
      <c r="CE34" s="341"/>
      <c r="CF34" s="341"/>
      <c r="CG34" s="341"/>
      <c r="CH34" s="341"/>
      <c r="CI34" s="341"/>
      <c r="CJ34" s="341"/>
      <c r="CK34" s="341"/>
      <c r="CL34" s="341"/>
      <c r="CM34" s="341"/>
    </row>
    <row r="35" spans="1:91" s="559" customFormat="1" ht="15.75" thickBot="1">
      <c r="A35" s="95">
        <v>34</v>
      </c>
      <c r="B35" s="293" t="s">
        <v>57</v>
      </c>
      <c r="C35" s="293" t="s">
        <v>358</v>
      </c>
      <c r="D35" s="293" t="s">
        <v>90</v>
      </c>
      <c r="E35" s="293">
        <v>4</v>
      </c>
      <c r="F35" s="293" t="s">
        <v>361</v>
      </c>
      <c r="G35" s="294">
        <v>57</v>
      </c>
      <c r="H35" s="295">
        <v>12</v>
      </c>
      <c r="I35" s="295">
        <v>0</v>
      </c>
      <c r="J35" s="296">
        <v>0</v>
      </c>
      <c r="K35" s="121">
        <f t="shared" si="4"/>
        <v>60.6</v>
      </c>
      <c r="L35" s="532" t="s">
        <v>442</v>
      </c>
      <c r="M35" s="95"/>
      <c r="N35" s="95">
        <v>29</v>
      </c>
      <c r="O35" s="95"/>
      <c r="P35" s="533"/>
      <c r="Q35" s="95" t="s">
        <v>258</v>
      </c>
      <c r="R35" s="298">
        <v>192550</v>
      </c>
      <c r="S35" s="322">
        <f>T35*0.96</f>
        <v>208320</v>
      </c>
      <c r="T35" s="115">
        <v>217000</v>
      </c>
      <c r="U35" s="102">
        <f t="shared" si="8"/>
        <v>3177.3927392739274</v>
      </c>
      <c r="V35" s="102">
        <f t="shared" si="9"/>
        <v>3437.6237623762377</v>
      </c>
      <c r="W35" s="102"/>
      <c r="X35" s="102">
        <f t="shared" si="10"/>
        <v>3580.8580858085807</v>
      </c>
      <c r="Y35" s="102"/>
      <c r="Z35" s="101"/>
      <c r="AA35" s="554"/>
      <c r="AB35" s="103">
        <v>45182</v>
      </c>
      <c r="AC35" s="313">
        <v>14305</v>
      </c>
      <c r="AD35" s="313"/>
      <c r="AE35" s="103"/>
      <c r="AF35" s="313"/>
      <c r="AG35" s="103"/>
      <c r="AH35" s="313">
        <v>178245</v>
      </c>
      <c r="AI35" s="95" t="s">
        <v>274</v>
      </c>
      <c r="AJ35" s="95"/>
      <c r="AK35" s="95"/>
      <c r="AL35" s="95"/>
      <c r="AM35" s="95"/>
      <c r="AN35" s="95"/>
      <c r="AO35" s="95"/>
      <c r="AP35" s="95"/>
      <c r="AQ35" s="95"/>
      <c r="AR35" s="95"/>
      <c r="AS35" s="132" t="s">
        <v>18049</v>
      </c>
      <c r="AT35" s="104" t="s">
        <v>265</v>
      </c>
      <c r="AU35" s="104"/>
      <c r="AV35" s="104"/>
      <c r="AW35" s="104"/>
      <c r="AX35" s="104" t="s">
        <v>18310</v>
      </c>
      <c r="AY35" s="104">
        <v>972546424289</v>
      </c>
      <c r="AZ35" s="132"/>
      <c r="BA35" s="132"/>
      <c r="BB35" s="115">
        <f t="shared" si="11"/>
        <v>193920</v>
      </c>
      <c r="BC35" s="115">
        <v>3200</v>
      </c>
      <c r="BD35" s="115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</row>
    <row r="36" spans="1:91" s="559" customFormat="1" ht="15.75" thickBot="1">
      <c r="A36" s="95">
        <v>35</v>
      </c>
      <c r="B36" s="293" t="s">
        <v>58</v>
      </c>
      <c r="C36" s="293" t="s">
        <v>358</v>
      </c>
      <c r="D36" s="293" t="s">
        <v>89</v>
      </c>
      <c r="E36" s="293">
        <v>4</v>
      </c>
      <c r="F36" s="293" t="s">
        <v>361</v>
      </c>
      <c r="G36" s="294">
        <v>136</v>
      </c>
      <c r="H36" s="295">
        <v>23</v>
      </c>
      <c r="I36" s="295">
        <v>0</v>
      </c>
      <c r="J36" s="296">
        <v>0</v>
      </c>
      <c r="K36" s="121">
        <f t="shared" si="4"/>
        <v>142.9</v>
      </c>
      <c r="L36" s="1136" t="s">
        <v>383</v>
      </c>
      <c r="M36" s="713"/>
      <c r="N36" s="95" t="s">
        <v>473</v>
      </c>
      <c r="O36" s="95"/>
      <c r="P36" s="99"/>
      <c r="Q36" s="95" t="s">
        <v>258</v>
      </c>
      <c r="R36" s="668">
        <v>470000</v>
      </c>
      <c r="S36" s="454">
        <v>460000</v>
      </c>
      <c r="T36" s="115">
        <f>S36*1.04</f>
        <v>478400</v>
      </c>
      <c r="U36" s="102">
        <f t="shared" si="8"/>
        <v>3289.0132960111964</v>
      </c>
      <c r="V36" s="102">
        <f>W36/K36</f>
        <v>3358.992302309307</v>
      </c>
      <c r="W36" s="115">
        <f>Y36*0.96</f>
        <v>480000</v>
      </c>
      <c r="X36" s="102">
        <f>Y36/K36</f>
        <v>3498.9503149055281</v>
      </c>
      <c r="Y36" s="102">
        <v>500000</v>
      </c>
      <c r="Z36" s="102">
        <v>470000</v>
      </c>
      <c r="AA36" s="554"/>
      <c r="AB36" s="103">
        <v>45701</v>
      </c>
      <c r="AC36" s="313">
        <f>5000+89000</f>
        <v>94000</v>
      </c>
      <c r="AD36" s="1508"/>
      <c r="AE36" s="103"/>
      <c r="AF36" s="313"/>
      <c r="AG36" s="103"/>
      <c r="AH36" s="313">
        <v>376000</v>
      </c>
      <c r="AI36" s="95" t="s">
        <v>247</v>
      </c>
      <c r="AJ36" s="95"/>
      <c r="AK36" s="95"/>
      <c r="AL36" s="95"/>
      <c r="AM36" s="95"/>
      <c r="AN36" s="95"/>
      <c r="AO36" s="95"/>
      <c r="AP36" s="95"/>
      <c r="AQ36" s="95"/>
      <c r="AR36" s="95"/>
      <c r="AS36" s="104" t="s">
        <v>17842</v>
      </c>
      <c r="AT36" s="104" t="s">
        <v>563</v>
      </c>
      <c r="AU36" s="104"/>
      <c r="AV36" s="104"/>
      <c r="AW36" s="104"/>
      <c r="AX36" s="104" t="s">
        <v>18311</v>
      </c>
      <c r="AY36" s="104">
        <v>910711670</v>
      </c>
      <c r="AZ36" s="104"/>
      <c r="BA36" s="104"/>
      <c r="BB36" s="115">
        <f t="shared" si="11"/>
        <v>457280</v>
      </c>
      <c r="BC36" s="115">
        <v>3200</v>
      </c>
      <c r="BD36" s="115"/>
    </row>
    <row r="37" spans="1:91" s="559" customFormat="1">
      <c r="A37" s="95">
        <v>36</v>
      </c>
      <c r="B37" s="293" t="s">
        <v>59</v>
      </c>
      <c r="C37" s="293" t="s">
        <v>358</v>
      </c>
      <c r="D37" s="293" t="s">
        <v>91</v>
      </c>
      <c r="E37" s="293">
        <v>4</v>
      </c>
      <c r="F37" s="293" t="s">
        <v>362</v>
      </c>
      <c r="G37" s="294">
        <v>95</v>
      </c>
      <c r="H37" s="295">
        <v>0</v>
      </c>
      <c r="I37" s="295">
        <v>0</v>
      </c>
      <c r="J37" s="296">
        <v>0</v>
      </c>
      <c r="K37" s="121">
        <f t="shared" si="4"/>
        <v>95</v>
      </c>
      <c r="L37" s="98" t="s">
        <v>428</v>
      </c>
      <c r="M37" s="95"/>
      <c r="N37" s="95" t="s">
        <v>474</v>
      </c>
      <c r="O37" s="95"/>
      <c r="P37" s="105"/>
      <c r="Q37" s="95" t="s">
        <v>258</v>
      </c>
      <c r="R37" s="668">
        <v>330000</v>
      </c>
      <c r="S37" s="322">
        <v>328000</v>
      </c>
      <c r="T37" s="115">
        <f>S37*1.04</f>
        <v>341120</v>
      </c>
      <c r="U37" s="102">
        <f t="shared" si="8"/>
        <v>3473.6842105263158</v>
      </c>
      <c r="V37" s="102">
        <f>W37/K37</f>
        <v>3536.8421052631579</v>
      </c>
      <c r="W37" s="115">
        <f>Y37*0.96</f>
        <v>336000</v>
      </c>
      <c r="X37" s="102">
        <f>Y37/K37</f>
        <v>3684.2105263157896</v>
      </c>
      <c r="Y37" s="102">
        <v>350000</v>
      </c>
      <c r="Z37" s="102">
        <v>360000</v>
      </c>
      <c r="AA37" s="554"/>
      <c r="AB37" s="103">
        <v>45506</v>
      </c>
      <c r="AC37" s="313">
        <v>66000</v>
      </c>
      <c r="AD37" s="313"/>
      <c r="AE37" s="103"/>
      <c r="AF37" s="313"/>
      <c r="AG37" s="103"/>
      <c r="AH37" s="313">
        <v>264000</v>
      </c>
      <c r="AI37" s="95" t="s">
        <v>274</v>
      </c>
      <c r="AJ37" s="95"/>
      <c r="AK37" s="95"/>
      <c r="AL37" s="95"/>
      <c r="AM37" s="95"/>
      <c r="AN37" s="95"/>
      <c r="AO37" s="95"/>
      <c r="AP37" s="95"/>
      <c r="AQ37" s="95"/>
      <c r="AR37" s="95"/>
      <c r="AS37" s="104" t="s">
        <v>17569</v>
      </c>
      <c r="AT37" s="104" t="s">
        <v>517</v>
      </c>
      <c r="AU37" s="104"/>
      <c r="AV37" s="104"/>
      <c r="AW37" s="104"/>
      <c r="AX37" s="104"/>
      <c r="AY37" s="104"/>
      <c r="AZ37" s="104"/>
      <c r="BA37" s="104"/>
      <c r="BB37" s="115">
        <f t="shared" si="11"/>
        <v>304000</v>
      </c>
      <c r="BC37" s="115">
        <v>3200</v>
      </c>
      <c r="BD37" s="115"/>
    </row>
    <row r="38" spans="1:91" s="559" customFormat="1" ht="15.75" thickBot="1">
      <c r="A38" s="95">
        <v>37</v>
      </c>
      <c r="B38" s="384" t="s">
        <v>60</v>
      </c>
      <c r="C38" s="384" t="s">
        <v>358</v>
      </c>
      <c r="D38" s="384" t="s">
        <v>90</v>
      </c>
      <c r="E38" s="384">
        <v>4</v>
      </c>
      <c r="F38" s="384" t="s">
        <v>362</v>
      </c>
      <c r="G38" s="385">
        <v>57</v>
      </c>
      <c r="H38" s="386">
        <v>0</v>
      </c>
      <c r="I38" s="386">
        <v>6</v>
      </c>
      <c r="J38" s="296">
        <v>0</v>
      </c>
      <c r="K38" s="121">
        <f t="shared" si="4"/>
        <v>58.2</v>
      </c>
      <c r="L38" s="98" t="s">
        <v>530</v>
      </c>
      <c r="M38" s="95"/>
      <c r="N38" s="95">
        <v>37</v>
      </c>
      <c r="O38" s="95"/>
      <c r="P38" s="387"/>
      <c r="Q38" s="95" t="s">
        <v>258</v>
      </c>
      <c r="R38" s="298">
        <v>193920</v>
      </c>
      <c r="S38" s="390">
        <f>T38*0.96</f>
        <v>193920</v>
      </c>
      <c r="T38" s="390">
        <v>202000</v>
      </c>
      <c r="U38" s="102">
        <f t="shared" si="8"/>
        <v>3331.9587628865979</v>
      </c>
      <c r="V38" s="102">
        <f t="shared" si="9"/>
        <v>3331.9587628865979</v>
      </c>
      <c r="W38" s="102"/>
      <c r="X38" s="102">
        <f t="shared" si="10"/>
        <v>3470.7903780068727</v>
      </c>
      <c r="Y38" s="102"/>
      <c r="Z38" s="101">
        <f>-(100%-(R38/T38))</f>
        <v>-4.0000000000000036E-2</v>
      </c>
      <c r="AA38" s="554"/>
      <c r="AB38" s="103">
        <v>45097</v>
      </c>
      <c r="AC38" s="313">
        <f>15%*R38</f>
        <v>29088</v>
      </c>
      <c r="AD38" s="313">
        <f>15%*R38</f>
        <v>29088</v>
      </c>
      <c r="AE38" s="103">
        <v>45445</v>
      </c>
      <c r="AF38" s="313"/>
      <c r="AG38" s="103"/>
      <c r="AH38" s="313">
        <f>70%*R38</f>
        <v>135744</v>
      </c>
      <c r="AI38" s="95" t="s">
        <v>103</v>
      </c>
      <c r="AJ38" s="95"/>
      <c r="AK38" s="306">
        <v>0.04</v>
      </c>
      <c r="AL38" s="306"/>
      <c r="AM38" s="306" t="s">
        <v>744</v>
      </c>
      <c r="AN38" s="306" t="s">
        <v>249</v>
      </c>
      <c r="AO38" s="95"/>
      <c r="AP38" s="306" t="s">
        <v>741</v>
      </c>
      <c r="AQ38" s="306" t="s">
        <v>249</v>
      </c>
      <c r="AR38" s="306"/>
      <c r="AS38" s="132" t="s">
        <v>583</v>
      </c>
      <c r="AT38" s="104" t="s">
        <v>265</v>
      </c>
      <c r="AU38" s="104"/>
      <c r="AV38" s="104"/>
      <c r="AW38" s="104"/>
      <c r="AX38" s="104"/>
      <c r="AY38" s="104"/>
      <c r="AZ38" s="132"/>
      <c r="BA38" s="132"/>
      <c r="BB38" s="115">
        <f t="shared" si="11"/>
        <v>186240</v>
      </c>
      <c r="BC38" s="115">
        <v>3200</v>
      </c>
      <c r="BD38" s="115">
        <v>250000</v>
      </c>
      <c r="BE38" s="341"/>
      <c r="BF38" s="341"/>
      <c r="BG38" s="341"/>
      <c r="BH38" s="341"/>
      <c r="BI38" s="341"/>
      <c r="BJ38" s="341"/>
      <c r="BK38" s="341"/>
      <c r="BL38" s="341"/>
      <c r="BM38" s="341"/>
      <c r="BN38" s="341"/>
      <c r="BO38" s="341"/>
      <c r="BP38" s="341"/>
      <c r="BQ38" s="341"/>
      <c r="BR38" s="341"/>
      <c r="BS38" s="341"/>
      <c r="BT38" s="341"/>
      <c r="BU38" s="341"/>
      <c r="BV38" s="341"/>
      <c r="BW38" s="341"/>
      <c r="BX38" s="341"/>
      <c r="BY38" s="341"/>
      <c r="BZ38" s="341"/>
      <c r="CA38" s="341"/>
      <c r="CB38" s="341"/>
      <c r="CC38" s="341"/>
      <c r="CD38" s="341"/>
      <c r="CE38" s="341"/>
      <c r="CF38" s="341"/>
      <c r="CG38" s="341"/>
      <c r="CH38" s="341"/>
      <c r="CI38" s="341"/>
      <c r="CJ38" s="341"/>
      <c r="CK38" s="341"/>
      <c r="CL38" s="341"/>
      <c r="CM38" s="341"/>
    </row>
    <row r="39" spans="1:91" s="559" customFormat="1">
      <c r="A39" s="95">
        <v>38</v>
      </c>
      <c r="B39" s="293" t="s">
        <v>61</v>
      </c>
      <c r="C39" s="293" t="s">
        <v>358</v>
      </c>
      <c r="D39" s="293" t="s">
        <v>89</v>
      </c>
      <c r="E39" s="293">
        <v>5</v>
      </c>
      <c r="F39" s="293" t="s">
        <v>362</v>
      </c>
      <c r="G39" s="294">
        <v>116</v>
      </c>
      <c r="H39" s="295">
        <v>0</v>
      </c>
      <c r="I39" s="295">
        <v>6</v>
      </c>
      <c r="J39" s="296">
        <v>0</v>
      </c>
      <c r="K39" s="121">
        <f t="shared" si="4"/>
        <v>117.2</v>
      </c>
      <c r="L39" s="98" t="s">
        <v>384</v>
      </c>
      <c r="M39" s="95"/>
      <c r="N39" s="95" t="s">
        <v>475</v>
      </c>
      <c r="O39" s="95"/>
      <c r="P39" s="105"/>
      <c r="Q39" s="95" t="s">
        <v>258</v>
      </c>
      <c r="R39" s="1393">
        <v>392000</v>
      </c>
      <c r="S39" s="535">
        <v>398000</v>
      </c>
      <c r="T39" s="115">
        <f>S39*1.04</f>
        <v>413920</v>
      </c>
      <c r="U39" s="102">
        <f t="shared" si="8"/>
        <v>3344.7098976109214</v>
      </c>
      <c r="V39" s="102">
        <f>W39/K39</f>
        <v>3276.4505119453925</v>
      </c>
      <c r="W39" s="115">
        <f>Y39*0.96</f>
        <v>384000</v>
      </c>
      <c r="X39" s="102">
        <f>Y39/K39</f>
        <v>3412.9692832764504</v>
      </c>
      <c r="Y39" s="102">
        <v>400000</v>
      </c>
      <c r="Z39" s="102"/>
      <c r="AA39" s="103">
        <v>45631</v>
      </c>
      <c r="AB39" s="103">
        <v>45664</v>
      </c>
      <c r="AC39" s="313">
        <f>5000+73400</f>
        <v>78400</v>
      </c>
      <c r="AD39" s="313"/>
      <c r="AE39" s="103"/>
      <c r="AF39" s="313"/>
      <c r="AG39" s="103"/>
      <c r="AH39" s="313">
        <v>313600</v>
      </c>
      <c r="AI39" s="95" t="s">
        <v>247</v>
      </c>
      <c r="AJ39" s="95"/>
      <c r="AK39" s="95"/>
      <c r="AL39" s="95"/>
      <c r="AM39" s="95"/>
      <c r="AN39" s="95"/>
      <c r="AO39" s="95"/>
      <c r="AP39" s="95"/>
      <c r="AQ39" s="95"/>
      <c r="AR39" s="95"/>
      <c r="AS39" s="104" t="s">
        <v>17736</v>
      </c>
      <c r="AT39" s="104"/>
      <c r="AU39" s="104"/>
      <c r="AV39" s="104"/>
      <c r="AW39" s="104"/>
      <c r="AX39" s="104" t="s">
        <v>18312</v>
      </c>
      <c r="AY39" s="104">
        <v>964081455</v>
      </c>
      <c r="AZ39" s="104"/>
      <c r="BA39" s="104"/>
      <c r="BB39" s="115">
        <f t="shared" si="11"/>
        <v>375040</v>
      </c>
      <c r="BC39" s="115">
        <v>3200</v>
      </c>
      <c r="BD39" s="115"/>
    </row>
    <row r="40" spans="1:91" s="559" customFormat="1">
      <c r="A40" s="95">
        <v>39</v>
      </c>
      <c r="B40" s="293" t="s">
        <v>62</v>
      </c>
      <c r="C40" s="293" t="s">
        <v>358</v>
      </c>
      <c r="D40" s="293" t="s">
        <v>91</v>
      </c>
      <c r="E40" s="293">
        <v>5</v>
      </c>
      <c r="F40" s="293" t="s">
        <v>361</v>
      </c>
      <c r="G40" s="294">
        <v>107</v>
      </c>
      <c r="H40" s="295">
        <v>18</v>
      </c>
      <c r="I40" s="295">
        <v>0</v>
      </c>
      <c r="J40" s="296">
        <v>0</v>
      </c>
      <c r="K40" s="121">
        <f t="shared" si="4"/>
        <v>112.4</v>
      </c>
      <c r="L40" s="98" t="s">
        <v>429</v>
      </c>
      <c r="M40" s="95"/>
      <c r="N40" s="95" t="s">
        <v>476</v>
      </c>
      <c r="O40" s="95"/>
      <c r="P40" s="99"/>
      <c r="Q40" s="95" t="s">
        <v>258</v>
      </c>
      <c r="R40" s="298">
        <v>351450</v>
      </c>
      <c r="S40" s="115">
        <v>352000</v>
      </c>
      <c r="T40" s="115">
        <f>S40*1.04</f>
        <v>366080</v>
      </c>
      <c r="U40" s="102">
        <f t="shared" si="8"/>
        <v>3126.7793594306049</v>
      </c>
      <c r="V40" s="102">
        <f t="shared" si="9"/>
        <v>3131.6725978647687</v>
      </c>
      <c r="W40" s="102"/>
      <c r="X40" s="102">
        <f t="shared" si="10"/>
        <v>3256.9395017793595</v>
      </c>
      <c r="Y40" s="102"/>
      <c r="Z40" s="101"/>
      <c r="AA40" s="554"/>
      <c r="AB40" s="113">
        <v>45232</v>
      </c>
      <c r="AC40" s="325">
        <v>35145</v>
      </c>
      <c r="AD40" s="325">
        <v>35145</v>
      </c>
      <c r="AE40" s="113">
        <v>45275</v>
      </c>
      <c r="AF40" s="325"/>
      <c r="AG40" s="113"/>
      <c r="AH40" s="325">
        <v>281160</v>
      </c>
      <c r="AI40" s="95" t="s">
        <v>247</v>
      </c>
      <c r="AJ40" s="95"/>
      <c r="AK40" s="95"/>
      <c r="AL40" s="95"/>
      <c r="AM40" s="95"/>
      <c r="AN40" s="95"/>
      <c r="AO40" s="95"/>
      <c r="AP40" s="95"/>
      <c r="AQ40" s="95"/>
      <c r="AR40" s="95"/>
      <c r="AS40" s="104" t="s">
        <v>17232</v>
      </c>
      <c r="AT40" s="104" t="s">
        <v>265</v>
      </c>
      <c r="AU40" s="104"/>
      <c r="AV40" s="104"/>
      <c r="AW40" s="104"/>
      <c r="AX40" s="104"/>
      <c r="AY40" s="104"/>
      <c r="AZ40" s="330"/>
      <c r="BA40" s="330"/>
      <c r="BB40" s="115">
        <f t="shared" si="11"/>
        <v>359680</v>
      </c>
      <c r="BC40" s="115">
        <v>3200</v>
      </c>
      <c r="BD40" s="115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</row>
    <row r="41" spans="1:91" s="559" customFormat="1">
      <c r="A41" s="95">
        <v>40</v>
      </c>
      <c r="B41" s="384" t="s">
        <v>63</v>
      </c>
      <c r="C41" s="384" t="s">
        <v>358</v>
      </c>
      <c r="D41" s="384" t="s">
        <v>90</v>
      </c>
      <c r="E41" s="384">
        <v>5</v>
      </c>
      <c r="F41" s="384" t="s">
        <v>361</v>
      </c>
      <c r="G41" s="385">
        <v>57</v>
      </c>
      <c r="H41" s="386">
        <v>11</v>
      </c>
      <c r="I41" s="386">
        <v>0</v>
      </c>
      <c r="J41" s="296">
        <v>0</v>
      </c>
      <c r="K41" s="121">
        <f t="shared" si="4"/>
        <v>60.3</v>
      </c>
      <c r="L41" s="98" t="s">
        <v>443</v>
      </c>
      <c r="M41" s="95"/>
      <c r="N41" s="95">
        <v>28</v>
      </c>
      <c r="O41" s="95"/>
      <c r="P41" s="388"/>
      <c r="Q41" s="95" t="s">
        <v>258</v>
      </c>
      <c r="R41" s="603">
        <v>219650</v>
      </c>
      <c r="S41" s="115">
        <v>220000</v>
      </c>
      <c r="T41" s="115">
        <f>S41*1.04</f>
        <v>228800</v>
      </c>
      <c r="U41" s="102">
        <f t="shared" si="8"/>
        <v>3642.6202321724713</v>
      </c>
      <c r="V41" s="102">
        <f t="shared" si="9"/>
        <v>3648.4245439469323</v>
      </c>
      <c r="W41" s="102"/>
      <c r="X41" s="102">
        <f t="shared" si="10"/>
        <v>3794.3615257048095</v>
      </c>
      <c r="Y41" s="102"/>
      <c r="Z41" s="101">
        <f>-(100%-(R41/T41))</f>
        <v>-3.9991258741258751E-2</v>
      </c>
      <c r="AA41" s="554"/>
      <c r="AB41" s="103">
        <v>45092</v>
      </c>
      <c r="AC41" s="313">
        <f>20%*R41</f>
        <v>43930</v>
      </c>
      <c r="AD41" s="313"/>
      <c r="AE41" s="103"/>
      <c r="AF41" s="313"/>
      <c r="AG41" s="103"/>
      <c r="AH41" s="313">
        <f>80%*R41</f>
        <v>175720</v>
      </c>
      <c r="AI41" s="95" t="s">
        <v>247</v>
      </c>
      <c r="AJ41" s="95" t="s">
        <v>757</v>
      </c>
      <c r="AK41" s="306">
        <v>0.04</v>
      </c>
      <c r="AL41" s="306"/>
      <c r="AM41" s="306" t="s">
        <v>744</v>
      </c>
      <c r="AN41" s="306" t="s">
        <v>249</v>
      </c>
      <c r="AO41" s="306"/>
      <c r="AP41" s="306" t="s">
        <v>740</v>
      </c>
      <c r="AQ41" s="306" t="s">
        <v>249</v>
      </c>
      <c r="AR41" s="306"/>
      <c r="AS41" s="132" t="s">
        <v>603</v>
      </c>
      <c r="AT41" s="132" t="s">
        <v>565</v>
      </c>
      <c r="AU41" s="132"/>
      <c r="AV41" s="132"/>
      <c r="AW41" s="132"/>
      <c r="AX41" s="132" t="s">
        <v>18313</v>
      </c>
      <c r="AY41" s="132">
        <v>914146240</v>
      </c>
      <c r="AZ41" s="132"/>
      <c r="BA41" s="132"/>
      <c r="BB41" s="115">
        <f t="shared" si="11"/>
        <v>192960</v>
      </c>
      <c r="BC41" s="115">
        <v>3200</v>
      </c>
      <c r="BD41" s="115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</row>
    <row r="42" spans="1:91" s="559" customFormat="1">
      <c r="A42" s="95">
        <v>41</v>
      </c>
      <c r="B42" s="293" t="s">
        <v>64</v>
      </c>
      <c r="C42" s="293" t="s">
        <v>358</v>
      </c>
      <c r="D42" s="293" t="s">
        <v>365</v>
      </c>
      <c r="E42" s="293">
        <v>5</v>
      </c>
      <c r="F42" s="293" t="s">
        <v>363</v>
      </c>
      <c r="G42" s="294">
        <v>107</v>
      </c>
      <c r="H42" s="295">
        <v>8</v>
      </c>
      <c r="I42" s="295">
        <v>0</v>
      </c>
      <c r="J42" s="296">
        <v>0</v>
      </c>
      <c r="K42" s="121">
        <f t="shared" si="4"/>
        <v>109.4</v>
      </c>
      <c r="L42" s="98" t="s">
        <v>417</v>
      </c>
      <c r="M42" s="95"/>
      <c r="N42" s="95" t="s">
        <v>477</v>
      </c>
      <c r="O42" s="95"/>
      <c r="P42" s="99"/>
      <c r="Q42" s="95" t="s">
        <v>258</v>
      </c>
      <c r="R42" s="115">
        <v>384000</v>
      </c>
      <c r="S42" s="115">
        <v>366000</v>
      </c>
      <c r="T42" s="115">
        <f>S42*1.04</f>
        <v>380640</v>
      </c>
      <c r="U42" s="102">
        <f t="shared" si="8"/>
        <v>3510.054844606947</v>
      </c>
      <c r="V42" s="102">
        <f>W42/K42</f>
        <v>3510.054844606947</v>
      </c>
      <c r="W42" s="115">
        <f>Y42*0.96</f>
        <v>384000</v>
      </c>
      <c r="X42" s="102">
        <f>Y42/K42</f>
        <v>3656.3071297989031</v>
      </c>
      <c r="Y42" s="102">
        <v>400000</v>
      </c>
      <c r="Z42" s="101"/>
      <c r="AA42" s="554">
        <v>45483</v>
      </c>
      <c r="AB42" s="103">
        <v>45548</v>
      </c>
      <c r="AC42" s="313">
        <f>5000+71800</f>
        <v>76800</v>
      </c>
      <c r="AD42" s="313"/>
      <c r="AE42" s="103"/>
      <c r="AF42" s="313"/>
      <c r="AG42" s="103"/>
      <c r="AH42" s="313">
        <v>307200</v>
      </c>
      <c r="AI42" s="95" t="s">
        <v>247</v>
      </c>
      <c r="AJ42" s="95"/>
      <c r="AK42" s="95"/>
      <c r="AL42" s="95"/>
      <c r="AM42" s="95"/>
      <c r="AN42" s="95"/>
      <c r="AO42" s="95"/>
      <c r="AP42" s="95"/>
      <c r="AQ42" s="95"/>
      <c r="AR42" s="95"/>
      <c r="AS42" s="104" t="s">
        <v>17519</v>
      </c>
      <c r="AT42" s="104" t="s">
        <v>563</v>
      </c>
      <c r="AU42" s="104"/>
      <c r="AV42" s="104"/>
      <c r="AW42" s="104"/>
      <c r="AX42" s="104"/>
      <c r="AY42" s="104"/>
      <c r="AZ42" s="104"/>
      <c r="BA42" s="104"/>
      <c r="BB42" s="115">
        <f t="shared" si="11"/>
        <v>350080</v>
      </c>
      <c r="BC42" s="115">
        <v>3200</v>
      </c>
      <c r="BD42" s="115"/>
    </row>
    <row r="43" spans="1:91" s="559" customFormat="1">
      <c r="A43" s="95">
        <v>42</v>
      </c>
      <c r="B43" s="293" t="s">
        <v>65</v>
      </c>
      <c r="C43" s="293" t="s">
        <v>358</v>
      </c>
      <c r="D43" s="293" t="s">
        <v>365</v>
      </c>
      <c r="E43" s="293">
        <v>5</v>
      </c>
      <c r="F43" s="293" t="s">
        <v>363</v>
      </c>
      <c r="G43" s="294">
        <v>107</v>
      </c>
      <c r="H43" s="295">
        <v>10</v>
      </c>
      <c r="I43" s="295">
        <v>0</v>
      </c>
      <c r="J43" s="296">
        <v>0</v>
      </c>
      <c r="K43" s="121">
        <f t="shared" si="4"/>
        <v>110</v>
      </c>
      <c r="L43" s="98" t="s">
        <v>416</v>
      </c>
      <c r="M43" s="95"/>
      <c r="N43" s="95" t="s">
        <v>478</v>
      </c>
      <c r="O43" s="95"/>
      <c r="P43" s="105"/>
      <c r="Q43" s="95" t="s">
        <v>258</v>
      </c>
      <c r="R43" s="668">
        <v>395000</v>
      </c>
      <c r="S43" s="115">
        <v>366000</v>
      </c>
      <c r="T43" s="115">
        <f>S43*1.04</f>
        <v>380640</v>
      </c>
      <c r="U43" s="102">
        <f t="shared" si="8"/>
        <v>3590.909090909091</v>
      </c>
      <c r="V43" s="102">
        <f>W43/K43</f>
        <v>3490.909090909091</v>
      </c>
      <c r="W43" s="115">
        <f>Y43*0.96</f>
        <v>384000</v>
      </c>
      <c r="X43" s="102">
        <f>Y43/K43</f>
        <v>3636.3636363636365</v>
      </c>
      <c r="Y43" s="102">
        <v>400000</v>
      </c>
      <c r="Z43" s="101"/>
      <c r="AA43" s="554"/>
      <c r="AB43" s="103">
        <v>45621</v>
      </c>
      <c r="AC43" s="313">
        <v>79000</v>
      </c>
      <c r="AD43" s="313"/>
      <c r="AE43" s="103"/>
      <c r="AF43" s="313"/>
      <c r="AG43" s="103"/>
      <c r="AH43" s="313">
        <v>316000</v>
      </c>
      <c r="AI43" s="95" t="s">
        <v>274</v>
      </c>
      <c r="AJ43" s="95"/>
      <c r="AK43" s="95"/>
      <c r="AL43" s="95"/>
      <c r="AM43" s="95"/>
      <c r="AN43" s="95"/>
      <c r="AO43" s="95"/>
      <c r="AP43" s="95"/>
      <c r="AQ43" s="95"/>
      <c r="AR43" s="95"/>
      <c r="AS43" s="104" t="s">
        <v>17706</v>
      </c>
      <c r="AT43" s="104" t="s">
        <v>517</v>
      </c>
      <c r="AU43" s="104"/>
      <c r="AV43" s="104"/>
      <c r="AW43" s="104"/>
      <c r="AX43" s="104" t="s">
        <v>18314</v>
      </c>
      <c r="AY43" s="104">
        <v>972523831010</v>
      </c>
      <c r="AZ43" s="104"/>
      <c r="BA43" s="104"/>
      <c r="BB43" s="115">
        <f t="shared" si="11"/>
        <v>352000</v>
      </c>
      <c r="BC43" s="115">
        <v>3200</v>
      </c>
      <c r="BD43" s="115">
        <v>427500</v>
      </c>
    </row>
    <row r="44" spans="1:91" s="561" customFormat="1">
      <c r="A44" s="95">
        <v>43</v>
      </c>
      <c r="B44" s="384" t="s">
        <v>66</v>
      </c>
      <c r="C44" s="384" t="s">
        <v>358</v>
      </c>
      <c r="D44" s="384" t="s">
        <v>90</v>
      </c>
      <c r="E44" s="384">
        <v>5</v>
      </c>
      <c r="F44" s="384" t="s">
        <v>361</v>
      </c>
      <c r="G44" s="385">
        <v>57</v>
      </c>
      <c r="H44" s="386">
        <v>12</v>
      </c>
      <c r="I44" s="386">
        <v>0</v>
      </c>
      <c r="J44" s="296">
        <v>0</v>
      </c>
      <c r="K44" s="121">
        <f t="shared" si="4"/>
        <v>60.6</v>
      </c>
      <c r="L44" s="98" t="s">
        <v>444</v>
      </c>
      <c r="M44" s="95"/>
      <c r="N44" s="95">
        <v>27</v>
      </c>
      <c r="O44" s="95"/>
      <c r="P44" s="387"/>
      <c r="Q44" s="95" t="s">
        <v>258</v>
      </c>
      <c r="R44" s="298">
        <v>214000</v>
      </c>
      <c r="S44" s="390">
        <f>T44*0.96</f>
        <v>212160</v>
      </c>
      <c r="T44" s="115">
        <v>221000</v>
      </c>
      <c r="U44" s="102">
        <f t="shared" si="8"/>
        <v>3531.3531353135313</v>
      </c>
      <c r="V44" s="102">
        <f t="shared" si="9"/>
        <v>3500.9900990099009</v>
      </c>
      <c r="W44" s="102"/>
      <c r="X44" s="102">
        <f t="shared" si="10"/>
        <v>3646.8646864686466</v>
      </c>
      <c r="Y44" s="102"/>
      <c r="Z44" s="101">
        <f>-(100%-(R44/T44))</f>
        <v>-3.1674208144796379E-2</v>
      </c>
      <c r="AA44" s="554"/>
      <c r="AB44" s="103">
        <v>45083</v>
      </c>
      <c r="AC44" s="313">
        <f>20%*R44</f>
        <v>42800</v>
      </c>
      <c r="AD44" s="313"/>
      <c r="AE44" s="103"/>
      <c r="AF44" s="313"/>
      <c r="AG44" s="103"/>
      <c r="AH44" s="313">
        <f>80%*R44</f>
        <v>171200</v>
      </c>
      <c r="AI44" s="95" t="s">
        <v>274</v>
      </c>
      <c r="AJ44" s="95"/>
      <c r="AK44" s="306">
        <v>0.04</v>
      </c>
      <c r="AL44" s="306" t="s">
        <v>743</v>
      </c>
      <c r="AM44" s="306"/>
      <c r="AN44" s="306"/>
      <c r="AO44" s="306"/>
      <c r="AP44" s="306"/>
      <c r="AQ44" s="95"/>
      <c r="AR44" s="95"/>
      <c r="AS44" s="104" t="s">
        <v>573</v>
      </c>
      <c r="AT44" s="104" t="s">
        <v>517</v>
      </c>
      <c r="AU44" s="104"/>
      <c r="AV44" s="104"/>
      <c r="AW44" s="104"/>
      <c r="AX44" s="104" t="s">
        <v>18315</v>
      </c>
      <c r="AY44" s="104">
        <v>972505374989</v>
      </c>
      <c r="AZ44" s="104"/>
      <c r="BA44" s="104"/>
      <c r="BB44" s="115">
        <f t="shared" si="11"/>
        <v>193920</v>
      </c>
      <c r="BC44" s="115">
        <v>3200</v>
      </c>
      <c r="BD44" s="115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</row>
    <row r="45" spans="1:91" s="559" customFormat="1">
      <c r="A45" s="95">
        <v>44</v>
      </c>
      <c r="B45" s="293" t="s">
        <v>67</v>
      </c>
      <c r="C45" s="293" t="s">
        <v>358</v>
      </c>
      <c r="D45" s="293" t="s">
        <v>89</v>
      </c>
      <c r="E45" s="293">
        <v>5</v>
      </c>
      <c r="F45" s="293" t="s">
        <v>361</v>
      </c>
      <c r="G45" s="294">
        <v>136</v>
      </c>
      <c r="H45" s="295">
        <v>20</v>
      </c>
      <c r="I45" s="295">
        <v>0</v>
      </c>
      <c r="J45" s="296">
        <v>0</v>
      </c>
      <c r="K45" s="121">
        <f t="shared" si="4"/>
        <v>142</v>
      </c>
      <c r="L45" s="98" t="s">
        <v>385</v>
      </c>
      <c r="M45" s="95"/>
      <c r="N45" s="95" t="s">
        <v>479</v>
      </c>
      <c r="O45" s="95"/>
      <c r="P45" s="105"/>
      <c r="Q45" s="95" t="s">
        <v>258</v>
      </c>
      <c r="R45" s="298">
        <v>464256</v>
      </c>
      <c r="S45" s="454">
        <v>465000</v>
      </c>
      <c r="T45" s="115">
        <f>S45*1.04</f>
        <v>483600</v>
      </c>
      <c r="U45" s="102">
        <f t="shared" si="8"/>
        <v>3269.4084507042253</v>
      </c>
      <c r="V45" s="102">
        <f t="shared" si="9"/>
        <v>3274.6478873239435</v>
      </c>
      <c r="W45" s="102"/>
      <c r="X45" s="102">
        <f t="shared" si="10"/>
        <v>3405.6338028169016</v>
      </c>
      <c r="Y45" s="102"/>
      <c r="Z45" s="101"/>
      <c r="AA45" s="554"/>
      <c r="AB45" s="103">
        <v>45187</v>
      </c>
      <c r="AC45" s="313">
        <v>92851.199999999997</v>
      </c>
      <c r="AD45" s="313"/>
      <c r="AE45" s="103"/>
      <c r="AF45" s="313"/>
      <c r="AG45" s="103"/>
      <c r="AH45" s="313">
        <v>371404.79999999999</v>
      </c>
      <c r="AI45" s="95" t="s">
        <v>247</v>
      </c>
      <c r="AJ45" s="95"/>
      <c r="AK45" s="95"/>
      <c r="AL45" s="95"/>
      <c r="AM45" s="95"/>
      <c r="AN45" s="95"/>
      <c r="AO45" s="95"/>
      <c r="AP45" s="95"/>
      <c r="AQ45" s="95"/>
      <c r="AR45" s="95"/>
      <c r="AS45" s="104" t="s">
        <v>17203</v>
      </c>
      <c r="AT45" s="104" t="s">
        <v>265</v>
      </c>
      <c r="AU45" s="104"/>
      <c r="AV45" s="104"/>
      <c r="AW45" s="104"/>
      <c r="AX45" s="104"/>
      <c r="AY45" s="104">
        <v>932861281</v>
      </c>
      <c r="AZ45" s="104"/>
      <c r="BA45" s="104"/>
      <c r="BB45" s="115">
        <f t="shared" si="11"/>
        <v>454400</v>
      </c>
      <c r="BC45" s="115">
        <v>3200</v>
      </c>
      <c r="BD45" s="115"/>
      <c r="BE45" s="341"/>
      <c r="BF45" s="565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</row>
    <row r="46" spans="1:91" s="559" customFormat="1">
      <c r="A46" s="95">
        <v>45</v>
      </c>
      <c r="B46" s="293" t="s">
        <v>68</v>
      </c>
      <c r="C46" s="293" t="s">
        <v>358</v>
      </c>
      <c r="D46" s="293" t="s">
        <v>91</v>
      </c>
      <c r="E46" s="293">
        <v>5</v>
      </c>
      <c r="F46" s="293" t="s">
        <v>362</v>
      </c>
      <c r="G46" s="294">
        <v>95</v>
      </c>
      <c r="H46" s="295">
        <v>0</v>
      </c>
      <c r="I46" s="295">
        <v>0</v>
      </c>
      <c r="J46" s="296">
        <v>0</v>
      </c>
      <c r="K46" s="121">
        <f t="shared" si="4"/>
        <v>95</v>
      </c>
      <c r="L46" s="98" t="s">
        <v>430</v>
      </c>
      <c r="M46" s="95"/>
      <c r="N46" s="95" t="s">
        <v>480</v>
      </c>
      <c r="O46" s="95"/>
      <c r="P46" s="99"/>
      <c r="Q46" s="95" t="s">
        <v>258</v>
      </c>
      <c r="R46" s="115">
        <v>337350</v>
      </c>
      <c r="S46" s="115">
        <v>331000</v>
      </c>
      <c r="T46" s="115">
        <f>S46*1.04</f>
        <v>344240</v>
      </c>
      <c r="U46" s="102">
        <f t="shared" si="8"/>
        <v>3551.0526315789475</v>
      </c>
      <c r="V46" s="102">
        <f t="shared" si="9"/>
        <v>3484.2105263157896</v>
      </c>
      <c r="W46" s="102"/>
      <c r="X46" s="102">
        <f t="shared" si="10"/>
        <v>3623.5789473684213</v>
      </c>
      <c r="Y46" s="102"/>
      <c r="Z46" s="101"/>
      <c r="AA46" s="554"/>
      <c r="AB46" s="135">
        <v>45219</v>
      </c>
      <c r="AC46" s="326">
        <f>R46*20%</f>
        <v>67470</v>
      </c>
      <c r="AD46" s="326">
        <f>10%*R46</f>
        <v>33735</v>
      </c>
      <c r="AE46" s="135"/>
      <c r="AF46" s="326"/>
      <c r="AG46" s="135"/>
      <c r="AH46" s="326">
        <f>70%*R46</f>
        <v>236144.99999999997</v>
      </c>
      <c r="AI46" s="95" t="s">
        <v>103</v>
      </c>
      <c r="AJ46" s="95"/>
      <c r="AK46" s="95"/>
      <c r="AL46" s="95"/>
      <c r="AM46" s="95"/>
      <c r="AN46" s="95"/>
      <c r="AO46" s="95"/>
      <c r="AP46" s="95"/>
      <c r="AQ46" s="95"/>
      <c r="AR46" s="95"/>
      <c r="AS46" s="132" t="s">
        <v>17218</v>
      </c>
      <c r="AT46" s="132" t="s">
        <v>17219</v>
      </c>
      <c r="AU46" s="132"/>
      <c r="AV46" s="132"/>
      <c r="AW46" s="132"/>
      <c r="AX46" s="132" t="s">
        <v>18316</v>
      </c>
      <c r="AY46" s="132">
        <v>21996634992</v>
      </c>
      <c r="AZ46" s="132"/>
      <c r="BA46" s="132"/>
      <c r="BB46" s="115">
        <f t="shared" si="11"/>
        <v>304000</v>
      </c>
      <c r="BC46" s="115">
        <v>3200</v>
      </c>
      <c r="BD46" s="115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</row>
    <row r="47" spans="1:91" s="559" customFormat="1" ht="15.75" thickBot="1">
      <c r="A47" s="95">
        <v>46</v>
      </c>
      <c r="B47" s="384" t="s">
        <v>69</v>
      </c>
      <c r="C47" s="384" t="s">
        <v>358</v>
      </c>
      <c r="D47" s="384" t="s">
        <v>90</v>
      </c>
      <c r="E47" s="384">
        <v>5</v>
      </c>
      <c r="F47" s="384" t="s">
        <v>362</v>
      </c>
      <c r="G47" s="385">
        <v>57</v>
      </c>
      <c r="H47" s="386">
        <v>0</v>
      </c>
      <c r="I47" s="386">
        <v>6</v>
      </c>
      <c r="J47" s="296">
        <v>0</v>
      </c>
      <c r="K47" s="121">
        <f t="shared" si="4"/>
        <v>58.2</v>
      </c>
      <c r="L47" s="98"/>
      <c r="M47" s="95"/>
      <c r="N47" s="95" t="s">
        <v>455</v>
      </c>
      <c r="O47" s="95"/>
      <c r="P47" s="388"/>
      <c r="Q47" s="95" t="s">
        <v>258</v>
      </c>
      <c r="R47" s="298">
        <v>204672</v>
      </c>
      <c r="S47" s="390">
        <f>T47*0.96</f>
        <v>204672</v>
      </c>
      <c r="T47" s="115">
        <v>213200</v>
      </c>
      <c r="U47" s="102">
        <f t="shared" si="8"/>
        <v>3516.7010309278348</v>
      </c>
      <c r="V47" s="102">
        <f t="shared" si="9"/>
        <v>3516.7010309278348</v>
      </c>
      <c r="W47" s="102"/>
      <c r="X47" s="102">
        <f t="shared" si="10"/>
        <v>3663.2302405498281</v>
      </c>
      <c r="Y47" s="102"/>
      <c r="Z47" s="101">
        <f>-(100%-(R47/T47))</f>
        <v>-4.0000000000000036E-2</v>
      </c>
      <c r="AA47" s="554"/>
      <c r="AB47" s="103">
        <v>45100</v>
      </c>
      <c r="AC47" s="445">
        <f>20%*R47</f>
        <v>40934.400000000001</v>
      </c>
      <c r="AD47" s="313">
        <f>10%*S47</f>
        <v>20467.2</v>
      </c>
      <c r="AE47" s="103">
        <v>45445</v>
      </c>
      <c r="AF47" s="313"/>
      <c r="AG47" s="103"/>
      <c r="AH47" s="313">
        <f>70%*S47</f>
        <v>143270.39999999999</v>
      </c>
      <c r="AI47" s="95" t="s">
        <v>103</v>
      </c>
      <c r="AJ47" s="95"/>
      <c r="AK47" s="306">
        <v>0.04</v>
      </c>
      <c r="AL47" s="306"/>
      <c r="AM47" s="306" t="s">
        <v>746</v>
      </c>
      <c r="AN47" s="95"/>
      <c r="AO47" s="95"/>
      <c r="AP47" s="95" t="s">
        <v>739</v>
      </c>
      <c r="AQ47" s="306" t="s">
        <v>249</v>
      </c>
      <c r="AR47" s="95"/>
      <c r="AS47" s="104" t="s">
        <v>584</v>
      </c>
      <c r="AT47" s="104" t="s">
        <v>265</v>
      </c>
      <c r="AU47" s="104"/>
      <c r="AV47" s="104"/>
      <c r="AW47" s="104"/>
      <c r="AX47" s="104" t="s">
        <v>18317</v>
      </c>
      <c r="AY47" s="104">
        <v>966526637</v>
      </c>
      <c r="AZ47" s="104"/>
      <c r="BA47" s="104"/>
      <c r="BB47" s="115">
        <f t="shared" si="11"/>
        <v>186240</v>
      </c>
      <c r="BC47" s="115">
        <v>3200</v>
      </c>
      <c r="BD47" s="115"/>
      <c r="BE47" s="341"/>
      <c r="BF47" s="341"/>
      <c r="BG47" s="341"/>
      <c r="BH47" s="341"/>
      <c r="BI47" s="341"/>
      <c r="BJ47" s="341"/>
      <c r="BK47" s="341"/>
      <c r="BL47" s="341"/>
      <c r="BM47" s="341"/>
      <c r="BN47" s="341"/>
      <c r="BO47" s="341"/>
      <c r="BP47" s="341"/>
      <c r="BQ47" s="341"/>
      <c r="BR47" s="341"/>
      <c r="BS47" s="341"/>
      <c r="BT47" s="341"/>
      <c r="BU47" s="341"/>
      <c r="BV47" s="341"/>
      <c r="BW47" s="341"/>
      <c r="BX47" s="341"/>
      <c r="BY47" s="341"/>
      <c r="BZ47" s="341"/>
      <c r="CA47" s="341"/>
      <c r="CB47" s="341"/>
      <c r="CC47" s="341"/>
      <c r="CD47" s="341"/>
      <c r="CE47" s="341"/>
      <c r="CF47" s="341"/>
      <c r="CG47" s="341"/>
      <c r="CH47" s="341"/>
      <c r="CI47" s="341"/>
      <c r="CJ47" s="341"/>
      <c r="CK47" s="341"/>
      <c r="CL47" s="341"/>
      <c r="CM47" s="341"/>
    </row>
    <row r="48" spans="1:91" s="559" customFormat="1">
      <c r="A48" s="95">
        <v>47</v>
      </c>
      <c r="B48" s="293" t="s">
        <v>70</v>
      </c>
      <c r="C48" s="293" t="s">
        <v>358</v>
      </c>
      <c r="D48" s="293" t="s">
        <v>89</v>
      </c>
      <c r="E48" s="293">
        <v>6</v>
      </c>
      <c r="F48" s="293" t="s">
        <v>362</v>
      </c>
      <c r="G48" s="294">
        <v>116</v>
      </c>
      <c r="H48" s="295">
        <v>0</v>
      </c>
      <c r="I48" s="295">
        <v>6</v>
      </c>
      <c r="J48" s="296">
        <v>0</v>
      </c>
      <c r="K48" s="121">
        <f t="shared" si="4"/>
        <v>117.2</v>
      </c>
      <c r="L48" s="98" t="s">
        <v>386</v>
      </c>
      <c r="M48" s="95"/>
      <c r="N48" s="95" t="s">
        <v>481</v>
      </c>
      <c r="O48" s="95"/>
      <c r="P48" s="99"/>
      <c r="Q48" s="95" t="s">
        <v>258</v>
      </c>
      <c r="R48" s="1393">
        <v>416500</v>
      </c>
      <c r="S48" s="454">
        <v>403000</v>
      </c>
      <c r="T48" s="115">
        <f>S48*1.04</f>
        <v>419120</v>
      </c>
      <c r="U48" s="102">
        <f t="shared" si="8"/>
        <v>3553.7542662116039</v>
      </c>
      <c r="V48" s="102">
        <f>W48/K48</f>
        <v>3481.2286689419793</v>
      </c>
      <c r="W48" s="115">
        <f>Y48*0.96</f>
        <v>408000</v>
      </c>
      <c r="X48" s="102">
        <f>Y48/K48</f>
        <v>3626.2798634812284</v>
      </c>
      <c r="Y48" s="102">
        <v>425000</v>
      </c>
      <c r="Z48" s="102"/>
      <c r="AA48" s="554"/>
      <c r="AB48" s="103">
        <v>45583</v>
      </c>
      <c r="AC48" s="313">
        <v>83300</v>
      </c>
      <c r="AD48" s="313"/>
      <c r="AE48" s="103"/>
      <c r="AF48" s="313"/>
      <c r="AG48" s="103"/>
      <c r="AH48" s="313">
        <v>333200</v>
      </c>
      <c r="AI48" s="95" t="s">
        <v>247</v>
      </c>
      <c r="AJ48" s="95" t="s">
        <v>17643</v>
      </c>
      <c r="AK48" s="95"/>
      <c r="AL48" s="95"/>
      <c r="AM48" s="95"/>
      <c r="AN48" s="95"/>
      <c r="AO48" s="95"/>
      <c r="AP48" s="95"/>
      <c r="AQ48" s="95"/>
      <c r="AR48" s="95"/>
      <c r="AS48" s="104" t="s">
        <v>17684</v>
      </c>
      <c r="AT48" s="104" t="s">
        <v>265</v>
      </c>
      <c r="AU48" s="104"/>
      <c r="AV48" s="104"/>
      <c r="AW48" s="104"/>
      <c r="AX48" s="104"/>
      <c r="AY48" s="104"/>
      <c r="AZ48" s="104"/>
      <c r="BA48" s="104"/>
      <c r="BB48" s="115">
        <f t="shared" si="11"/>
        <v>375040</v>
      </c>
      <c r="BC48" s="115">
        <v>3200</v>
      </c>
      <c r="BD48" s="115"/>
    </row>
    <row r="49" spans="1:91" s="559" customFormat="1">
      <c r="A49" s="95">
        <v>48</v>
      </c>
      <c r="B49" s="293" t="s">
        <v>71</v>
      </c>
      <c r="C49" s="293" t="s">
        <v>358</v>
      </c>
      <c r="D49" s="293" t="s">
        <v>91</v>
      </c>
      <c r="E49" s="293">
        <v>6</v>
      </c>
      <c r="F49" s="293" t="s">
        <v>361</v>
      </c>
      <c r="G49" s="294">
        <v>107</v>
      </c>
      <c r="H49" s="295">
        <v>13</v>
      </c>
      <c r="I49" s="295">
        <v>0</v>
      </c>
      <c r="J49" s="296">
        <v>0</v>
      </c>
      <c r="K49" s="121">
        <f t="shared" si="4"/>
        <v>110.9</v>
      </c>
      <c r="L49" s="98" t="s">
        <v>452</v>
      </c>
      <c r="M49" s="95"/>
      <c r="N49" s="95" t="s">
        <v>482</v>
      </c>
      <c r="O49" s="95"/>
      <c r="P49" s="105"/>
      <c r="Q49" s="95" t="s">
        <v>258</v>
      </c>
      <c r="R49" s="322">
        <v>341760</v>
      </c>
      <c r="S49" s="322">
        <f>T49*0.96</f>
        <v>341760</v>
      </c>
      <c r="T49" s="322">
        <v>356000</v>
      </c>
      <c r="U49" s="102">
        <f t="shared" si="8"/>
        <v>3081.6952209197475</v>
      </c>
      <c r="V49" s="102">
        <f t="shared" si="9"/>
        <v>3081.6952209197475</v>
      </c>
      <c r="W49" s="102"/>
      <c r="X49" s="102">
        <f t="shared" si="10"/>
        <v>3210.0991884580703</v>
      </c>
      <c r="Y49" s="102"/>
      <c r="Z49" s="101"/>
      <c r="AA49" s="554"/>
      <c r="AB49" s="103">
        <v>45232</v>
      </c>
      <c r="AC49" s="313">
        <v>34176</v>
      </c>
      <c r="AD49" s="313">
        <v>34176</v>
      </c>
      <c r="AE49" s="103"/>
      <c r="AF49" s="313"/>
      <c r="AG49" s="103"/>
      <c r="AH49" s="313">
        <v>273408</v>
      </c>
      <c r="AI49" s="95" t="s">
        <v>247</v>
      </c>
      <c r="AJ49" s="95"/>
      <c r="AK49" s="95"/>
      <c r="AL49" s="95"/>
      <c r="AM49" s="95"/>
      <c r="AN49" s="95"/>
      <c r="AO49" s="95"/>
      <c r="AP49" s="95"/>
      <c r="AQ49" s="95"/>
      <c r="AR49" s="95"/>
      <c r="AS49" s="104" t="s">
        <v>17232</v>
      </c>
      <c r="AT49" s="104" t="s">
        <v>265</v>
      </c>
      <c r="AU49" s="104"/>
      <c r="AV49" s="104"/>
      <c r="AW49" s="104"/>
      <c r="AX49" s="104"/>
      <c r="AY49" s="104"/>
      <c r="AZ49" s="104"/>
      <c r="BA49" s="104"/>
      <c r="BB49" s="115">
        <f t="shared" si="11"/>
        <v>354880</v>
      </c>
      <c r="BC49" s="115">
        <v>3200</v>
      </c>
      <c r="BD49" s="115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</row>
    <row r="50" spans="1:91" s="559" customFormat="1">
      <c r="A50" s="95">
        <v>49</v>
      </c>
      <c r="B50" s="293" t="s">
        <v>72</v>
      </c>
      <c r="C50" s="293" t="s">
        <v>358</v>
      </c>
      <c r="D50" s="293" t="s">
        <v>90</v>
      </c>
      <c r="E50" s="293">
        <v>6</v>
      </c>
      <c r="F50" s="293" t="s">
        <v>361</v>
      </c>
      <c r="G50" s="294">
        <v>57</v>
      </c>
      <c r="H50" s="295">
        <v>13</v>
      </c>
      <c r="I50" s="295">
        <v>0</v>
      </c>
      <c r="J50" s="296">
        <v>0</v>
      </c>
      <c r="K50" s="121">
        <f t="shared" si="4"/>
        <v>60.9</v>
      </c>
      <c r="L50" s="98" t="s">
        <v>446</v>
      </c>
      <c r="M50" s="98"/>
      <c r="N50" s="95">
        <v>25</v>
      </c>
      <c r="O50" s="95"/>
      <c r="P50" s="99"/>
      <c r="Q50" s="95" t="s">
        <v>258</v>
      </c>
      <c r="R50" s="603">
        <v>225600</v>
      </c>
      <c r="S50" s="115">
        <v>225000</v>
      </c>
      <c r="T50" s="115">
        <v>235000</v>
      </c>
      <c r="U50" s="102">
        <f t="shared" si="8"/>
        <v>3704.4334975369461</v>
      </c>
      <c r="V50" s="102">
        <f t="shared" si="9"/>
        <v>3694.5812807881775</v>
      </c>
      <c r="W50" s="102"/>
      <c r="X50" s="102">
        <f t="shared" si="10"/>
        <v>3858.784893267652</v>
      </c>
      <c r="Y50" s="102"/>
      <c r="Z50" s="101"/>
      <c r="AA50" s="554"/>
      <c r="AB50" s="103">
        <v>45118</v>
      </c>
      <c r="AC50" s="313">
        <f>20%*R50</f>
        <v>45120</v>
      </c>
      <c r="AD50" s="313"/>
      <c r="AE50" s="103"/>
      <c r="AF50" s="313"/>
      <c r="AG50" s="103"/>
      <c r="AH50" s="313">
        <f>80%*R50</f>
        <v>180480</v>
      </c>
      <c r="AI50" s="95" t="s">
        <v>247</v>
      </c>
      <c r="AJ50" s="95" t="s">
        <v>756</v>
      </c>
      <c r="AK50" s="306">
        <v>0.04</v>
      </c>
      <c r="AL50" s="95"/>
      <c r="AM50" s="306" t="s">
        <v>746</v>
      </c>
      <c r="AN50" s="95"/>
      <c r="AO50" s="95"/>
      <c r="AP50" s="95" t="s">
        <v>739</v>
      </c>
      <c r="AQ50" s="306" t="s">
        <v>249</v>
      </c>
      <c r="AR50" s="95"/>
      <c r="AS50" s="104" t="s">
        <v>735</v>
      </c>
      <c r="AT50" s="104" t="s">
        <v>265</v>
      </c>
      <c r="AU50" s="104"/>
      <c r="AV50" s="104"/>
      <c r="AW50" s="104"/>
      <c r="AX50" s="104" t="s">
        <v>18318</v>
      </c>
      <c r="AY50" s="104">
        <v>919317152</v>
      </c>
      <c r="AZ50" s="104"/>
      <c r="BA50" s="104"/>
      <c r="BB50" s="115">
        <f t="shared" si="11"/>
        <v>194880</v>
      </c>
      <c r="BC50" s="115">
        <v>3200</v>
      </c>
      <c r="BD50" s="115"/>
      <c r="BE50" s="341"/>
      <c r="BF50" s="341"/>
      <c r="BG50" s="341"/>
      <c r="BH50" s="341"/>
      <c r="BI50" s="341"/>
      <c r="BJ50" s="341"/>
      <c r="BK50" s="341"/>
      <c r="BL50" s="341"/>
      <c r="BM50" s="341"/>
      <c r="BN50" s="341"/>
      <c r="BO50" s="341"/>
      <c r="BP50" s="341"/>
      <c r="BQ50" s="341"/>
      <c r="BR50" s="341"/>
      <c r="BS50" s="341"/>
      <c r="BT50" s="341"/>
      <c r="BU50" s="341"/>
      <c r="BV50" s="341"/>
      <c r="BW50" s="341"/>
      <c r="BX50" s="341"/>
      <c r="BY50" s="341"/>
      <c r="BZ50" s="341"/>
      <c r="CA50" s="341"/>
      <c r="CB50" s="341"/>
      <c r="CC50" s="341"/>
      <c r="CD50" s="341"/>
      <c r="CE50" s="341"/>
      <c r="CF50" s="341"/>
      <c r="CG50" s="341"/>
      <c r="CH50" s="341"/>
      <c r="CI50" s="341"/>
      <c r="CJ50" s="341"/>
      <c r="CK50" s="341"/>
      <c r="CL50" s="341"/>
      <c r="CM50" s="341"/>
    </row>
    <row r="51" spans="1:91" s="559" customFormat="1">
      <c r="A51" s="95">
        <v>50</v>
      </c>
      <c r="B51" s="293" t="s">
        <v>73</v>
      </c>
      <c r="C51" s="293" t="s">
        <v>358</v>
      </c>
      <c r="D51" s="293" t="s">
        <v>365</v>
      </c>
      <c r="E51" s="293">
        <v>6</v>
      </c>
      <c r="F51" s="293" t="s">
        <v>363</v>
      </c>
      <c r="G51" s="294">
        <v>107</v>
      </c>
      <c r="H51" s="295">
        <v>14</v>
      </c>
      <c r="I51" s="295">
        <v>0</v>
      </c>
      <c r="J51" s="296">
        <v>0</v>
      </c>
      <c r="K51" s="121">
        <f t="shared" si="4"/>
        <v>111.2</v>
      </c>
      <c r="L51" s="98" t="s">
        <v>404</v>
      </c>
      <c r="M51" s="98"/>
      <c r="N51" s="95" t="s">
        <v>483</v>
      </c>
      <c r="O51" s="95"/>
      <c r="P51" s="99"/>
      <c r="Q51" s="95" t="s">
        <v>258</v>
      </c>
      <c r="R51" s="668">
        <v>405000</v>
      </c>
      <c r="S51" s="115">
        <v>372000</v>
      </c>
      <c r="T51" s="115">
        <f t="shared" ref="T51:T66" si="12">S51*1.04</f>
        <v>386880</v>
      </c>
      <c r="U51" s="102">
        <f t="shared" si="8"/>
        <v>3642.0863309352517</v>
      </c>
      <c r="V51" s="102">
        <f>W51/K51</f>
        <v>3496.4028776978416</v>
      </c>
      <c r="W51" s="115">
        <f>Y51*0.96</f>
        <v>388800</v>
      </c>
      <c r="X51" s="102">
        <f>Y51/K51</f>
        <v>3642.0863309352517</v>
      </c>
      <c r="Y51" s="102">
        <v>405000</v>
      </c>
      <c r="Z51" s="101"/>
      <c r="AA51" s="554"/>
      <c r="AB51" s="103">
        <v>45321</v>
      </c>
      <c r="AC51" s="313">
        <f>20%*R51</f>
        <v>81000</v>
      </c>
      <c r="AD51" s="313">
        <f>10%*R51</f>
        <v>40500</v>
      </c>
      <c r="AE51" s="103"/>
      <c r="AF51" s="313"/>
      <c r="AG51" s="103"/>
      <c r="AH51" s="313">
        <f>70%*R51</f>
        <v>283500</v>
      </c>
      <c r="AI51" s="95" t="s">
        <v>103</v>
      </c>
      <c r="AJ51" s="95"/>
      <c r="AK51" s="95"/>
      <c r="AL51" s="95"/>
      <c r="AM51" s="95"/>
      <c r="AN51" s="95"/>
      <c r="AO51" s="95"/>
      <c r="AP51" s="95"/>
      <c r="AQ51" s="95"/>
      <c r="AR51" s="95"/>
      <c r="AS51" s="132" t="s">
        <v>17282</v>
      </c>
      <c r="AT51" s="132" t="s">
        <v>17283</v>
      </c>
      <c r="AU51" s="132"/>
      <c r="AV51" s="132"/>
      <c r="AW51" s="132"/>
      <c r="AX51" s="132"/>
      <c r="AY51" s="132"/>
      <c r="AZ51" s="132"/>
      <c r="BA51" s="132"/>
      <c r="BB51" s="115">
        <f t="shared" si="11"/>
        <v>355840</v>
      </c>
      <c r="BC51" s="115">
        <v>3200</v>
      </c>
      <c r="BD51" s="115"/>
      <c r="BE51" s="341"/>
      <c r="BF51" s="341"/>
      <c r="BG51" s="341"/>
      <c r="BH51" s="341"/>
      <c r="BI51" s="341"/>
      <c r="BJ51" s="341"/>
      <c r="BK51" s="341"/>
      <c r="BL51" s="341"/>
      <c r="BM51" s="341"/>
      <c r="BN51" s="341"/>
      <c r="BO51" s="341"/>
      <c r="BP51" s="341"/>
      <c r="BQ51" s="341"/>
      <c r="BR51" s="341"/>
      <c r="BS51" s="341"/>
      <c r="BT51" s="341"/>
      <c r="BU51" s="341"/>
      <c r="BV51" s="341"/>
      <c r="BW51" s="341"/>
      <c r="BX51" s="341"/>
      <c r="BY51" s="341"/>
      <c r="BZ51" s="341"/>
      <c r="CA51" s="341"/>
      <c r="CB51" s="341"/>
      <c r="CC51" s="341"/>
      <c r="CD51" s="341"/>
      <c r="CE51" s="341"/>
      <c r="CF51" s="341"/>
      <c r="CG51" s="341"/>
      <c r="CH51" s="341"/>
      <c r="CI51" s="341"/>
      <c r="CJ51" s="341"/>
      <c r="CK51" s="341"/>
      <c r="CL51" s="341"/>
      <c r="CM51" s="341"/>
    </row>
    <row r="52" spans="1:91" s="559" customFormat="1">
      <c r="A52" s="95">
        <v>51</v>
      </c>
      <c r="B52" s="384" t="s">
        <v>74</v>
      </c>
      <c r="C52" s="384" t="s">
        <v>358</v>
      </c>
      <c r="D52" s="384" t="s">
        <v>365</v>
      </c>
      <c r="E52" s="384">
        <v>6</v>
      </c>
      <c r="F52" s="384" t="s">
        <v>363</v>
      </c>
      <c r="G52" s="385">
        <v>107</v>
      </c>
      <c r="H52" s="386">
        <v>7</v>
      </c>
      <c r="I52" s="386">
        <v>0</v>
      </c>
      <c r="J52" s="296">
        <v>0</v>
      </c>
      <c r="K52" s="121">
        <f t="shared" si="4"/>
        <v>109.1</v>
      </c>
      <c r="L52" s="98" t="s">
        <v>415</v>
      </c>
      <c r="M52" s="95"/>
      <c r="N52" s="95" t="s">
        <v>484</v>
      </c>
      <c r="O52" s="95"/>
      <c r="P52" s="387"/>
      <c r="Q52" s="95" t="s">
        <v>258</v>
      </c>
      <c r="R52" s="298">
        <v>370406</v>
      </c>
      <c r="S52" s="115">
        <v>371000</v>
      </c>
      <c r="T52" s="115">
        <f t="shared" si="12"/>
        <v>385840</v>
      </c>
      <c r="U52" s="102">
        <f t="shared" si="8"/>
        <v>3395.1054078826764</v>
      </c>
      <c r="V52" s="102">
        <f t="shared" si="9"/>
        <v>3400.5499541704858</v>
      </c>
      <c r="W52" s="102"/>
      <c r="X52" s="102">
        <f t="shared" si="10"/>
        <v>3536.5719523373054</v>
      </c>
      <c r="Y52" s="102"/>
      <c r="Z52" s="101"/>
      <c r="AA52" s="554"/>
      <c r="AB52" s="103">
        <v>45097</v>
      </c>
      <c r="AC52" s="313">
        <f>15%*R52</f>
        <v>55560.9</v>
      </c>
      <c r="AD52" s="313">
        <f>15%*R52</f>
        <v>55560.9</v>
      </c>
      <c r="AE52" s="103"/>
      <c r="AF52" s="313"/>
      <c r="AG52" s="103"/>
      <c r="AH52" s="313">
        <f>70%*R52</f>
        <v>259284.19999999998</v>
      </c>
      <c r="AI52" s="95" t="s">
        <v>103</v>
      </c>
      <c r="AJ52" s="95"/>
      <c r="AK52" s="306">
        <v>0.04</v>
      </c>
      <c r="AL52" s="306"/>
      <c r="AM52" s="306" t="s">
        <v>744</v>
      </c>
      <c r="AN52" s="306" t="s">
        <v>249</v>
      </c>
      <c r="AO52" s="95"/>
      <c r="AP52" s="306" t="s">
        <v>741</v>
      </c>
      <c r="AQ52" s="306" t="s">
        <v>249</v>
      </c>
      <c r="AR52" s="306"/>
      <c r="AS52" s="104" t="s">
        <v>17199</v>
      </c>
      <c r="AT52" s="104" t="s">
        <v>265</v>
      </c>
      <c r="AU52" s="104"/>
      <c r="AV52" s="104"/>
      <c r="AW52" s="104"/>
      <c r="AX52" s="104"/>
      <c r="AY52" s="104"/>
      <c r="AZ52" s="104"/>
      <c r="BA52" s="104"/>
      <c r="BB52" s="115">
        <f t="shared" si="11"/>
        <v>349120</v>
      </c>
      <c r="BC52" s="115">
        <v>3200</v>
      </c>
      <c r="BD52" s="115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  <c r="BV52" s="341"/>
      <c r="BW52" s="341"/>
      <c r="BX52" s="341"/>
      <c r="BY52" s="341"/>
      <c r="BZ52" s="341"/>
      <c r="CA52" s="341"/>
      <c r="CB52" s="341"/>
      <c r="CC52" s="341"/>
      <c r="CD52" s="341"/>
      <c r="CE52" s="341"/>
      <c r="CF52" s="341"/>
      <c r="CG52" s="341"/>
      <c r="CH52" s="341"/>
      <c r="CI52" s="341"/>
      <c r="CJ52" s="341"/>
      <c r="CK52" s="341"/>
      <c r="CL52" s="341"/>
      <c r="CM52" s="341"/>
    </row>
    <row r="53" spans="1:91" s="559" customFormat="1" ht="15.75" thickBot="1">
      <c r="A53" s="95">
        <v>52</v>
      </c>
      <c r="B53" s="293" t="s">
        <v>75</v>
      </c>
      <c r="C53" s="293" t="s">
        <v>358</v>
      </c>
      <c r="D53" s="293" t="s">
        <v>90</v>
      </c>
      <c r="E53" s="293">
        <v>6</v>
      </c>
      <c r="F53" s="293" t="s">
        <v>361</v>
      </c>
      <c r="G53" s="294">
        <v>57</v>
      </c>
      <c r="H53" s="295">
        <v>10</v>
      </c>
      <c r="I53" s="295">
        <v>0</v>
      </c>
      <c r="J53" s="296">
        <v>0</v>
      </c>
      <c r="K53" s="121">
        <f t="shared" si="4"/>
        <v>60</v>
      </c>
      <c r="L53" s="98" t="s">
        <v>447</v>
      </c>
      <c r="M53" s="95"/>
      <c r="N53" s="95">
        <v>24</v>
      </c>
      <c r="O53" s="95"/>
      <c r="P53" s="300"/>
      <c r="Q53" s="95" t="s">
        <v>258</v>
      </c>
      <c r="R53" s="603">
        <v>232900</v>
      </c>
      <c r="S53" s="322">
        <v>224000</v>
      </c>
      <c r="T53" s="115">
        <v>235000</v>
      </c>
      <c r="U53" s="102">
        <f t="shared" si="8"/>
        <v>3881.6666666666665</v>
      </c>
      <c r="V53" s="102">
        <f t="shared" si="9"/>
        <v>3733.3333333333335</v>
      </c>
      <c r="W53" s="102"/>
      <c r="X53" s="102">
        <f t="shared" si="10"/>
        <v>3916.6666666666665</v>
      </c>
      <c r="Y53" s="102"/>
      <c r="Z53" s="101">
        <f>-(100%-(R53/T53))</f>
        <v>-8.936170212765937E-3</v>
      </c>
      <c r="AA53" s="554"/>
      <c r="AB53" s="128">
        <v>45106</v>
      </c>
      <c r="AC53" s="275">
        <f>20%*R53</f>
        <v>46580</v>
      </c>
      <c r="AD53" s="275"/>
      <c r="AE53" s="128"/>
      <c r="AF53" s="275"/>
      <c r="AG53" s="128"/>
      <c r="AH53" s="275">
        <f>80%*R53</f>
        <v>186320</v>
      </c>
      <c r="AI53" s="95" t="s">
        <v>274</v>
      </c>
      <c r="AJ53" s="95"/>
      <c r="AK53" s="306">
        <v>0.04</v>
      </c>
      <c r="AL53" s="306"/>
      <c r="AM53" s="306"/>
      <c r="AN53" s="95"/>
      <c r="AO53" s="95"/>
      <c r="AP53" s="95"/>
      <c r="AQ53" s="95"/>
      <c r="AR53" s="95"/>
      <c r="AS53" s="95" t="s">
        <v>574</v>
      </c>
      <c r="AT53" s="104" t="s">
        <v>517</v>
      </c>
      <c r="AU53" s="104"/>
      <c r="AV53" s="104"/>
      <c r="AW53" s="104"/>
      <c r="AX53" s="104"/>
      <c r="AY53" s="104"/>
      <c r="AZ53" s="95"/>
      <c r="BA53" s="95"/>
      <c r="BB53" s="115">
        <f t="shared" si="11"/>
        <v>192000</v>
      </c>
      <c r="BC53" s="115">
        <v>3200</v>
      </c>
      <c r="BD53" s="115"/>
      <c r="BE53" s="341"/>
      <c r="BF53" s="341"/>
      <c r="BG53" s="341"/>
      <c r="BH53" s="341"/>
      <c r="BI53" s="341"/>
      <c r="BJ53" s="341"/>
      <c r="BK53" s="341"/>
      <c r="BL53" s="341"/>
      <c r="BM53" s="341"/>
      <c r="BN53" s="341"/>
      <c r="BO53" s="341"/>
      <c r="BP53" s="341"/>
      <c r="BQ53" s="341"/>
      <c r="BR53" s="341"/>
      <c r="BS53" s="341"/>
      <c r="BT53" s="341"/>
      <c r="BU53" s="341"/>
      <c r="BV53" s="341"/>
      <c r="BW53" s="341"/>
      <c r="BX53" s="341"/>
      <c r="BY53" s="341"/>
      <c r="BZ53" s="341"/>
      <c r="CA53" s="341"/>
      <c r="CB53" s="341"/>
      <c r="CC53" s="341"/>
      <c r="CD53" s="341"/>
      <c r="CE53" s="341"/>
      <c r="CF53" s="341"/>
      <c r="CG53" s="341"/>
      <c r="CH53" s="341"/>
      <c r="CI53" s="341"/>
      <c r="CJ53" s="341"/>
      <c r="CK53" s="341"/>
      <c r="CL53" s="341"/>
      <c r="CM53" s="341"/>
    </row>
    <row r="54" spans="1:91" s="559" customFormat="1">
      <c r="A54" s="95">
        <v>53</v>
      </c>
      <c r="B54" s="293" t="s">
        <v>76</v>
      </c>
      <c r="C54" s="293" t="s">
        <v>358</v>
      </c>
      <c r="D54" s="293" t="s">
        <v>89</v>
      </c>
      <c r="E54" s="293">
        <v>6</v>
      </c>
      <c r="F54" s="293" t="s">
        <v>361</v>
      </c>
      <c r="G54" s="294">
        <v>136</v>
      </c>
      <c r="H54" s="295">
        <v>24</v>
      </c>
      <c r="I54" s="295">
        <v>0</v>
      </c>
      <c r="J54" s="296">
        <v>0</v>
      </c>
      <c r="K54" s="121">
        <f t="shared" si="4"/>
        <v>143.19999999999999</v>
      </c>
      <c r="L54" s="532" t="s">
        <v>387</v>
      </c>
      <c r="M54" s="98"/>
      <c r="N54" s="95" t="s">
        <v>485</v>
      </c>
      <c r="O54" s="95"/>
      <c r="P54" s="232"/>
      <c r="Q54" s="95" t="s">
        <v>258</v>
      </c>
      <c r="R54" s="454">
        <v>484800</v>
      </c>
      <c r="S54" s="454">
        <v>470000</v>
      </c>
      <c r="T54" s="115">
        <f t="shared" si="12"/>
        <v>488800</v>
      </c>
      <c r="U54" s="102">
        <f t="shared" si="8"/>
        <v>3385.4748603351959</v>
      </c>
      <c r="V54" s="102">
        <f>W54/K54</f>
        <v>3385.4748603351959</v>
      </c>
      <c r="W54" s="115">
        <f>Y54*0.96</f>
        <v>484800</v>
      </c>
      <c r="X54" s="102">
        <f>Y54/K54</f>
        <v>3526.5363128491622</v>
      </c>
      <c r="Y54" s="102">
        <v>505000</v>
      </c>
      <c r="Z54" s="101"/>
      <c r="AA54" s="554"/>
      <c r="AB54" s="103">
        <v>45282</v>
      </c>
      <c r="AC54" s="313">
        <v>95500</v>
      </c>
      <c r="AD54" s="313"/>
      <c r="AE54" s="103"/>
      <c r="AF54" s="313"/>
      <c r="AG54" s="103"/>
      <c r="AH54" s="313">
        <v>389300</v>
      </c>
      <c r="AI54" s="95" t="s">
        <v>247</v>
      </c>
      <c r="AJ54" s="95"/>
      <c r="AK54" s="95"/>
      <c r="AL54" s="95"/>
      <c r="AM54" s="95"/>
      <c r="AN54" s="95"/>
      <c r="AO54" s="95"/>
      <c r="AP54" s="95"/>
      <c r="AQ54" s="95"/>
      <c r="AR54" s="95"/>
      <c r="AS54" s="104" t="s">
        <v>17258</v>
      </c>
      <c r="AT54" s="104" t="s">
        <v>265</v>
      </c>
      <c r="AU54" s="104"/>
      <c r="AV54" s="104"/>
      <c r="AW54" s="104"/>
      <c r="AX54" s="104" t="s">
        <v>18319</v>
      </c>
      <c r="AY54" s="104">
        <v>914316165</v>
      </c>
      <c r="AZ54" s="104"/>
      <c r="BA54" s="104"/>
      <c r="BB54" s="115">
        <f t="shared" si="11"/>
        <v>458239.99999999994</v>
      </c>
      <c r="BC54" s="115">
        <v>3200</v>
      </c>
      <c r="BD54" s="115"/>
      <c r="BE54" s="341"/>
      <c r="BF54" s="341"/>
      <c r="BG54" s="341"/>
      <c r="BH54" s="341"/>
      <c r="BI54" s="341"/>
      <c r="BJ54" s="341"/>
      <c r="BK54" s="341"/>
      <c r="BL54" s="341"/>
      <c r="BM54" s="341"/>
      <c r="BN54" s="341"/>
      <c r="BO54" s="341"/>
      <c r="BP54" s="341"/>
      <c r="BQ54" s="341"/>
      <c r="BR54" s="341"/>
      <c r="BS54" s="341"/>
      <c r="BT54" s="341"/>
      <c r="BU54" s="341"/>
      <c r="BV54" s="341"/>
      <c r="BW54" s="341"/>
      <c r="BX54" s="341"/>
      <c r="BY54" s="341"/>
      <c r="BZ54" s="341"/>
      <c r="CA54" s="341"/>
      <c r="CB54" s="341"/>
      <c r="CC54" s="341"/>
      <c r="CD54" s="341"/>
      <c r="CE54" s="341"/>
      <c r="CF54" s="341"/>
      <c r="CG54" s="341"/>
      <c r="CH54" s="341"/>
      <c r="CI54" s="341"/>
      <c r="CJ54" s="341"/>
      <c r="CK54" s="341"/>
      <c r="CL54" s="341"/>
      <c r="CM54" s="341"/>
    </row>
    <row r="55" spans="1:91" s="559" customFormat="1">
      <c r="A55" s="95">
        <v>54</v>
      </c>
      <c r="B55" s="293" t="s">
        <v>77</v>
      </c>
      <c r="C55" s="293" t="s">
        <v>358</v>
      </c>
      <c r="D55" s="293" t="s">
        <v>91</v>
      </c>
      <c r="E55" s="293">
        <v>6</v>
      </c>
      <c r="F55" s="293" t="s">
        <v>362</v>
      </c>
      <c r="G55" s="294">
        <v>95</v>
      </c>
      <c r="H55" s="295">
        <v>0</v>
      </c>
      <c r="I55" s="295">
        <v>0</v>
      </c>
      <c r="J55" s="296">
        <v>0</v>
      </c>
      <c r="K55" s="121">
        <f t="shared" si="4"/>
        <v>95</v>
      </c>
      <c r="L55" s="98" t="s">
        <v>424</v>
      </c>
      <c r="M55" s="95"/>
      <c r="N55" s="95" t="s">
        <v>486</v>
      </c>
      <c r="O55" s="95"/>
      <c r="P55" s="105"/>
      <c r="Q55" s="95" t="s">
        <v>258</v>
      </c>
      <c r="R55" s="668">
        <v>355000</v>
      </c>
      <c r="S55" s="115">
        <v>336000</v>
      </c>
      <c r="T55" s="115">
        <f t="shared" si="12"/>
        <v>349440</v>
      </c>
      <c r="U55" s="102">
        <f t="shared" si="8"/>
        <v>3736.8421052631579</v>
      </c>
      <c r="V55" s="102">
        <f>W55/K55</f>
        <v>3738.9473684210525</v>
      </c>
      <c r="W55" s="115">
        <f>Y55*0.96</f>
        <v>355200</v>
      </c>
      <c r="X55" s="102">
        <f>Y55/K55</f>
        <v>3894.7368421052633</v>
      </c>
      <c r="Y55" s="102">
        <v>370000</v>
      </c>
      <c r="Z55" s="101"/>
      <c r="AA55" s="554"/>
      <c r="AB55" s="103">
        <v>45665</v>
      </c>
      <c r="AC55" s="313">
        <v>71000</v>
      </c>
      <c r="AD55" s="313"/>
      <c r="AE55" s="103"/>
      <c r="AF55" s="313"/>
      <c r="AG55" s="103"/>
      <c r="AH55" s="313">
        <v>284000</v>
      </c>
      <c r="AI55" s="95" t="s">
        <v>274</v>
      </c>
      <c r="AJ55" s="95"/>
      <c r="AK55" s="95"/>
      <c r="AL55" s="95"/>
      <c r="AM55" s="95"/>
      <c r="AN55" s="95"/>
      <c r="AO55" s="95"/>
      <c r="AP55" s="95"/>
      <c r="AQ55" s="95"/>
      <c r="AR55" s="95"/>
      <c r="AS55" s="104" t="s">
        <v>17813</v>
      </c>
      <c r="AT55" s="104" t="s">
        <v>265</v>
      </c>
      <c r="AU55" s="104"/>
      <c r="AV55" s="104"/>
      <c r="AW55" s="104"/>
      <c r="AX55" s="104" t="s">
        <v>18320</v>
      </c>
      <c r="AY55" s="104">
        <v>972525976688</v>
      </c>
      <c r="AZ55" s="104"/>
      <c r="BA55" s="104"/>
      <c r="BB55" s="115">
        <f t="shared" si="11"/>
        <v>304000</v>
      </c>
      <c r="BC55" s="115">
        <v>3200</v>
      </c>
      <c r="BD55" s="115"/>
    </row>
    <row r="56" spans="1:91" s="559" customFormat="1" ht="15.75" thickBot="1">
      <c r="A56" s="95">
        <v>55</v>
      </c>
      <c r="B56" s="293" t="s">
        <v>78</v>
      </c>
      <c r="C56" s="293" t="s">
        <v>358</v>
      </c>
      <c r="D56" s="293" t="s">
        <v>90</v>
      </c>
      <c r="E56" s="293">
        <v>6</v>
      </c>
      <c r="F56" s="293" t="s">
        <v>362</v>
      </c>
      <c r="G56" s="294">
        <v>57</v>
      </c>
      <c r="H56" s="295">
        <v>0</v>
      </c>
      <c r="I56" s="295">
        <v>6</v>
      </c>
      <c r="J56" s="296">
        <v>0</v>
      </c>
      <c r="K56" s="121">
        <f t="shared" si="4"/>
        <v>58.2</v>
      </c>
      <c r="L56" s="98" t="s">
        <v>448</v>
      </c>
      <c r="M56" s="95"/>
      <c r="N56" s="95">
        <v>23</v>
      </c>
      <c r="O56" s="95"/>
      <c r="P56" s="99"/>
      <c r="Q56" s="95" t="s">
        <v>258</v>
      </c>
      <c r="R56" s="322">
        <v>205440</v>
      </c>
      <c r="S56" s="322">
        <v>209000</v>
      </c>
      <c r="T56" s="115">
        <v>214000</v>
      </c>
      <c r="U56" s="102">
        <f t="shared" si="8"/>
        <v>3529.8969072164946</v>
      </c>
      <c r="V56" s="102">
        <f t="shared" si="9"/>
        <v>3591.0652920962198</v>
      </c>
      <c r="W56" s="102"/>
      <c r="X56" s="102">
        <f t="shared" si="10"/>
        <v>3676.9759450171819</v>
      </c>
      <c r="Y56" s="102"/>
      <c r="Z56" s="101">
        <f>-(100%-(R56/T56))</f>
        <v>-4.0000000000000036E-2</v>
      </c>
      <c r="AA56" s="554"/>
      <c r="AB56" s="103">
        <v>45140</v>
      </c>
      <c r="AC56" s="313">
        <v>41088</v>
      </c>
      <c r="AD56" s="313"/>
      <c r="AE56" s="103"/>
      <c r="AF56" s="313"/>
      <c r="AG56" s="103"/>
      <c r="AH56" s="313">
        <v>164352</v>
      </c>
      <c r="AI56" s="95" t="s">
        <v>247</v>
      </c>
      <c r="AJ56" s="95" t="s">
        <v>765</v>
      </c>
      <c r="AK56" s="306">
        <v>0.04</v>
      </c>
      <c r="AL56" s="95"/>
      <c r="AM56" s="95"/>
      <c r="AN56" s="95"/>
      <c r="AO56" s="95"/>
      <c r="AP56" s="95"/>
      <c r="AQ56" s="95"/>
      <c r="AR56" s="95"/>
      <c r="AS56" s="104" t="s">
        <v>764</v>
      </c>
      <c r="AT56" s="104" t="s">
        <v>265</v>
      </c>
      <c r="AU56" s="104"/>
      <c r="AV56" s="104"/>
      <c r="AW56" s="104"/>
      <c r="AX56" s="104"/>
      <c r="AY56" s="104"/>
      <c r="AZ56" s="104"/>
      <c r="BA56" s="104"/>
      <c r="BB56" s="115">
        <f t="shared" si="11"/>
        <v>186240</v>
      </c>
      <c r="BC56" s="115">
        <v>3200</v>
      </c>
      <c r="BD56" s="115"/>
      <c r="BE56" s="341"/>
      <c r="BF56" s="341"/>
      <c r="BG56" s="341"/>
      <c r="BH56" s="341"/>
      <c r="BI56" s="341"/>
      <c r="BJ56" s="341"/>
      <c r="BK56" s="341"/>
      <c r="BL56" s="341"/>
      <c r="BM56" s="341"/>
      <c r="BN56" s="341"/>
      <c r="BO56" s="341"/>
      <c r="BP56" s="341"/>
      <c r="BQ56" s="341"/>
      <c r="BR56" s="341"/>
      <c r="BS56" s="341"/>
      <c r="BT56" s="341"/>
      <c r="BU56" s="341"/>
      <c r="BV56" s="341"/>
      <c r="BW56" s="341"/>
      <c r="BX56" s="341"/>
      <c r="BY56" s="341"/>
      <c r="BZ56" s="341"/>
      <c r="CA56" s="341"/>
      <c r="CB56" s="341"/>
      <c r="CC56" s="341"/>
      <c r="CD56" s="341"/>
      <c r="CE56" s="341"/>
      <c r="CF56" s="341"/>
      <c r="CG56" s="341"/>
      <c r="CH56" s="341"/>
      <c r="CI56" s="341"/>
      <c r="CJ56" s="341"/>
      <c r="CK56" s="341"/>
      <c r="CL56" s="341"/>
      <c r="CM56" s="341"/>
    </row>
    <row r="57" spans="1:91" s="559" customFormat="1">
      <c r="A57" s="95">
        <v>56</v>
      </c>
      <c r="B57" s="293" t="s">
        <v>79</v>
      </c>
      <c r="C57" s="293" t="s">
        <v>358</v>
      </c>
      <c r="D57" s="293" t="s">
        <v>89</v>
      </c>
      <c r="E57" s="293">
        <v>7</v>
      </c>
      <c r="F57" s="293" t="s">
        <v>362</v>
      </c>
      <c r="G57" s="294">
        <v>116</v>
      </c>
      <c r="H57" s="295">
        <v>0</v>
      </c>
      <c r="I57" s="295">
        <v>6</v>
      </c>
      <c r="J57" s="296">
        <v>0</v>
      </c>
      <c r="K57" s="121">
        <f t="shared" si="4"/>
        <v>117.2</v>
      </c>
      <c r="L57" s="98" t="s">
        <v>388</v>
      </c>
      <c r="M57" s="98"/>
      <c r="N57" s="95" t="s">
        <v>487</v>
      </c>
      <c r="O57" s="95"/>
      <c r="P57" s="105"/>
      <c r="Q57" s="95" t="s">
        <v>258</v>
      </c>
      <c r="R57" s="1393">
        <v>375000</v>
      </c>
      <c r="S57" s="535">
        <v>408000</v>
      </c>
      <c r="T57" s="115">
        <f t="shared" si="12"/>
        <v>424320</v>
      </c>
      <c r="U57" s="102">
        <f t="shared" si="8"/>
        <v>3199.6587030716723</v>
      </c>
      <c r="V57" s="102">
        <f>W57/K57</f>
        <v>3522.1843003412969</v>
      </c>
      <c r="W57" s="115">
        <f>Y57*0.96</f>
        <v>412800</v>
      </c>
      <c r="X57" s="102">
        <f>Y57/K57</f>
        <v>3668.9419795221843</v>
      </c>
      <c r="Y57" s="102">
        <v>430000</v>
      </c>
      <c r="Z57" s="102"/>
      <c r="AA57" s="554"/>
      <c r="AB57" s="103">
        <v>45643</v>
      </c>
      <c r="AC57" s="313">
        <f>375000*20%</f>
        <v>75000</v>
      </c>
      <c r="AD57" s="313"/>
      <c r="AE57" s="103"/>
      <c r="AF57" s="313"/>
      <c r="AG57" s="103"/>
      <c r="AH57" s="313">
        <f>80%*375000</f>
        <v>300000</v>
      </c>
      <c r="AI57" s="95" t="s">
        <v>247</v>
      </c>
      <c r="AJ57" s="95"/>
      <c r="AK57" s="95"/>
      <c r="AL57" s="95"/>
      <c r="AM57" s="95"/>
      <c r="AN57" s="95"/>
      <c r="AO57" s="95"/>
      <c r="AP57" s="95"/>
      <c r="AQ57" s="95"/>
      <c r="AR57" s="95"/>
      <c r="AS57" s="104" t="s">
        <v>17678</v>
      </c>
      <c r="AT57" s="104" t="s">
        <v>563</v>
      </c>
      <c r="AU57" s="104"/>
      <c r="AV57" s="104"/>
      <c r="AW57" s="104"/>
      <c r="AX57" s="104" t="s">
        <v>18321</v>
      </c>
      <c r="AY57" s="104">
        <v>913060631</v>
      </c>
      <c r="AZ57" s="104"/>
      <c r="BA57" s="104"/>
      <c r="BB57" s="115">
        <f t="shared" si="11"/>
        <v>375040</v>
      </c>
      <c r="BC57" s="115">
        <v>3200</v>
      </c>
      <c r="BD57" s="115"/>
    </row>
    <row r="58" spans="1:91" s="559" customFormat="1">
      <c r="A58" s="95">
        <v>57</v>
      </c>
      <c r="B58" s="293" t="s">
        <v>80</v>
      </c>
      <c r="C58" s="293" t="s">
        <v>358</v>
      </c>
      <c r="D58" s="293" t="s">
        <v>91</v>
      </c>
      <c r="E58" s="293">
        <v>7</v>
      </c>
      <c r="F58" s="293" t="s">
        <v>361</v>
      </c>
      <c r="G58" s="294">
        <v>107</v>
      </c>
      <c r="H58" s="295">
        <v>19</v>
      </c>
      <c r="I58" s="295">
        <v>0</v>
      </c>
      <c r="J58" s="296">
        <v>0</v>
      </c>
      <c r="K58" s="121">
        <f t="shared" si="4"/>
        <v>112.7</v>
      </c>
      <c r="L58" s="98" t="s">
        <v>445</v>
      </c>
      <c r="M58" s="95"/>
      <c r="N58" s="95">
        <v>26</v>
      </c>
      <c r="O58" s="95"/>
      <c r="P58" s="99"/>
      <c r="Q58" s="95" t="s">
        <v>258</v>
      </c>
      <c r="R58" s="298">
        <v>363000</v>
      </c>
      <c r="S58" s="322">
        <v>363000</v>
      </c>
      <c r="T58" s="115">
        <f t="shared" si="12"/>
        <v>377520</v>
      </c>
      <c r="U58" s="102">
        <f t="shared" si="8"/>
        <v>3220.9405501330966</v>
      </c>
      <c r="V58" s="102">
        <f t="shared" si="9"/>
        <v>3220.9405501330966</v>
      </c>
      <c r="W58" s="102"/>
      <c r="X58" s="102">
        <f t="shared" si="10"/>
        <v>3349.7781721384204</v>
      </c>
      <c r="Y58" s="102"/>
      <c r="Z58" s="101">
        <f>-(100%-(R58/T58))</f>
        <v>-3.8461538461538436E-2</v>
      </c>
      <c r="AA58" s="554"/>
      <c r="AB58" s="113">
        <v>45232</v>
      </c>
      <c r="AC58" s="325">
        <v>54450</v>
      </c>
      <c r="AD58" s="325"/>
      <c r="AE58" s="113"/>
      <c r="AF58" s="325"/>
      <c r="AG58" s="113"/>
      <c r="AH58" s="325">
        <v>308550</v>
      </c>
      <c r="AI58" s="95" t="s">
        <v>274</v>
      </c>
      <c r="AJ58" s="95"/>
      <c r="AK58" s="95"/>
      <c r="AL58" s="95"/>
      <c r="AM58" s="95"/>
      <c r="AN58" s="95"/>
      <c r="AO58" s="95"/>
      <c r="AP58" s="95"/>
      <c r="AQ58" s="95"/>
      <c r="AR58" s="95"/>
      <c r="AS58" s="95" t="s">
        <v>17187</v>
      </c>
      <c r="AT58" s="104" t="s">
        <v>517</v>
      </c>
      <c r="AU58" s="104"/>
      <c r="AV58" s="104"/>
      <c r="AW58" s="104"/>
      <c r="AX58" s="104" t="s">
        <v>18322</v>
      </c>
      <c r="AY58" s="104">
        <v>972523570602</v>
      </c>
      <c r="AZ58" s="112"/>
      <c r="BA58" s="112"/>
      <c r="BB58" s="115">
        <f t="shared" si="11"/>
        <v>360640</v>
      </c>
      <c r="BC58" s="115">
        <v>3200</v>
      </c>
      <c r="BD58" s="115"/>
      <c r="BE58" s="341"/>
      <c r="BF58" s="341"/>
      <c r="BG58" s="341"/>
      <c r="BH58" s="341"/>
      <c r="BI58" s="341"/>
      <c r="BJ58" s="341"/>
      <c r="BK58" s="341"/>
      <c r="BL58" s="341"/>
      <c r="BM58" s="341"/>
      <c r="BN58" s="341"/>
      <c r="BO58" s="341"/>
      <c r="BP58" s="341"/>
      <c r="BQ58" s="341"/>
      <c r="BR58" s="341"/>
      <c r="BS58" s="341"/>
      <c r="BT58" s="341"/>
      <c r="BU58" s="341"/>
      <c r="BV58" s="341"/>
      <c r="BW58" s="341"/>
      <c r="BX58" s="341"/>
      <c r="BY58" s="341"/>
      <c r="BZ58" s="341"/>
      <c r="CA58" s="341"/>
      <c r="CB58" s="341"/>
      <c r="CC58" s="341"/>
      <c r="CD58" s="341"/>
      <c r="CE58" s="341"/>
      <c r="CF58" s="341"/>
      <c r="CG58" s="341"/>
      <c r="CH58" s="341"/>
      <c r="CI58" s="341"/>
      <c r="CJ58" s="341"/>
      <c r="CK58" s="341"/>
      <c r="CL58" s="341"/>
      <c r="CM58" s="341"/>
    </row>
    <row r="59" spans="1:91" s="559" customFormat="1">
      <c r="A59" s="95">
        <v>58</v>
      </c>
      <c r="B59" s="293" t="s">
        <v>81</v>
      </c>
      <c r="C59" s="293" t="s">
        <v>358</v>
      </c>
      <c r="D59" s="293" t="s">
        <v>90</v>
      </c>
      <c r="E59" s="293">
        <v>7</v>
      </c>
      <c r="F59" s="293" t="s">
        <v>361</v>
      </c>
      <c r="G59" s="294">
        <v>57</v>
      </c>
      <c r="H59" s="295">
        <v>11</v>
      </c>
      <c r="I59" s="295">
        <v>0</v>
      </c>
      <c r="J59" s="296">
        <v>0</v>
      </c>
      <c r="K59" s="121">
        <f t="shared" si="4"/>
        <v>60.3</v>
      </c>
      <c r="L59" s="98" t="s">
        <v>449</v>
      </c>
      <c r="M59" s="98"/>
      <c r="N59" s="95">
        <v>22</v>
      </c>
      <c r="O59" s="95"/>
      <c r="P59" s="105"/>
      <c r="Q59" s="95" t="s">
        <v>258</v>
      </c>
      <c r="R59" s="115">
        <v>230400</v>
      </c>
      <c r="S59" s="115">
        <v>229000</v>
      </c>
      <c r="T59" s="115">
        <v>240000</v>
      </c>
      <c r="U59" s="102">
        <f t="shared" si="8"/>
        <v>3820.8955223880598</v>
      </c>
      <c r="V59" s="102">
        <f t="shared" si="9"/>
        <v>3797.6782752902159</v>
      </c>
      <c r="W59" s="102"/>
      <c r="X59" s="102">
        <f t="shared" si="10"/>
        <v>3980.0995024875624</v>
      </c>
      <c r="Y59" s="102"/>
      <c r="Z59" s="101">
        <f>-(100%-(R59/T59))</f>
        <v>-4.0000000000000036E-2</v>
      </c>
      <c r="AA59" s="554"/>
      <c r="AB59" s="103">
        <v>45126</v>
      </c>
      <c r="AC59" s="313">
        <v>46080</v>
      </c>
      <c r="AD59" s="313"/>
      <c r="AE59" s="103"/>
      <c r="AF59" s="313"/>
      <c r="AG59" s="103"/>
      <c r="AH59" s="313">
        <v>184320</v>
      </c>
      <c r="AI59" s="95" t="s">
        <v>247</v>
      </c>
      <c r="AJ59" s="95" t="s">
        <v>253</v>
      </c>
      <c r="AK59" s="306">
        <v>0.04</v>
      </c>
      <c r="AL59" s="95"/>
      <c r="AM59" s="306" t="s">
        <v>746</v>
      </c>
      <c r="AN59" s="95"/>
      <c r="AO59" s="95"/>
      <c r="AP59" s="95" t="s">
        <v>739</v>
      </c>
      <c r="AQ59" s="306" t="s">
        <v>249</v>
      </c>
      <c r="AR59" s="95"/>
      <c r="AS59" s="104" t="s">
        <v>732</v>
      </c>
      <c r="AT59" s="671" t="s">
        <v>730</v>
      </c>
      <c r="AU59" s="671"/>
      <c r="AV59" s="671"/>
      <c r="AW59" s="671"/>
      <c r="AX59" s="671" t="s">
        <v>18323</v>
      </c>
      <c r="AY59" s="671">
        <v>2.7463718727495312</v>
      </c>
      <c r="AZ59" s="104"/>
      <c r="BA59" s="104"/>
      <c r="BB59" s="115">
        <f t="shared" si="11"/>
        <v>192960</v>
      </c>
      <c r="BC59" s="115">
        <v>3200</v>
      </c>
      <c r="BD59" s="115"/>
      <c r="BE59" s="341"/>
      <c r="BF59" s="341"/>
      <c r="BG59" s="341"/>
      <c r="BH59" s="341"/>
      <c r="BI59" s="341"/>
      <c r="BJ59" s="341"/>
      <c r="BK59" s="341"/>
      <c r="BL59" s="341"/>
      <c r="BM59" s="341"/>
      <c r="BN59" s="341"/>
      <c r="BO59" s="341"/>
      <c r="BP59" s="341"/>
      <c r="BQ59" s="341"/>
      <c r="BR59" s="341"/>
      <c r="BS59" s="341"/>
      <c r="BT59" s="341"/>
      <c r="BU59" s="341"/>
      <c r="BV59" s="341"/>
      <c r="BW59" s="341"/>
      <c r="BX59" s="341"/>
      <c r="BY59" s="341"/>
      <c r="BZ59" s="341"/>
      <c r="CA59" s="341"/>
      <c r="CB59" s="341"/>
      <c r="CC59" s="341"/>
      <c r="CD59" s="341"/>
      <c r="CE59" s="341"/>
      <c r="CF59" s="341"/>
      <c r="CG59" s="341"/>
      <c r="CH59" s="341"/>
      <c r="CI59" s="341"/>
      <c r="CJ59" s="341"/>
      <c r="CK59" s="341"/>
      <c r="CL59" s="341"/>
      <c r="CM59" s="341"/>
    </row>
    <row r="60" spans="1:91" s="559" customFormat="1">
      <c r="A60" s="95">
        <v>59</v>
      </c>
      <c r="B60" s="293" t="s">
        <v>82</v>
      </c>
      <c r="C60" s="293" t="s">
        <v>358</v>
      </c>
      <c r="D60" s="293" t="s">
        <v>365</v>
      </c>
      <c r="E60" s="293">
        <v>7</v>
      </c>
      <c r="F60" s="293" t="s">
        <v>363</v>
      </c>
      <c r="G60" s="294">
        <v>107</v>
      </c>
      <c r="H60" s="295">
        <v>9</v>
      </c>
      <c r="I60" s="295">
        <v>0</v>
      </c>
      <c r="J60" s="296">
        <v>0</v>
      </c>
      <c r="K60" s="121">
        <f t="shared" si="4"/>
        <v>109.7</v>
      </c>
      <c r="L60" s="98" t="s">
        <v>406</v>
      </c>
      <c r="M60" s="98"/>
      <c r="N60" s="95" t="s">
        <v>488</v>
      </c>
      <c r="O60" s="95"/>
      <c r="P60" s="99"/>
      <c r="Q60" s="95" t="s">
        <v>258</v>
      </c>
      <c r="R60" s="668">
        <f>W60</f>
        <v>393600</v>
      </c>
      <c r="S60" s="115">
        <v>376000</v>
      </c>
      <c r="T60" s="115">
        <f t="shared" si="12"/>
        <v>391040</v>
      </c>
      <c r="U60" s="102">
        <f t="shared" si="8"/>
        <v>3587.9671832269828</v>
      </c>
      <c r="V60" s="102">
        <f>W60/K60</f>
        <v>3587.9671832269828</v>
      </c>
      <c r="W60" s="115">
        <f>Y60*0.96</f>
        <v>393600</v>
      </c>
      <c r="X60" s="102">
        <f>Y60/K60</f>
        <v>3737.4658158614402</v>
      </c>
      <c r="Y60" s="102">
        <v>410000</v>
      </c>
      <c r="Z60" s="101"/>
      <c r="AA60" s="554"/>
      <c r="AB60" s="113">
        <v>45456</v>
      </c>
      <c r="AC60" s="325">
        <f>20%*R60</f>
        <v>78720</v>
      </c>
      <c r="AD60" s="1492">
        <v>50000</v>
      </c>
      <c r="AE60" s="1493">
        <v>45665</v>
      </c>
      <c r="AF60" s="325">
        <v>60000</v>
      </c>
      <c r="AG60" s="113">
        <v>45698</v>
      </c>
      <c r="AH60" s="325">
        <f>R60-AC60-AD60-AF60</f>
        <v>204880</v>
      </c>
      <c r="AI60" s="95" t="s">
        <v>247</v>
      </c>
      <c r="AJ60" s="95"/>
      <c r="AK60" s="95"/>
      <c r="AL60" s="95"/>
      <c r="AM60" s="95"/>
      <c r="AN60" s="95"/>
      <c r="AO60" s="95"/>
      <c r="AP60" s="95"/>
      <c r="AQ60" s="95"/>
      <c r="AR60" s="95"/>
      <c r="AS60" s="330" t="s">
        <v>17501</v>
      </c>
      <c r="AT60" s="330" t="s">
        <v>265</v>
      </c>
      <c r="AU60" s="330"/>
      <c r="AV60" s="330"/>
      <c r="AW60" s="330"/>
      <c r="AX60" s="330" t="s">
        <v>18324</v>
      </c>
      <c r="AY60" s="330">
        <v>5598126</v>
      </c>
      <c r="AZ60" s="330"/>
      <c r="BA60" s="330"/>
      <c r="BB60" s="115">
        <f t="shared" si="11"/>
        <v>351040</v>
      </c>
      <c r="BC60" s="115">
        <v>3200</v>
      </c>
      <c r="BD60" s="115"/>
    </row>
    <row r="61" spans="1:91" s="559" customFormat="1">
      <c r="A61" s="95">
        <v>60</v>
      </c>
      <c r="B61" s="293" t="s">
        <v>83</v>
      </c>
      <c r="C61" s="293" t="s">
        <v>358</v>
      </c>
      <c r="D61" s="293" t="s">
        <v>365</v>
      </c>
      <c r="E61" s="293">
        <v>7</v>
      </c>
      <c r="F61" s="293" t="s">
        <v>363</v>
      </c>
      <c r="G61" s="294">
        <v>107</v>
      </c>
      <c r="H61" s="295">
        <v>10</v>
      </c>
      <c r="I61" s="295">
        <v>0</v>
      </c>
      <c r="J61" s="296">
        <v>0</v>
      </c>
      <c r="K61" s="121">
        <f t="shared" si="4"/>
        <v>110</v>
      </c>
      <c r="L61" s="98" t="s">
        <v>407</v>
      </c>
      <c r="M61" s="98"/>
      <c r="N61" s="95" t="s">
        <v>489</v>
      </c>
      <c r="O61" s="95"/>
      <c r="P61" s="105"/>
      <c r="Q61" s="95" t="s">
        <v>258</v>
      </c>
      <c r="R61" s="298">
        <v>375398</v>
      </c>
      <c r="S61" s="115">
        <v>376000</v>
      </c>
      <c r="T61" s="115">
        <f t="shared" si="12"/>
        <v>391040</v>
      </c>
      <c r="U61" s="102">
        <f t="shared" si="8"/>
        <v>3412.7090909090907</v>
      </c>
      <c r="V61" s="102">
        <f t="shared" si="9"/>
        <v>3418.181818181818</v>
      </c>
      <c r="W61" s="102"/>
      <c r="X61" s="102">
        <f t="shared" si="10"/>
        <v>3554.909090909091</v>
      </c>
      <c r="Y61" s="102"/>
      <c r="Z61" s="101"/>
      <c r="AA61" s="554"/>
      <c r="AB61" s="103">
        <v>45240</v>
      </c>
      <c r="AC61" s="313">
        <v>56309.7</v>
      </c>
      <c r="AD61" s="313">
        <v>18769.900000000001</v>
      </c>
      <c r="AE61" s="103">
        <v>45443</v>
      </c>
      <c r="AF61" s="313"/>
      <c r="AG61" s="103"/>
      <c r="AH61" s="313">
        <v>300318.40000000002</v>
      </c>
      <c r="AI61" s="95" t="s">
        <v>247</v>
      </c>
      <c r="AJ61" s="95" t="s">
        <v>765</v>
      </c>
      <c r="AK61" s="95"/>
      <c r="AL61" s="95"/>
      <c r="AM61" s="95"/>
      <c r="AN61" s="95"/>
      <c r="AO61" s="95"/>
      <c r="AP61" s="95"/>
      <c r="AQ61" s="95"/>
      <c r="AR61" s="95"/>
      <c r="AS61" s="330" t="s">
        <v>17241</v>
      </c>
      <c r="AT61" s="104" t="s">
        <v>265</v>
      </c>
      <c r="AU61" s="104"/>
      <c r="AV61" s="104"/>
      <c r="AW61" s="104"/>
      <c r="AX61" s="104" t="s">
        <v>18325</v>
      </c>
      <c r="AY61" s="104">
        <v>919696302</v>
      </c>
      <c r="AZ61" s="104"/>
      <c r="BA61" s="104"/>
      <c r="BB61" s="115">
        <f t="shared" si="11"/>
        <v>352000</v>
      </c>
      <c r="BC61" s="115">
        <v>3200</v>
      </c>
      <c r="BD61" s="115"/>
      <c r="BE61" s="341"/>
      <c r="BF61" s="341"/>
      <c r="BG61" s="341"/>
      <c r="BH61" s="341"/>
      <c r="BI61" s="341"/>
      <c r="BJ61" s="341"/>
      <c r="BK61" s="341"/>
      <c r="BL61" s="341"/>
      <c r="BM61" s="341"/>
      <c r="BN61" s="341"/>
      <c r="BO61" s="341"/>
      <c r="BP61" s="341"/>
      <c r="BQ61" s="341"/>
      <c r="BR61" s="341"/>
      <c r="BS61" s="341"/>
      <c r="BT61" s="341"/>
      <c r="BU61" s="341"/>
      <c r="BV61" s="341"/>
      <c r="BW61" s="341"/>
      <c r="BX61" s="341"/>
      <c r="BY61" s="341"/>
      <c r="BZ61" s="341"/>
      <c r="CA61" s="341"/>
      <c r="CB61" s="341"/>
      <c r="CC61" s="341"/>
      <c r="CD61" s="341"/>
      <c r="CE61" s="341"/>
      <c r="CF61" s="341"/>
      <c r="CG61" s="341"/>
      <c r="CH61" s="341"/>
      <c r="CI61" s="341"/>
      <c r="CJ61" s="341"/>
      <c r="CK61" s="341"/>
      <c r="CL61" s="341"/>
      <c r="CM61" s="341"/>
    </row>
    <row r="62" spans="1:91" s="561" customFormat="1">
      <c r="A62" s="95">
        <v>61</v>
      </c>
      <c r="B62" s="384" t="s">
        <v>84</v>
      </c>
      <c r="C62" s="384" t="s">
        <v>358</v>
      </c>
      <c r="D62" s="384" t="s">
        <v>90</v>
      </c>
      <c r="E62" s="384">
        <v>7</v>
      </c>
      <c r="F62" s="384" t="s">
        <v>361</v>
      </c>
      <c r="G62" s="385">
        <v>57</v>
      </c>
      <c r="H62" s="386">
        <v>13</v>
      </c>
      <c r="I62" s="386">
        <v>0</v>
      </c>
      <c r="J62" s="296">
        <v>0</v>
      </c>
      <c r="K62" s="121">
        <f t="shared" si="4"/>
        <v>60.9</v>
      </c>
      <c r="L62" s="98" t="s">
        <v>450</v>
      </c>
      <c r="M62" s="95"/>
      <c r="N62" s="95">
        <v>21</v>
      </c>
      <c r="O62" s="95"/>
      <c r="P62" s="387"/>
      <c r="Q62" s="95" t="s">
        <v>258</v>
      </c>
      <c r="R62" s="298">
        <v>230000</v>
      </c>
      <c r="S62" s="390">
        <f>T62*0.96</f>
        <v>229632</v>
      </c>
      <c r="T62" s="115">
        <v>239200</v>
      </c>
      <c r="U62" s="102">
        <f t="shared" si="8"/>
        <v>3776.6830870279146</v>
      </c>
      <c r="V62" s="102">
        <f t="shared" si="9"/>
        <v>3770.6403940886698</v>
      </c>
      <c r="W62" s="102"/>
      <c r="X62" s="102">
        <f t="shared" si="10"/>
        <v>3927.7504105090311</v>
      </c>
      <c r="Y62" s="1237"/>
      <c r="Z62" s="101"/>
      <c r="AA62" s="554"/>
      <c r="AB62" s="103">
        <v>45084</v>
      </c>
      <c r="AC62" s="313">
        <f>20%*R62</f>
        <v>46000</v>
      </c>
      <c r="AD62" s="313"/>
      <c r="AE62" s="103"/>
      <c r="AF62" s="313"/>
      <c r="AG62" s="103"/>
      <c r="AH62" s="313">
        <f>80%*R62</f>
        <v>184000</v>
      </c>
      <c r="AI62" s="95" t="s">
        <v>247</v>
      </c>
      <c r="AJ62" s="95" t="s">
        <v>253</v>
      </c>
      <c r="AK62" s="306">
        <v>0.04</v>
      </c>
      <c r="AL62" s="306"/>
      <c r="AM62" s="306" t="s">
        <v>746</v>
      </c>
      <c r="AN62" s="306"/>
      <c r="AO62" s="306"/>
      <c r="AP62" s="306" t="s">
        <v>745</v>
      </c>
      <c r="AQ62" s="95" t="s">
        <v>249</v>
      </c>
      <c r="AR62" s="95"/>
      <c r="AS62" s="104" t="s">
        <v>579</v>
      </c>
      <c r="AT62" s="104" t="s">
        <v>265</v>
      </c>
      <c r="AU62" s="104"/>
      <c r="AV62" s="104"/>
      <c r="AW62" s="104"/>
      <c r="AX62" s="104" t="s">
        <v>18326</v>
      </c>
      <c r="AY62" s="104">
        <v>919741426</v>
      </c>
      <c r="AZ62" s="104"/>
      <c r="BA62" s="104"/>
      <c r="BB62" s="115">
        <f t="shared" si="11"/>
        <v>194880</v>
      </c>
      <c r="BC62" s="115">
        <v>3200</v>
      </c>
      <c r="BD62" s="115"/>
      <c r="BE62" s="341"/>
      <c r="BF62" s="341"/>
      <c r="BG62" s="341"/>
      <c r="BH62" s="341"/>
      <c r="BI62" s="341"/>
      <c r="BJ62" s="341"/>
      <c r="BK62" s="341"/>
      <c r="BL62" s="341"/>
      <c r="BM62" s="341"/>
      <c r="BN62" s="341"/>
      <c r="BO62" s="341"/>
      <c r="BP62" s="341"/>
      <c r="BQ62" s="341"/>
      <c r="BR62" s="341"/>
      <c r="BS62" s="341"/>
      <c r="BT62" s="341"/>
      <c r="BU62" s="341"/>
      <c r="BV62" s="341"/>
      <c r="BW62" s="341"/>
      <c r="BX62" s="341"/>
      <c r="BY62" s="341"/>
      <c r="BZ62" s="341"/>
      <c r="CA62" s="341"/>
      <c r="CB62" s="341"/>
      <c r="CC62" s="341"/>
      <c r="CD62" s="341"/>
      <c r="CE62" s="341"/>
      <c r="CF62" s="341"/>
      <c r="CG62" s="341"/>
      <c r="CH62" s="341"/>
      <c r="CI62" s="341"/>
      <c r="CJ62" s="341"/>
      <c r="CK62" s="341"/>
      <c r="CL62" s="341"/>
      <c r="CM62" s="341"/>
    </row>
    <row r="63" spans="1:91" s="559" customFormat="1" ht="15.75" thickBot="1">
      <c r="A63" s="95">
        <v>62</v>
      </c>
      <c r="B63" s="293" t="s">
        <v>85</v>
      </c>
      <c r="C63" s="293" t="s">
        <v>358</v>
      </c>
      <c r="D63" s="293" t="s">
        <v>89</v>
      </c>
      <c r="E63" s="293">
        <v>7</v>
      </c>
      <c r="F63" s="293" t="s">
        <v>361</v>
      </c>
      <c r="G63" s="294">
        <v>136</v>
      </c>
      <c r="H63" s="295">
        <v>18</v>
      </c>
      <c r="I63" s="295">
        <v>0</v>
      </c>
      <c r="J63" s="296">
        <v>0</v>
      </c>
      <c r="K63" s="121">
        <f t="shared" si="4"/>
        <v>141.4</v>
      </c>
      <c r="L63" s="98" t="s">
        <v>389</v>
      </c>
      <c r="M63" s="95"/>
      <c r="N63" s="95" t="s">
        <v>490</v>
      </c>
      <c r="O63" s="95"/>
      <c r="P63" s="99"/>
      <c r="Q63" s="95" t="s">
        <v>258</v>
      </c>
      <c r="R63" s="298">
        <v>474300</v>
      </c>
      <c r="S63" s="454">
        <v>475000</v>
      </c>
      <c r="T63" s="115">
        <f t="shared" si="12"/>
        <v>494000</v>
      </c>
      <c r="U63" s="102">
        <f t="shared" si="8"/>
        <v>3354.314002828854</v>
      </c>
      <c r="V63" s="102">
        <f t="shared" si="9"/>
        <v>3359.2644978783592</v>
      </c>
      <c r="W63" s="102"/>
      <c r="X63" s="102">
        <f t="shared" si="10"/>
        <v>3493.6350777934936</v>
      </c>
      <c r="Y63" s="102"/>
      <c r="Z63" s="101"/>
      <c r="AA63" s="554"/>
      <c r="AB63" s="103">
        <v>45121</v>
      </c>
      <c r="AC63" s="313">
        <v>94860</v>
      </c>
      <c r="AD63" s="313"/>
      <c r="AE63" s="103"/>
      <c r="AF63" s="313"/>
      <c r="AG63" s="103"/>
      <c r="AH63" s="313">
        <v>379440</v>
      </c>
      <c r="AI63" s="95" t="s">
        <v>247</v>
      </c>
      <c r="AJ63" s="95" t="s">
        <v>756</v>
      </c>
      <c r="AK63" s="306">
        <v>0.04</v>
      </c>
      <c r="AL63" s="306"/>
      <c r="AM63" s="306" t="s">
        <v>746</v>
      </c>
      <c r="AN63" s="95"/>
      <c r="AO63" s="95"/>
      <c r="AP63" s="95" t="s">
        <v>739</v>
      </c>
      <c r="AQ63" s="306" t="s">
        <v>249</v>
      </c>
      <c r="AR63" s="95"/>
      <c r="AS63" s="104" t="s">
        <v>729</v>
      </c>
      <c r="AT63" s="104" t="s">
        <v>265</v>
      </c>
      <c r="AU63" s="104"/>
      <c r="AV63" s="104"/>
      <c r="AW63" s="104"/>
      <c r="AX63" s="104" t="s">
        <v>18327</v>
      </c>
      <c r="AY63" s="104">
        <v>919830889</v>
      </c>
      <c r="AZ63" s="104"/>
      <c r="BA63" s="104"/>
      <c r="BB63" s="115">
        <f t="shared" si="11"/>
        <v>452480</v>
      </c>
      <c r="BC63" s="115">
        <v>3200</v>
      </c>
      <c r="BD63" s="115"/>
      <c r="BE63" s="341"/>
      <c r="BF63" s="341"/>
      <c r="BG63" s="341"/>
      <c r="BH63" s="341"/>
      <c r="BI63" s="341"/>
      <c r="BJ63" s="341"/>
      <c r="BK63" s="341"/>
      <c r="BL63" s="341"/>
      <c r="BM63" s="341"/>
      <c r="BN63" s="341"/>
      <c r="BO63" s="341"/>
      <c r="BP63" s="341"/>
      <c r="BQ63" s="341"/>
      <c r="BR63" s="341"/>
      <c r="BS63" s="341"/>
      <c r="BT63" s="341"/>
      <c r="BU63" s="341"/>
      <c r="BV63" s="341"/>
      <c r="BW63" s="341"/>
      <c r="BX63" s="341"/>
      <c r="BY63" s="341"/>
      <c r="BZ63" s="341"/>
      <c r="CA63" s="341"/>
      <c r="CB63" s="341"/>
      <c r="CC63" s="341"/>
      <c r="CD63" s="341"/>
      <c r="CE63" s="341"/>
      <c r="CF63" s="341"/>
      <c r="CG63" s="341"/>
      <c r="CH63" s="341"/>
      <c r="CI63" s="341"/>
      <c r="CJ63" s="341"/>
      <c r="CK63" s="341"/>
      <c r="CL63" s="341"/>
      <c r="CM63" s="341"/>
    </row>
    <row r="64" spans="1:91" s="559" customFormat="1" ht="15.75" thickBot="1">
      <c r="A64" s="95">
        <v>63</v>
      </c>
      <c r="B64" s="293" t="s">
        <v>86</v>
      </c>
      <c r="C64" s="293" t="s">
        <v>358</v>
      </c>
      <c r="D64" s="293" t="s">
        <v>91</v>
      </c>
      <c r="E64" s="293">
        <v>7</v>
      </c>
      <c r="F64" s="293" t="s">
        <v>362</v>
      </c>
      <c r="G64" s="294">
        <v>95</v>
      </c>
      <c r="H64" s="295">
        <v>0</v>
      </c>
      <c r="I64" s="295">
        <v>0</v>
      </c>
      <c r="J64" s="296">
        <v>0</v>
      </c>
      <c r="K64" s="121">
        <f t="shared" si="4"/>
        <v>95</v>
      </c>
      <c r="L64" s="98" t="s">
        <v>425</v>
      </c>
      <c r="M64" s="98"/>
      <c r="N64" s="95" t="s">
        <v>491</v>
      </c>
      <c r="O64" s="95"/>
      <c r="P64" s="99"/>
      <c r="Q64" s="95" t="s">
        <v>258</v>
      </c>
      <c r="R64" s="668">
        <v>360000</v>
      </c>
      <c r="S64" s="115">
        <v>341000</v>
      </c>
      <c r="T64" s="115">
        <f t="shared" si="12"/>
        <v>354640</v>
      </c>
      <c r="U64" s="102">
        <f t="shared" si="8"/>
        <v>3789.4736842105262</v>
      </c>
      <c r="V64" s="102">
        <f>W64/K64</f>
        <v>3789.4736842105262</v>
      </c>
      <c r="W64" s="115">
        <f>Y64*0.96</f>
        <v>360000</v>
      </c>
      <c r="X64" s="102">
        <f>Y64/K64</f>
        <v>3947.3684210526317</v>
      </c>
      <c r="Y64" s="102">
        <v>375000</v>
      </c>
      <c r="Z64" s="102">
        <v>360000</v>
      </c>
      <c r="AA64" s="554"/>
      <c r="AB64" s="103">
        <v>45687</v>
      </c>
      <c r="AC64" s="313">
        <f>5000+31000</f>
        <v>36000</v>
      </c>
      <c r="AD64" s="1508"/>
      <c r="AE64" s="103"/>
      <c r="AF64" s="313"/>
      <c r="AG64" s="103"/>
      <c r="AH64" s="313">
        <v>324000</v>
      </c>
      <c r="AI64" s="95" t="s">
        <v>247</v>
      </c>
      <c r="AJ64" s="95"/>
      <c r="AK64" s="95"/>
      <c r="AL64" s="95"/>
      <c r="AM64" s="95"/>
      <c r="AN64" s="95"/>
      <c r="AO64" s="95"/>
      <c r="AP64" s="95"/>
      <c r="AQ64" s="95"/>
      <c r="AR64" s="95"/>
      <c r="AS64" s="104" t="s">
        <v>17843</v>
      </c>
      <c r="AT64" s="104" t="s">
        <v>265</v>
      </c>
      <c r="AU64" s="104"/>
      <c r="AV64" s="104"/>
      <c r="AW64" s="104"/>
      <c r="AX64" s="104" t="s">
        <v>18328</v>
      </c>
      <c r="AY64" s="104">
        <v>937730229</v>
      </c>
      <c r="AZ64" s="104"/>
      <c r="BA64" s="104"/>
      <c r="BB64" s="115">
        <f t="shared" si="11"/>
        <v>304000</v>
      </c>
      <c r="BC64" s="115">
        <v>3200</v>
      </c>
      <c r="BD64" s="115"/>
    </row>
    <row r="65" spans="1:91" s="559" customFormat="1" ht="15.75" thickBot="1">
      <c r="A65" s="95">
        <v>64</v>
      </c>
      <c r="B65" s="293" t="s">
        <v>87</v>
      </c>
      <c r="C65" s="293" t="s">
        <v>358</v>
      </c>
      <c r="D65" s="293" t="s">
        <v>90</v>
      </c>
      <c r="E65" s="293">
        <v>7</v>
      </c>
      <c r="F65" s="293" t="s">
        <v>362</v>
      </c>
      <c r="G65" s="294">
        <v>57</v>
      </c>
      <c r="H65" s="295">
        <v>0</v>
      </c>
      <c r="I65" s="295">
        <v>6</v>
      </c>
      <c r="J65" s="296">
        <v>0</v>
      </c>
      <c r="K65" s="121">
        <f t="shared" si="4"/>
        <v>58.2</v>
      </c>
      <c r="L65" s="98" t="s">
        <v>451</v>
      </c>
      <c r="M65" s="98"/>
      <c r="N65" s="95">
        <v>20</v>
      </c>
      <c r="O65" s="95"/>
      <c r="P65" s="99"/>
      <c r="Q65" s="95" t="s">
        <v>258</v>
      </c>
      <c r="R65" s="604">
        <v>210250</v>
      </c>
      <c r="S65" s="115">
        <f>T65*0.96</f>
        <v>210240</v>
      </c>
      <c r="T65" s="115">
        <v>219000</v>
      </c>
      <c r="U65" s="102">
        <f t="shared" si="8"/>
        <v>3612.5429553264603</v>
      </c>
      <c r="V65" s="102">
        <f t="shared" si="9"/>
        <v>3612.3711340206182</v>
      </c>
      <c r="W65" s="102"/>
      <c r="X65" s="102">
        <f t="shared" si="10"/>
        <v>3762.886597938144</v>
      </c>
      <c r="Y65" s="102"/>
      <c r="Z65" s="101">
        <f>-(100%-(R65/T65))</f>
        <v>-3.9954337899543391E-2</v>
      </c>
      <c r="AA65" s="554"/>
      <c r="AB65" s="103">
        <v>45147</v>
      </c>
      <c r="AC65" s="313">
        <v>35000</v>
      </c>
      <c r="AD65" s="313">
        <v>7050</v>
      </c>
      <c r="AE65" s="103"/>
      <c r="AF65" s="313"/>
      <c r="AG65" s="103"/>
      <c r="AH65" s="313">
        <v>168200</v>
      </c>
      <c r="AI65" s="95" t="s">
        <v>247</v>
      </c>
      <c r="AJ65" s="95" t="s">
        <v>253</v>
      </c>
      <c r="AK65" s="306">
        <v>0.04</v>
      </c>
      <c r="AL65" s="95"/>
      <c r="AM65" s="95"/>
      <c r="AN65" s="95"/>
      <c r="AO65" s="95"/>
      <c r="AP65" s="95"/>
      <c r="AQ65" s="95"/>
      <c r="AR65" s="95"/>
      <c r="AS65" s="104" t="s">
        <v>17171</v>
      </c>
      <c r="AT65" s="104" t="s">
        <v>565</v>
      </c>
      <c r="AU65" s="104"/>
      <c r="AV65" s="104"/>
      <c r="AW65" s="104"/>
      <c r="AX65" s="104"/>
      <c r="AY65" s="104"/>
      <c r="AZ65" s="104"/>
      <c r="BA65" s="104"/>
      <c r="BB65" s="115">
        <f t="shared" si="11"/>
        <v>186240</v>
      </c>
      <c r="BC65" s="115">
        <v>3200</v>
      </c>
      <c r="BD65" s="115"/>
      <c r="BE65" s="341"/>
      <c r="BF65" s="341"/>
      <c r="BG65" s="341"/>
      <c r="BH65" s="341"/>
      <c r="BI65" s="341"/>
      <c r="BJ65" s="341"/>
      <c r="BK65" s="341"/>
      <c r="BL65" s="341"/>
      <c r="BM65" s="341"/>
      <c r="BN65" s="341"/>
      <c r="BO65" s="341"/>
      <c r="BP65" s="341"/>
      <c r="BQ65" s="341"/>
      <c r="BR65" s="341"/>
      <c r="BS65" s="341"/>
      <c r="BT65" s="341"/>
      <c r="BU65" s="341"/>
      <c r="BV65" s="341"/>
      <c r="BW65" s="341"/>
      <c r="BX65" s="341"/>
      <c r="BY65" s="341"/>
      <c r="BZ65" s="341"/>
      <c r="CA65" s="341"/>
      <c r="CB65" s="341"/>
      <c r="CC65" s="341"/>
      <c r="CD65" s="341"/>
      <c r="CE65" s="341"/>
      <c r="CF65" s="341"/>
      <c r="CG65" s="341"/>
      <c r="CH65" s="341"/>
      <c r="CI65" s="341"/>
      <c r="CJ65" s="341"/>
      <c r="CK65" s="341"/>
      <c r="CL65" s="341"/>
      <c r="CM65" s="341"/>
    </row>
    <row r="66" spans="1:91" s="559" customFormat="1" ht="15.75" thickBot="1">
      <c r="A66" s="95">
        <v>65</v>
      </c>
      <c r="B66" s="293" t="s">
        <v>88</v>
      </c>
      <c r="C66" s="293" t="s">
        <v>358</v>
      </c>
      <c r="D66" s="293" t="s">
        <v>89</v>
      </c>
      <c r="E66" s="293">
        <v>8</v>
      </c>
      <c r="F66" s="293" t="s">
        <v>362</v>
      </c>
      <c r="G66" s="294">
        <v>116</v>
      </c>
      <c r="H66" s="295">
        <v>0</v>
      </c>
      <c r="I66" s="295">
        <v>6</v>
      </c>
      <c r="J66" s="296">
        <v>0</v>
      </c>
      <c r="K66" s="121">
        <f t="shared" si="4"/>
        <v>117.2</v>
      </c>
      <c r="L66" s="98" t="s">
        <v>390</v>
      </c>
      <c r="M66" s="98"/>
      <c r="N66" s="95" t="s">
        <v>492</v>
      </c>
      <c r="O66" s="95"/>
      <c r="P66" s="99"/>
      <c r="Q66" s="95" t="s">
        <v>258</v>
      </c>
      <c r="R66" s="1393">
        <v>405000</v>
      </c>
      <c r="S66" s="535">
        <v>413000</v>
      </c>
      <c r="T66" s="115">
        <f t="shared" si="12"/>
        <v>429520</v>
      </c>
      <c r="U66" s="102">
        <f t="shared" ref="U66:U96" si="13">R66/K66</f>
        <v>3455.6313993174062</v>
      </c>
      <c r="V66" s="102">
        <f>W66/K66</f>
        <v>3563.1399317406144</v>
      </c>
      <c r="W66" s="115">
        <f>Y66*0.96</f>
        <v>417600</v>
      </c>
      <c r="X66" s="102">
        <f>Y66/K66</f>
        <v>3711.6040955631397</v>
      </c>
      <c r="Y66" s="102">
        <v>435000</v>
      </c>
      <c r="Z66" s="102">
        <f>Y66*0.94</f>
        <v>408900</v>
      </c>
      <c r="AA66" s="554"/>
      <c r="AB66" s="103">
        <v>45687</v>
      </c>
      <c r="AC66" s="313">
        <f>5000+35500</f>
        <v>40500</v>
      </c>
      <c r="AD66" s="1508"/>
      <c r="AE66" s="103"/>
      <c r="AF66" s="313"/>
      <c r="AG66" s="103"/>
      <c r="AH66" s="313">
        <v>364500</v>
      </c>
      <c r="AI66" s="95" t="s">
        <v>247</v>
      </c>
      <c r="AJ66" s="95"/>
      <c r="AK66" s="95"/>
      <c r="AL66" s="95"/>
      <c r="AM66" s="95"/>
      <c r="AN66" s="95"/>
      <c r="AO66" s="95"/>
      <c r="AP66" s="95"/>
      <c r="AQ66" s="95"/>
      <c r="AR66" s="95"/>
      <c r="AS66" s="104" t="s">
        <v>17843</v>
      </c>
      <c r="AT66" s="104" t="s">
        <v>265</v>
      </c>
      <c r="AU66" s="104"/>
      <c r="AV66" s="104"/>
      <c r="AW66" s="104"/>
      <c r="AX66" s="104" t="s">
        <v>18328</v>
      </c>
      <c r="AY66" s="104">
        <v>937730229</v>
      </c>
      <c r="AZ66" s="104"/>
      <c r="BA66" s="104"/>
      <c r="BB66" s="115">
        <f t="shared" ref="BB66:BB96" si="14">K66*BC66</f>
        <v>375040</v>
      </c>
      <c r="BC66" s="115">
        <v>3200</v>
      </c>
      <c r="BD66" s="115"/>
    </row>
    <row r="67" spans="1:91" s="559" customFormat="1">
      <c r="A67" s="95">
        <v>66</v>
      </c>
      <c r="B67" s="384" t="s">
        <v>143</v>
      </c>
      <c r="C67" s="384" t="s">
        <v>358</v>
      </c>
      <c r="D67" s="384" t="s">
        <v>91</v>
      </c>
      <c r="E67" s="384">
        <v>8</v>
      </c>
      <c r="F67" s="384" t="s">
        <v>361</v>
      </c>
      <c r="G67" s="385">
        <v>107</v>
      </c>
      <c r="H67" s="386">
        <v>12</v>
      </c>
      <c r="I67" s="386">
        <v>0</v>
      </c>
      <c r="J67" s="296">
        <v>0</v>
      </c>
      <c r="K67" s="121">
        <f t="shared" ref="K67:K96" si="15">G67+0.3*H67+0.2*I67+0.2*J67</f>
        <v>110.6</v>
      </c>
      <c r="L67" s="95" t="s">
        <v>532</v>
      </c>
      <c r="M67" s="98"/>
      <c r="N67" s="95" t="s">
        <v>531</v>
      </c>
      <c r="O67" s="95"/>
      <c r="P67" s="387"/>
      <c r="Q67" s="95" t="s">
        <v>258</v>
      </c>
      <c r="R67" s="298">
        <v>369500</v>
      </c>
      <c r="S67" s="390">
        <f>T67*0.96</f>
        <v>353280</v>
      </c>
      <c r="T67" s="115">
        <v>368000</v>
      </c>
      <c r="U67" s="102">
        <f t="shared" si="13"/>
        <v>3340.8679927667272</v>
      </c>
      <c r="V67" s="102">
        <f t="shared" ref="V67:V96" si="16">S67/K67</f>
        <v>3194.2133815551538</v>
      </c>
      <c r="W67" s="102"/>
      <c r="X67" s="102">
        <f t="shared" ref="X67:X96" si="17">T67/K67</f>
        <v>3327.3056057866188</v>
      </c>
      <c r="Y67" s="102"/>
      <c r="Z67" s="101">
        <f>-(100%-(R67/T67))</f>
        <v>4.0760869565217295E-3</v>
      </c>
      <c r="AA67" s="554"/>
      <c r="AB67" s="103">
        <v>45106</v>
      </c>
      <c r="AC67" s="313">
        <f>10%*R67</f>
        <v>36950</v>
      </c>
      <c r="AD67" s="313">
        <f>5%*R67</f>
        <v>18475</v>
      </c>
      <c r="AE67" s="103">
        <f>AB67+30</f>
        <v>45136</v>
      </c>
      <c r="AF67" s="313">
        <f>5%*R67</f>
        <v>18475</v>
      </c>
      <c r="AG67" s="103">
        <f>AB67+60</f>
        <v>45166</v>
      </c>
      <c r="AH67" s="313">
        <f>80%*R67</f>
        <v>295600</v>
      </c>
      <c r="AI67" s="95" t="s">
        <v>274</v>
      </c>
      <c r="AJ67" s="95"/>
      <c r="AK67" s="306">
        <v>0.04</v>
      </c>
      <c r="AL67" s="306"/>
      <c r="AM67" s="306"/>
      <c r="AN67" s="95"/>
      <c r="AO67" s="95"/>
      <c r="AP67" s="95"/>
      <c r="AQ67" s="95"/>
      <c r="AR67" s="95"/>
      <c r="AS67" s="104" t="s">
        <v>575</v>
      </c>
      <c r="AT67" s="104" t="s">
        <v>517</v>
      </c>
      <c r="AU67" s="104"/>
      <c r="AV67" s="104"/>
      <c r="AW67" s="104"/>
      <c r="AX67" s="104" t="s">
        <v>18329</v>
      </c>
      <c r="AY67" s="104">
        <v>-509221679</v>
      </c>
      <c r="AZ67" s="104"/>
      <c r="BA67" s="104"/>
      <c r="BB67" s="115">
        <f t="shared" si="14"/>
        <v>353920</v>
      </c>
      <c r="BC67" s="115">
        <v>3200</v>
      </c>
      <c r="BD67" s="115"/>
      <c r="BE67" s="341"/>
      <c r="BF67" s="341"/>
      <c r="BG67" s="341"/>
      <c r="BH67" s="341"/>
      <c r="BI67" s="341"/>
      <c r="BJ67" s="341"/>
      <c r="BK67" s="341"/>
      <c r="BL67" s="341"/>
      <c r="BM67" s="341"/>
      <c r="BN67" s="341"/>
      <c r="BO67" s="341"/>
      <c r="BP67" s="341"/>
      <c r="BQ67" s="341"/>
      <c r="BR67" s="341"/>
      <c r="BS67" s="341"/>
      <c r="BT67" s="341"/>
      <c r="BU67" s="341"/>
      <c r="BV67" s="341"/>
      <c r="BW67" s="341"/>
      <c r="BX67" s="341"/>
      <c r="BY67" s="341"/>
      <c r="BZ67" s="341"/>
      <c r="CA67" s="341"/>
      <c r="CB67" s="341"/>
      <c r="CC67" s="341"/>
      <c r="CD67" s="341"/>
      <c r="CE67" s="341"/>
      <c r="CF67" s="341"/>
      <c r="CG67" s="341"/>
      <c r="CH67" s="341"/>
      <c r="CI67" s="341"/>
      <c r="CJ67" s="341"/>
      <c r="CK67" s="341"/>
      <c r="CL67" s="341"/>
      <c r="CM67" s="341"/>
    </row>
    <row r="68" spans="1:91" s="559" customFormat="1">
      <c r="A68" s="95">
        <v>67</v>
      </c>
      <c r="B68" s="293" t="s">
        <v>195</v>
      </c>
      <c r="C68" s="293" t="s">
        <v>358</v>
      </c>
      <c r="D68" s="293" t="s">
        <v>90</v>
      </c>
      <c r="E68" s="293">
        <v>8</v>
      </c>
      <c r="F68" s="293" t="s">
        <v>361</v>
      </c>
      <c r="G68" s="294">
        <v>57</v>
      </c>
      <c r="H68" s="295">
        <v>17</v>
      </c>
      <c r="I68" s="295">
        <v>0</v>
      </c>
      <c r="J68" s="296">
        <v>0</v>
      </c>
      <c r="K68" s="121">
        <f t="shared" si="15"/>
        <v>62.1</v>
      </c>
      <c r="L68" s="98" t="s">
        <v>440</v>
      </c>
      <c r="M68" s="98"/>
      <c r="N68" s="95">
        <v>19</v>
      </c>
      <c r="O68" s="95"/>
      <c r="P68" s="99"/>
      <c r="Q68" s="95" t="s">
        <v>258</v>
      </c>
      <c r="R68" s="298">
        <v>227000</v>
      </c>
      <c r="S68" s="322">
        <f>T68*0.96</f>
        <v>226560</v>
      </c>
      <c r="T68" s="115">
        <v>236000</v>
      </c>
      <c r="U68" s="102">
        <f t="shared" si="13"/>
        <v>3655.3945249597423</v>
      </c>
      <c r="V68" s="102">
        <f t="shared" si="16"/>
        <v>3648.3091787439612</v>
      </c>
      <c r="W68" s="102"/>
      <c r="X68" s="102">
        <f t="shared" si="17"/>
        <v>3800.3220611916263</v>
      </c>
      <c r="Y68" s="102"/>
      <c r="Z68" s="101">
        <f>-(100%-(R68/T68))</f>
        <v>-3.8135593220338992E-2</v>
      </c>
      <c r="AA68" s="554"/>
      <c r="AB68" s="103">
        <v>45090</v>
      </c>
      <c r="AC68" s="313">
        <f>20%*R68</f>
        <v>45400</v>
      </c>
      <c r="AD68" s="313"/>
      <c r="AE68" s="103"/>
      <c r="AF68" s="313"/>
      <c r="AG68" s="103"/>
      <c r="AH68" s="313">
        <f>80%*R68</f>
        <v>181600</v>
      </c>
      <c r="AI68" s="95" t="s">
        <v>247</v>
      </c>
      <c r="AJ68" s="95" t="s">
        <v>253</v>
      </c>
      <c r="AK68" s="306">
        <v>0.04</v>
      </c>
      <c r="AL68" s="306"/>
      <c r="AM68" s="306" t="s">
        <v>746</v>
      </c>
      <c r="AN68" s="95"/>
      <c r="AO68" s="95"/>
      <c r="AP68" s="95" t="s">
        <v>739</v>
      </c>
      <c r="AQ68" s="306" t="s">
        <v>249</v>
      </c>
      <c r="AR68" s="95"/>
      <c r="AS68" s="104" t="s">
        <v>581</v>
      </c>
      <c r="AT68" s="104" t="s">
        <v>517</v>
      </c>
      <c r="AU68" s="104"/>
      <c r="AV68" s="104"/>
      <c r="AW68" s="104"/>
      <c r="AX68" s="104" t="s">
        <v>18330</v>
      </c>
      <c r="AY68" s="104">
        <v>972527009661</v>
      </c>
      <c r="AZ68" s="104"/>
      <c r="BA68" s="104"/>
      <c r="BB68" s="115">
        <f t="shared" si="14"/>
        <v>198720</v>
      </c>
      <c r="BC68" s="115">
        <v>3200</v>
      </c>
      <c r="BD68" s="115"/>
      <c r="BE68" s="341"/>
      <c r="BF68" s="341"/>
      <c r="BG68" s="341"/>
      <c r="BH68" s="341"/>
      <c r="BI68" s="341"/>
      <c r="BJ68" s="341"/>
      <c r="BK68" s="341"/>
      <c r="BL68" s="341"/>
      <c r="BM68" s="341"/>
      <c r="BN68" s="341"/>
      <c r="BO68" s="341"/>
      <c r="BP68" s="341"/>
      <c r="BQ68" s="341"/>
      <c r="BR68" s="341"/>
      <c r="BS68" s="341"/>
      <c r="BT68" s="341"/>
      <c r="BU68" s="341"/>
      <c r="BV68" s="341"/>
      <c r="BW68" s="341"/>
      <c r="BX68" s="341"/>
      <c r="BY68" s="341"/>
      <c r="BZ68" s="341"/>
      <c r="CA68" s="341"/>
      <c r="CB68" s="341"/>
      <c r="CC68" s="341"/>
      <c r="CD68" s="341"/>
      <c r="CE68" s="341"/>
      <c r="CF68" s="341"/>
      <c r="CG68" s="341"/>
      <c r="CH68" s="341"/>
      <c r="CI68" s="341"/>
      <c r="CJ68" s="341"/>
      <c r="CK68" s="341"/>
      <c r="CL68" s="341"/>
      <c r="CM68" s="341"/>
    </row>
    <row r="69" spans="1:91" s="559" customFormat="1">
      <c r="A69" s="95">
        <v>68</v>
      </c>
      <c r="B69" s="293" t="s">
        <v>196</v>
      </c>
      <c r="C69" s="293" t="s">
        <v>358</v>
      </c>
      <c r="D69" s="293" t="s">
        <v>365</v>
      </c>
      <c r="E69" s="293">
        <v>8</v>
      </c>
      <c r="F69" s="293" t="s">
        <v>363</v>
      </c>
      <c r="G69" s="294">
        <v>107</v>
      </c>
      <c r="H69" s="295">
        <v>14</v>
      </c>
      <c r="I69" s="295">
        <v>0</v>
      </c>
      <c r="J69" s="296">
        <v>0</v>
      </c>
      <c r="K69" s="121">
        <f t="shared" si="15"/>
        <v>111.2</v>
      </c>
      <c r="L69" s="98" t="s">
        <v>408</v>
      </c>
      <c r="M69" s="98"/>
      <c r="N69" s="95" t="s">
        <v>494</v>
      </c>
      <c r="O69" s="95"/>
      <c r="P69" s="99"/>
      <c r="Q69" s="95" t="s">
        <v>258</v>
      </c>
      <c r="R69" s="668">
        <v>398400</v>
      </c>
      <c r="S69" s="115">
        <v>382000</v>
      </c>
      <c r="T69" s="115">
        <f>S69*1.04</f>
        <v>397280</v>
      </c>
      <c r="U69" s="102">
        <f t="shared" si="13"/>
        <v>3582.7338129496402</v>
      </c>
      <c r="V69" s="102">
        <f>W69/K69</f>
        <v>3582.7338129496402</v>
      </c>
      <c r="W69" s="115">
        <f>Y69*0.96</f>
        <v>398400</v>
      </c>
      <c r="X69" s="102">
        <f>Y69/K69</f>
        <v>3732.0143884892086</v>
      </c>
      <c r="Y69" s="102">
        <v>415000</v>
      </c>
      <c r="Z69" s="101"/>
      <c r="AA69" s="554">
        <v>435000</v>
      </c>
      <c r="AB69" s="103">
        <v>45632</v>
      </c>
      <c r="AC69" s="313">
        <f>5000+74680</f>
        <v>79680</v>
      </c>
      <c r="AD69" s="313"/>
      <c r="AE69" s="103"/>
      <c r="AF69" s="313"/>
      <c r="AG69" s="103"/>
      <c r="AH69" s="313">
        <v>318720</v>
      </c>
      <c r="AI69" s="95" t="s">
        <v>247</v>
      </c>
      <c r="AJ69" s="95"/>
      <c r="AK69" s="95"/>
      <c r="AL69" s="95"/>
      <c r="AM69" s="95"/>
      <c r="AN69" s="95"/>
      <c r="AO69" s="95"/>
      <c r="AP69" s="95"/>
      <c r="AQ69" s="95"/>
      <c r="AR69" s="95"/>
      <c r="AS69" s="104" t="s">
        <v>17765</v>
      </c>
      <c r="AT69" s="104" t="s">
        <v>565</v>
      </c>
      <c r="AU69" s="104"/>
      <c r="AV69" s="104"/>
      <c r="AW69" s="104"/>
      <c r="AX69" s="104" t="s">
        <v>17949</v>
      </c>
      <c r="AY69" s="104">
        <v>915648674</v>
      </c>
      <c r="AZ69" s="104"/>
      <c r="BA69" s="104"/>
      <c r="BB69" s="115">
        <f t="shared" si="14"/>
        <v>355840</v>
      </c>
      <c r="BC69" s="115">
        <v>3200</v>
      </c>
      <c r="BD69" s="115"/>
    </row>
    <row r="70" spans="1:91" s="559" customFormat="1">
      <c r="A70" s="95">
        <v>69</v>
      </c>
      <c r="B70" s="293" t="s">
        <v>197</v>
      </c>
      <c r="C70" s="293" t="s">
        <v>358</v>
      </c>
      <c r="D70" s="293" t="s">
        <v>365</v>
      </c>
      <c r="E70" s="293">
        <v>8</v>
      </c>
      <c r="F70" s="293" t="s">
        <v>363</v>
      </c>
      <c r="G70" s="294">
        <v>107</v>
      </c>
      <c r="H70" s="295">
        <v>6</v>
      </c>
      <c r="I70" s="295">
        <v>0</v>
      </c>
      <c r="J70" s="296">
        <v>0</v>
      </c>
      <c r="K70" s="121">
        <f t="shared" si="15"/>
        <v>108.8</v>
      </c>
      <c r="L70" s="98" t="s">
        <v>409</v>
      </c>
      <c r="M70" s="98"/>
      <c r="N70" s="95" t="s">
        <v>495</v>
      </c>
      <c r="O70" s="95"/>
      <c r="P70" s="99"/>
      <c r="Q70" s="95" t="s">
        <v>258</v>
      </c>
      <c r="R70" s="298">
        <v>380390</v>
      </c>
      <c r="S70" s="115">
        <v>381000</v>
      </c>
      <c r="T70" s="115">
        <f>S70*1.04</f>
        <v>396240</v>
      </c>
      <c r="U70" s="102">
        <f t="shared" si="13"/>
        <v>3496.231617647059</v>
      </c>
      <c r="V70" s="102">
        <f t="shared" si="16"/>
        <v>3501.8382352941176</v>
      </c>
      <c r="W70" s="102"/>
      <c r="X70" s="102">
        <f t="shared" si="17"/>
        <v>3641.9117647058824</v>
      </c>
      <c r="Y70" s="102"/>
      <c r="Z70" s="101">
        <f>-(100%-(R70/T70))</f>
        <v>-4.0001009489198491E-2</v>
      </c>
      <c r="AA70" s="554"/>
      <c r="AB70" s="103">
        <v>45233</v>
      </c>
      <c r="AC70" s="313">
        <v>76078</v>
      </c>
      <c r="AD70" s="313">
        <v>38039</v>
      </c>
      <c r="AE70" s="103">
        <f>AB70+365</f>
        <v>45598</v>
      </c>
      <c r="AF70" s="313"/>
      <c r="AG70" s="103"/>
      <c r="AH70" s="313">
        <v>266273</v>
      </c>
      <c r="AI70" s="95" t="s">
        <v>103</v>
      </c>
      <c r="AJ70" s="95"/>
      <c r="AK70" s="95"/>
      <c r="AL70" s="95"/>
      <c r="AM70" s="95"/>
      <c r="AN70" s="95"/>
      <c r="AO70" s="95"/>
      <c r="AP70" s="95"/>
      <c r="AQ70" s="95"/>
      <c r="AR70" s="95"/>
      <c r="AS70" s="104" t="s">
        <v>17226</v>
      </c>
      <c r="AT70" s="104" t="s">
        <v>514</v>
      </c>
      <c r="AU70" s="104"/>
      <c r="AV70" s="104"/>
      <c r="AW70" s="104"/>
      <c r="AX70" s="104" t="s">
        <v>18331</v>
      </c>
      <c r="AY70" s="104">
        <v>351917753949</v>
      </c>
      <c r="AZ70" s="104"/>
      <c r="BA70" s="104"/>
      <c r="BB70" s="115">
        <f t="shared" si="14"/>
        <v>348160</v>
      </c>
      <c r="BC70" s="115">
        <v>3200</v>
      </c>
      <c r="BD70" s="115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</row>
    <row r="71" spans="1:91" s="559" customFormat="1">
      <c r="A71" s="95">
        <v>70</v>
      </c>
      <c r="B71" s="293" t="s">
        <v>198</v>
      </c>
      <c r="C71" s="293" t="s">
        <v>358</v>
      </c>
      <c r="D71" s="293" t="s">
        <v>90</v>
      </c>
      <c r="E71" s="293">
        <v>8</v>
      </c>
      <c r="F71" s="293" t="s">
        <v>361</v>
      </c>
      <c r="G71" s="294">
        <v>57</v>
      </c>
      <c r="H71" s="295">
        <v>13</v>
      </c>
      <c r="I71" s="295">
        <v>0</v>
      </c>
      <c r="J71" s="296">
        <v>0</v>
      </c>
      <c r="K71" s="121">
        <f t="shared" si="15"/>
        <v>60.9</v>
      </c>
      <c r="L71" s="98" t="s">
        <v>439</v>
      </c>
      <c r="M71" s="98"/>
      <c r="N71" s="95">
        <v>18</v>
      </c>
      <c r="O71" s="95"/>
      <c r="P71" s="99"/>
      <c r="Q71" s="95" t="s">
        <v>258</v>
      </c>
      <c r="R71" s="298">
        <v>234600</v>
      </c>
      <c r="S71" s="322">
        <f>T71*0.96</f>
        <v>234624</v>
      </c>
      <c r="T71" s="115">
        <v>244400</v>
      </c>
      <c r="U71" s="102">
        <f t="shared" si="13"/>
        <v>3852.2167487684728</v>
      </c>
      <c r="V71" s="102">
        <f t="shared" si="16"/>
        <v>3852.6108374384239</v>
      </c>
      <c r="W71" s="102"/>
      <c r="X71" s="102">
        <f t="shared" si="17"/>
        <v>4013.1362889983579</v>
      </c>
      <c r="Y71" s="102"/>
      <c r="Z71" s="101">
        <f>-(100%-(R71/T71))</f>
        <v>-4.0098199672667811E-2</v>
      </c>
      <c r="AA71" s="554"/>
      <c r="AB71" s="103">
        <v>45169</v>
      </c>
      <c r="AC71" s="313">
        <f>20%*R71</f>
        <v>46920</v>
      </c>
      <c r="AD71" s="313"/>
      <c r="AE71" s="103"/>
      <c r="AF71" s="313"/>
      <c r="AG71" s="103"/>
      <c r="AH71" s="313">
        <f>80%*R71</f>
        <v>187680</v>
      </c>
      <c r="AI71" s="95" t="s">
        <v>274</v>
      </c>
      <c r="AJ71" s="95"/>
      <c r="AK71" s="95"/>
      <c r="AL71" s="95"/>
      <c r="AM71" s="95"/>
      <c r="AN71" s="95"/>
      <c r="AO71" s="95"/>
      <c r="AP71" s="95"/>
      <c r="AQ71" s="95"/>
      <c r="AR71" s="95"/>
      <c r="AS71" s="104" t="s">
        <v>600</v>
      </c>
      <c r="AT71" s="104" t="s">
        <v>517</v>
      </c>
      <c r="AU71" s="104"/>
      <c r="AV71" s="104"/>
      <c r="AW71" s="104"/>
      <c r="AX71" s="104" t="s">
        <v>18332</v>
      </c>
      <c r="AY71" s="104">
        <v>9720526880941</v>
      </c>
      <c r="AZ71" s="104"/>
      <c r="BA71" s="104"/>
      <c r="BB71" s="115">
        <f t="shared" si="14"/>
        <v>194880</v>
      </c>
      <c r="BC71" s="115">
        <v>3200</v>
      </c>
      <c r="BD71" s="115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</row>
    <row r="72" spans="1:91" s="559" customFormat="1">
      <c r="A72" s="95">
        <v>71</v>
      </c>
      <c r="B72" s="293" t="s">
        <v>199</v>
      </c>
      <c r="C72" s="293" t="s">
        <v>358</v>
      </c>
      <c r="D72" s="293" t="s">
        <v>89</v>
      </c>
      <c r="E72" s="293">
        <v>8</v>
      </c>
      <c r="F72" s="293" t="s">
        <v>361</v>
      </c>
      <c r="G72" s="294">
        <v>136</v>
      </c>
      <c r="H72" s="295">
        <v>22</v>
      </c>
      <c r="I72" s="295">
        <v>0</v>
      </c>
      <c r="J72" s="296">
        <v>0</v>
      </c>
      <c r="K72" s="121">
        <f t="shared" si="15"/>
        <v>142.6</v>
      </c>
      <c r="L72" s="98" t="s">
        <v>391</v>
      </c>
      <c r="M72" s="98"/>
      <c r="N72" s="95" t="s">
        <v>496</v>
      </c>
      <c r="O72" s="95"/>
      <c r="P72" s="99"/>
      <c r="Q72" s="95" t="s">
        <v>258</v>
      </c>
      <c r="R72" s="298">
        <v>479200</v>
      </c>
      <c r="S72" s="322">
        <f>T72*0.96</f>
        <v>479232</v>
      </c>
      <c r="T72" s="115">
        <v>499200</v>
      </c>
      <c r="U72" s="102">
        <f t="shared" si="13"/>
        <v>3360.4488078541376</v>
      </c>
      <c r="V72" s="102">
        <f t="shared" si="16"/>
        <v>3360.6732117812062</v>
      </c>
      <c r="W72" s="102"/>
      <c r="X72" s="102">
        <f t="shared" si="17"/>
        <v>3500.7012622720899</v>
      </c>
      <c r="Y72" s="102"/>
      <c r="Z72" s="101">
        <f>-(100%-(R72/T72))</f>
        <v>-4.0064102564102533E-2</v>
      </c>
      <c r="AA72" s="554"/>
      <c r="AB72" s="103">
        <v>45169</v>
      </c>
      <c r="AC72" s="313">
        <f>20%*R72</f>
        <v>95840</v>
      </c>
      <c r="AD72" s="313"/>
      <c r="AE72" s="103"/>
      <c r="AF72" s="313"/>
      <c r="AG72" s="103"/>
      <c r="AH72" s="313">
        <f>80%*R72</f>
        <v>383360</v>
      </c>
      <c r="AI72" s="95" t="s">
        <v>274</v>
      </c>
      <c r="AJ72" s="95"/>
      <c r="AK72" s="95"/>
      <c r="AL72" s="95"/>
      <c r="AM72" s="95"/>
      <c r="AN72" s="95"/>
      <c r="AO72" s="95"/>
      <c r="AP72" s="95"/>
      <c r="AQ72" s="95"/>
      <c r="AR72" s="95"/>
      <c r="AS72" s="104" t="s">
        <v>600</v>
      </c>
      <c r="AT72" s="104" t="s">
        <v>517</v>
      </c>
      <c r="AU72" s="104"/>
      <c r="AV72" s="104"/>
      <c r="AW72" s="104"/>
      <c r="AX72" s="104" t="s">
        <v>18332</v>
      </c>
      <c r="AY72" s="104">
        <v>9720526880941</v>
      </c>
      <c r="AZ72" s="104"/>
      <c r="BA72" s="104"/>
      <c r="BB72" s="115">
        <f t="shared" si="14"/>
        <v>456320</v>
      </c>
      <c r="BC72" s="115">
        <v>3200</v>
      </c>
      <c r="BD72" s="115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</row>
    <row r="73" spans="1:91" s="559" customFormat="1">
      <c r="A73" s="95">
        <v>72</v>
      </c>
      <c r="B73" s="384" t="s">
        <v>200</v>
      </c>
      <c r="C73" s="384" t="s">
        <v>358</v>
      </c>
      <c r="D73" s="384" t="s">
        <v>91</v>
      </c>
      <c r="E73" s="384">
        <v>8</v>
      </c>
      <c r="F73" s="384" t="s">
        <v>362</v>
      </c>
      <c r="G73" s="385">
        <v>95</v>
      </c>
      <c r="H73" s="386">
        <v>0</v>
      </c>
      <c r="I73" s="386">
        <v>0</v>
      </c>
      <c r="J73" s="296">
        <v>0</v>
      </c>
      <c r="K73" s="121">
        <f t="shared" si="15"/>
        <v>95</v>
      </c>
      <c r="L73" s="98" t="s">
        <v>426</v>
      </c>
      <c r="M73" s="98"/>
      <c r="N73" s="95" t="s">
        <v>497</v>
      </c>
      <c r="O73" s="95"/>
      <c r="P73" s="387"/>
      <c r="Q73" s="95" t="s">
        <v>258</v>
      </c>
      <c r="R73" s="298">
        <v>339000</v>
      </c>
      <c r="S73" s="390">
        <f>T73*0.96</f>
        <v>332160</v>
      </c>
      <c r="T73" s="115">
        <v>346000</v>
      </c>
      <c r="U73" s="102">
        <f t="shared" si="13"/>
        <v>3568.4210526315787</v>
      </c>
      <c r="V73" s="102">
        <f t="shared" si="16"/>
        <v>3496.4210526315787</v>
      </c>
      <c r="W73" s="102"/>
      <c r="X73" s="102">
        <f t="shared" si="17"/>
        <v>3642.1052631578946</v>
      </c>
      <c r="Y73" s="102"/>
      <c r="Z73" s="101">
        <f>-(100%-(R73/T73))</f>
        <v>-2.0231213872832332E-2</v>
      </c>
      <c r="AA73" s="554"/>
      <c r="AB73" s="103">
        <v>45083</v>
      </c>
      <c r="AC73" s="313">
        <f>15%*R73</f>
        <v>50850</v>
      </c>
      <c r="AD73" s="313"/>
      <c r="AE73" s="103"/>
      <c r="AF73" s="313"/>
      <c r="AG73" s="103"/>
      <c r="AH73" s="313">
        <f>85%*R73</f>
        <v>288150</v>
      </c>
      <c r="AI73" s="95" t="s">
        <v>274</v>
      </c>
      <c r="AJ73" s="95"/>
      <c r="AK73" s="306">
        <v>0.04</v>
      </c>
      <c r="AL73" s="306" t="s">
        <v>743</v>
      </c>
      <c r="AM73" s="306"/>
      <c r="AN73" s="306"/>
      <c r="AO73" s="306"/>
      <c r="AP73" s="306"/>
      <c r="AQ73" s="95"/>
      <c r="AR73" s="95"/>
      <c r="AS73" s="104" t="s">
        <v>587</v>
      </c>
      <c r="AT73" s="104" t="s">
        <v>517</v>
      </c>
      <c r="AU73" s="104"/>
      <c r="AV73" s="104"/>
      <c r="AW73" s="104"/>
      <c r="AX73" s="104" t="s">
        <v>18333</v>
      </c>
      <c r="AY73" s="104">
        <v>9725028881100</v>
      </c>
      <c r="AZ73" s="104"/>
      <c r="BA73" s="104"/>
      <c r="BB73" s="115">
        <f t="shared" si="14"/>
        <v>304000</v>
      </c>
      <c r="BC73" s="115">
        <v>3200</v>
      </c>
      <c r="BD73" s="115"/>
      <c r="BE73" s="341"/>
      <c r="BF73" s="341"/>
      <c r="BG73" s="341"/>
      <c r="BH73" s="341"/>
      <c r="BI73" s="341"/>
      <c r="BJ73" s="341"/>
      <c r="BK73" s="341"/>
      <c r="BL73" s="341"/>
      <c r="BM73" s="341"/>
      <c r="BN73" s="341"/>
      <c r="BO73" s="341"/>
      <c r="BP73" s="341"/>
      <c r="BQ73" s="341"/>
      <c r="BR73" s="341"/>
      <c r="BS73" s="341"/>
      <c r="BT73" s="341"/>
      <c r="BU73" s="341"/>
      <c r="BV73" s="341"/>
      <c r="BW73" s="341"/>
      <c r="BX73" s="341"/>
      <c r="BY73" s="341"/>
      <c r="BZ73" s="341"/>
      <c r="CA73" s="341"/>
      <c r="CB73" s="341"/>
      <c r="CC73" s="341"/>
      <c r="CD73" s="341"/>
      <c r="CE73" s="341"/>
      <c r="CF73" s="341"/>
      <c r="CG73" s="341"/>
      <c r="CH73" s="341"/>
      <c r="CI73" s="341"/>
      <c r="CJ73" s="341"/>
      <c r="CK73" s="341"/>
      <c r="CL73" s="341"/>
      <c r="CM73" s="341"/>
    </row>
    <row r="74" spans="1:91" s="559" customFormat="1" ht="15.75" thickBot="1">
      <c r="A74" s="95">
        <v>73</v>
      </c>
      <c r="B74" s="293" t="s">
        <v>201</v>
      </c>
      <c r="C74" s="293" t="s">
        <v>358</v>
      </c>
      <c r="D74" s="293" t="s">
        <v>90</v>
      </c>
      <c r="E74" s="293">
        <v>8</v>
      </c>
      <c r="F74" s="293" t="s">
        <v>362</v>
      </c>
      <c r="G74" s="294">
        <v>57</v>
      </c>
      <c r="H74" s="295">
        <v>0</v>
      </c>
      <c r="I74" s="295">
        <v>6</v>
      </c>
      <c r="J74" s="296">
        <v>0</v>
      </c>
      <c r="K74" s="121">
        <f t="shared" si="15"/>
        <v>58.2</v>
      </c>
      <c r="L74" s="98" t="s">
        <v>438</v>
      </c>
      <c r="M74" s="98"/>
      <c r="N74" s="95">
        <v>17</v>
      </c>
      <c r="O74" s="95"/>
      <c r="P74" s="99"/>
      <c r="Q74" s="95" t="s">
        <v>258</v>
      </c>
      <c r="R74" s="604">
        <v>215000</v>
      </c>
      <c r="S74" s="115">
        <v>219000</v>
      </c>
      <c r="T74" s="115">
        <v>224000</v>
      </c>
      <c r="U74" s="102">
        <f t="shared" si="13"/>
        <v>3694.1580756013745</v>
      </c>
      <c r="V74" s="102">
        <f t="shared" si="16"/>
        <v>3762.886597938144</v>
      </c>
      <c r="W74" s="102"/>
      <c r="X74" s="102">
        <f t="shared" si="17"/>
        <v>3848.7972508591065</v>
      </c>
      <c r="Y74" s="102"/>
      <c r="Z74" s="101">
        <f>-(100%-(R74/T74))</f>
        <v>-4.0178571428571397E-2</v>
      </c>
      <c r="AA74" s="554"/>
      <c r="AB74" s="103">
        <v>45120</v>
      </c>
      <c r="AC74" s="313">
        <v>32250</v>
      </c>
      <c r="AD74" s="313">
        <v>32250</v>
      </c>
      <c r="AE74" s="103">
        <v>45486</v>
      </c>
      <c r="AF74" s="313"/>
      <c r="AG74" s="103"/>
      <c r="AH74" s="313">
        <v>150500</v>
      </c>
      <c r="AI74" s="95" t="s">
        <v>103</v>
      </c>
      <c r="AJ74" s="95"/>
      <c r="AK74" s="306">
        <v>0.04</v>
      </c>
      <c r="AL74" s="101"/>
      <c r="AM74" s="306" t="s">
        <v>746</v>
      </c>
      <c r="AN74" s="95"/>
      <c r="AO74" s="95"/>
      <c r="AP74" s="95" t="s">
        <v>739</v>
      </c>
      <c r="AQ74" s="306" t="s">
        <v>249</v>
      </c>
      <c r="AR74" s="95"/>
      <c r="AS74" s="104" t="s">
        <v>724</v>
      </c>
      <c r="AT74" s="671" t="s">
        <v>730</v>
      </c>
      <c r="AU74" s="671"/>
      <c r="AV74" s="671"/>
      <c r="AW74" s="671"/>
      <c r="AX74" s="671" t="s">
        <v>18334</v>
      </c>
      <c r="AY74" s="671">
        <v>967894542</v>
      </c>
      <c r="AZ74" s="104"/>
      <c r="BA74" s="104"/>
      <c r="BB74" s="115">
        <f t="shared" si="14"/>
        <v>186240</v>
      </c>
      <c r="BC74" s="115">
        <v>3200</v>
      </c>
      <c r="BD74" s="115"/>
      <c r="BE74" s="341"/>
      <c r="BF74" s="341"/>
      <c r="BG74" s="341"/>
      <c r="BH74" s="341"/>
      <c r="BI74" s="341"/>
      <c r="BJ74" s="341"/>
      <c r="BK74" s="341"/>
      <c r="BL74" s="341"/>
      <c r="BM74" s="341"/>
      <c r="BN74" s="341"/>
      <c r="BO74" s="341"/>
      <c r="BP74" s="341"/>
      <c r="BQ74" s="341"/>
      <c r="BR74" s="341"/>
      <c r="BS74" s="341"/>
      <c r="BT74" s="341"/>
      <c r="BU74" s="341"/>
      <c r="BV74" s="341"/>
      <c r="BW74" s="341"/>
      <c r="BX74" s="341"/>
      <c r="BY74" s="341"/>
      <c r="BZ74" s="341"/>
      <c r="CA74" s="341"/>
      <c r="CB74" s="341"/>
      <c r="CC74" s="341"/>
      <c r="CD74" s="341"/>
      <c r="CE74" s="341"/>
      <c r="CF74" s="341"/>
      <c r="CG74" s="341"/>
      <c r="CH74" s="341"/>
      <c r="CI74" s="341"/>
      <c r="CJ74" s="341"/>
      <c r="CK74" s="341"/>
      <c r="CL74" s="341"/>
      <c r="CM74" s="341"/>
    </row>
    <row r="75" spans="1:91" s="559" customFormat="1" ht="15.75" thickBot="1">
      <c r="A75" s="95">
        <v>74</v>
      </c>
      <c r="B75" s="293" t="s">
        <v>202</v>
      </c>
      <c r="C75" s="293" t="s">
        <v>358</v>
      </c>
      <c r="D75" s="293" t="s">
        <v>89</v>
      </c>
      <c r="E75" s="293">
        <v>9</v>
      </c>
      <c r="F75" s="293" t="s">
        <v>362</v>
      </c>
      <c r="G75" s="294">
        <v>116</v>
      </c>
      <c r="H75" s="295">
        <v>0</v>
      </c>
      <c r="I75" s="295">
        <v>6</v>
      </c>
      <c r="J75" s="296">
        <v>0</v>
      </c>
      <c r="K75" s="121">
        <f t="shared" si="15"/>
        <v>117.2</v>
      </c>
      <c r="L75" s="98" t="s">
        <v>392</v>
      </c>
      <c r="M75" s="98"/>
      <c r="N75" s="95" t="s">
        <v>498</v>
      </c>
      <c r="O75" s="95"/>
      <c r="P75" s="99"/>
      <c r="Q75" s="95" t="s">
        <v>258</v>
      </c>
      <c r="R75" s="1393">
        <v>410000</v>
      </c>
      <c r="S75" s="535">
        <v>418000</v>
      </c>
      <c r="T75" s="115">
        <f>S75*1.04</f>
        <v>434720</v>
      </c>
      <c r="U75" s="102">
        <f t="shared" si="13"/>
        <v>3498.2935153583617</v>
      </c>
      <c r="V75" s="102">
        <f>W75/K75</f>
        <v>3604.0955631399315</v>
      </c>
      <c r="W75" s="115">
        <f>Y75*0.96</f>
        <v>422400</v>
      </c>
      <c r="X75" s="102">
        <f>Y75/K75</f>
        <v>3754.2662116040956</v>
      </c>
      <c r="Y75" s="102">
        <v>440000</v>
      </c>
      <c r="Z75" s="102">
        <v>410000</v>
      </c>
      <c r="AA75" s="554">
        <v>45791</v>
      </c>
      <c r="AB75" s="103">
        <v>45814</v>
      </c>
      <c r="AC75" s="313">
        <f>5000+77000</f>
        <v>82000</v>
      </c>
      <c r="AD75" s="1508"/>
      <c r="AE75" s="103"/>
      <c r="AF75" s="313"/>
      <c r="AG75" s="103"/>
      <c r="AH75" s="313">
        <v>328000</v>
      </c>
      <c r="AI75" s="95" t="s">
        <v>247</v>
      </c>
      <c r="AJ75" s="95"/>
      <c r="AK75" s="95"/>
      <c r="AL75" s="95"/>
      <c r="AM75" s="95"/>
      <c r="AN75" s="95"/>
      <c r="AO75" s="95"/>
      <c r="AP75" s="95"/>
      <c r="AQ75" s="95"/>
      <c r="AR75" s="95"/>
      <c r="AS75" s="104" t="s">
        <v>18006</v>
      </c>
      <c r="AT75" s="104" t="s">
        <v>265</v>
      </c>
      <c r="AU75" s="104"/>
      <c r="AV75" s="104"/>
      <c r="AW75" s="104"/>
      <c r="AX75" s="104"/>
      <c r="AY75" s="104"/>
      <c r="AZ75" s="104"/>
      <c r="BA75" s="104"/>
      <c r="BB75" s="115">
        <f t="shared" si="14"/>
        <v>375040</v>
      </c>
      <c r="BC75" s="115">
        <v>3200</v>
      </c>
      <c r="BD75" s="115"/>
    </row>
    <row r="76" spans="1:91" s="559" customFormat="1">
      <c r="A76" s="95">
        <v>75</v>
      </c>
      <c r="B76" s="293" t="s">
        <v>204</v>
      </c>
      <c r="C76" s="293" t="s">
        <v>358</v>
      </c>
      <c r="D76" s="293" t="s">
        <v>91</v>
      </c>
      <c r="E76" s="293">
        <v>9</v>
      </c>
      <c r="F76" s="293" t="s">
        <v>361</v>
      </c>
      <c r="G76" s="294">
        <v>107</v>
      </c>
      <c r="H76" s="295">
        <v>21</v>
      </c>
      <c r="I76" s="295">
        <v>0</v>
      </c>
      <c r="J76" s="296">
        <v>0</v>
      </c>
      <c r="K76" s="121">
        <f t="shared" si="15"/>
        <v>113.3</v>
      </c>
      <c r="L76" s="98" t="s">
        <v>422</v>
      </c>
      <c r="M76" s="98"/>
      <c r="N76" s="95" t="s">
        <v>499</v>
      </c>
      <c r="O76" s="95"/>
      <c r="P76" s="99"/>
      <c r="Q76" s="95" t="s">
        <v>258</v>
      </c>
      <c r="R76" s="668">
        <v>388800</v>
      </c>
      <c r="S76" s="115">
        <v>375000</v>
      </c>
      <c r="T76" s="115">
        <f>S76*1.04</f>
        <v>390000</v>
      </c>
      <c r="U76" s="102">
        <f t="shared" si="13"/>
        <v>3431.5975286849075</v>
      </c>
      <c r="V76" s="102">
        <f>W76/K76</f>
        <v>3431.5975286849075</v>
      </c>
      <c r="W76" s="115">
        <f>Y76*0.96</f>
        <v>388800</v>
      </c>
      <c r="X76" s="102">
        <f>Y76/K76</f>
        <v>3574.5807590467784</v>
      </c>
      <c r="Y76" s="102">
        <v>405000</v>
      </c>
      <c r="Z76" s="101"/>
      <c r="AA76" s="554"/>
      <c r="AB76" s="103">
        <v>45428</v>
      </c>
      <c r="AC76" s="313">
        <v>77760</v>
      </c>
      <c r="AD76" s="313"/>
      <c r="AE76" s="103"/>
      <c r="AF76" s="313"/>
      <c r="AG76" s="103"/>
      <c r="AH76" s="313">
        <v>311040</v>
      </c>
      <c r="AI76" s="95" t="s">
        <v>247</v>
      </c>
      <c r="AJ76" s="95"/>
      <c r="AK76" s="95"/>
      <c r="AL76" s="95"/>
      <c r="AM76" s="95"/>
      <c r="AN76" s="95"/>
      <c r="AO76" s="95"/>
      <c r="AP76" s="95"/>
      <c r="AQ76" s="95"/>
      <c r="AR76" s="95"/>
      <c r="AS76" s="104" t="s">
        <v>17481</v>
      </c>
      <c r="AT76" s="104" t="s">
        <v>265</v>
      </c>
      <c r="AU76" s="104"/>
      <c r="AV76" s="104"/>
      <c r="AW76" s="104"/>
      <c r="AX76" s="104" t="s">
        <v>18335</v>
      </c>
      <c r="AY76" s="104" t="s">
        <v>455</v>
      </c>
      <c r="AZ76" s="104"/>
      <c r="BA76" s="104"/>
      <c r="BB76" s="115">
        <f t="shared" si="14"/>
        <v>362560</v>
      </c>
      <c r="BC76" s="115">
        <v>3200</v>
      </c>
      <c r="BD76" s="115"/>
    </row>
    <row r="77" spans="1:91" s="559" customFormat="1" ht="14.25" customHeight="1">
      <c r="A77" s="95">
        <v>76</v>
      </c>
      <c r="B77" s="293" t="s">
        <v>203</v>
      </c>
      <c r="C77" s="293" t="s">
        <v>358</v>
      </c>
      <c r="D77" s="293" t="s">
        <v>90</v>
      </c>
      <c r="E77" s="293">
        <v>9</v>
      </c>
      <c r="F77" s="293" t="s">
        <v>361</v>
      </c>
      <c r="G77" s="294">
        <v>57</v>
      </c>
      <c r="H77" s="295">
        <v>7</v>
      </c>
      <c r="I77" s="295">
        <v>0</v>
      </c>
      <c r="J77" s="296">
        <v>0</v>
      </c>
      <c r="K77" s="121">
        <f t="shared" si="15"/>
        <v>59.1</v>
      </c>
      <c r="L77" s="98" t="s">
        <v>414</v>
      </c>
      <c r="M77" s="98"/>
      <c r="N77" s="95">
        <v>82</v>
      </c>
      <c r="O77" s="95"/>
      <c r="P77" s="99"/>
      <c r="Q77" s="95" t="s">
        <v>258</v>
      </c>
      <c r="R77" s="603">
        <f>0.96*T77</f>
        <v>244800</v>
      </c>
      <c r="S77" s="115">
        <v>244800</v>
      </c>
      <c r="T77" s="115">
        <v>255000</v>
      </c>
      <c r="U77" s="102">
        <f t="shared" si="13"/>
        <v>4142.1319796954313</v>
      </c>
      <c r="V77" s="102">
        <f t="shared" si="16"/>
        <v>4142.1319796954313</v>
      </c>
      <c r="W77" s="102"/>
      <c r="X77" s="102">
        <f t="shared" si="17"/>
        <v>4314.7208121827407</v>
      </c>
      <c r="Y77" s="102"/>
      <c r="Z77" s="101">
        <f>-(100%-(R77/T77))</f>
        <v>-4.0000000000000036E-2</v>
      </c>
      <c r="AA77" s="554"/>
      <c r="AB77" s="103">
        <v>45167</v>
      </c>
      <c r="AC77" s="313">
        <f>20%*R77</f>
        <v>48960</v>
      </c>
      <c r="AD77" s="313"/>
      <c r="AE77" s="103"/>
      <c r="AF77" s="313"/>
      <c r="AG77" s="103"/>
      <c r="AH77" s="313">
        <f>80%*R77</f>
        <v>195840</v>
      </c>
      <c r="AI77" s="95" t="s">
        <v>247</v>
      </c>
      <c r="AJ77" s="95"/>
      <c r="AK77" s="95"/>
      <c r="AL77" s="95"/>
      <c r="AM77" s="95"/>
      <c r="AN77" s="95"/>
      <c r="AO77" s="95"/>
      <c r="AP77" s="95"/>
      <c r="AQ77" s="95"/>
      <c r="AR77" s="95"/>
      <c r="AS77" s="104" t="s">
        <v>17173</v>
      </c>
      <c r="AT77" s="104" t="s">
        <v>17174</v>
      </c>
      <c r="AU77" s="104"/>
      <c r="AV77" s="104"/>
      <c r="AW77" s="104"/>
      <c r="AX77" s="104" t="s">
        <v>18336</v>
      </c>
      <c r="AY77" s="104">
        <v>352621183665</v>
      </c>
      <c r="AZ77" s="104"/>
      <c r="BA77" s="104"/>
      <c r="BB77" s="115">
        <f t="shared" si="14"/>
        <v>189120</v>
      </c>
      <c r="BC77" s="115">
        <v>3200</v>
      </c>
      <c r="BD77" s="115"/>
      <c r="BE77" s="341"/>
      <c r="BF77" s="341"/>
      <c r="BG77" s="341"/>
      <c r="BH77" s="341"/>
      <c r="BI77" s="341"/>
      <c r="BJ77" s="341"/>
      <c r="BK77" s="341"/>
      <c r="BL77" s="341"/>
      <c r="BM77" s="341"/>
      <c r="BN77" s="341"/>
      <c r="BO77" s="341"/>
      <c r="BP77" s="341"/>
      <c r="BQ77" s="341"/>
      <c r="BR77" s="341"/>
      <c r="BS77" s="341"/>
      <c r="BT77" s="341"/>
      <c r="BU77" s="341"/>
      <c r="BV77" s="341"/>
      <c r="BW77" s="341"/>
      <c r="BX77" s="341"/>
      <c r="BY77" s="341"/>
      <c r="BZ77" s="341"/>
      <c r="CA77" s="341"/>
      <c r="CB77" s="341"/>
      <c r="CC77" s="341"/>
      <c r="CD77" s="341"/>
      <c r="CE77" s="341"/>
      <c r="CF77" s="341"/>
      <c r="CG77" s="341"/>
      <c r="CH77" s="341"/>
      <c r="CI77" s="341"/>
      <c r="CJ77" s="341"/>
      <c r="CK77" s="341"/>
      <c r="CL77" s="341"/>
      <c r="CM77" s="341"/>
    </row>
    <row r="78" spans="1:91" s="559" customFormat="1">
      <c r="A78" s="95">
        <v>77</v>
      </c>
      <c r="B78" s="293" t="s">
        <v>205</v>
      </c>
      <c r="C78" s="293" t="s">
        <v>358</v>
      </c>
      <c r="D78" s="293" t="s">
        <v>365</v>
      </c>
      <c r="E78" s="293">
        <v>9</v>
      </c>
      <c r="F78" s="293" t="s">
        <v>363</v>
      </c>
      <c r="G78" s="294">
        <v>107</v>
      </c>
      <c r="H78" s="295">
        <v>9</v>
      </c>
      <c r="I78" s="295">
        <v>0</v>
      </c>
      <c r="J78" s="296">
        <v>0</v>
      </c>
      <c r="K78" s="121">
        <f t="shared" si="15"/>
        <v>109.7</v>
      </c>
      <c r="L78" s="98" t="s">
        <v>410</v>
      </c>
      <c r="M78" s="98"/>
      <c r="N78" s="95" t="s">
        <v>500</v>
      </c>
      <c r="O78" s="95"/>
      <c r="P78" s="99"/>
      <c r="Q78" s="95" t="s">
        <v>258</v>
      </c>
      <c r="R78" s="115">
        <v>403200</v>
      </c>
      <c r="S78" s="115">
        <v>386000</v>
      </c>
      <c r="T78" s="115">
        <f>S78*1.04</f>
        <v>401440</v>
      </c>
      <c r="U78" s="102">
        <f t="shared" si="13"/>
        <v>3675.4785779398358</v>
      </c>
      <c r="V78" s="102">
        <f>W78/K78</f>
        <v>3675.4785779398358</v>
      </c>
      <c r="W78" s="115">
        <f>Y78*0.96</f>
        <v>403200</v>
      </c>
      <c r="X78" s="102">
        <f>Y78/K78</f>
        <v>3828.6235186873291</v>
      </c>
      <c r="Y78" s="102">
        <v>420000</v>
      </c>
      <c r="Z78" s="101"/>
      <c r="AA78" s="554">
        <v>45523</v>
      </c>
      <c r="AB78" s="103">
        <v>45538</v>
      </c>
      <c r="AC78" s="313">
        <f>40320</f>
        <v>40320</v>
      </c>
      <c r="AD78" s="313">
        <v>20160</v>
      </c>
      <c r="AE78" s="103"/>
      <c r="AF78" s="313"/>
      <c r="AG78" s="103"/>
      <c r="AH78" s="313">
        <v>342720</v>
      </c>
      <c r="AI78" s="95" t="s">
        <v>103</v>
      </c>
      <c r="AJ78" s="95"/>
      <c r="AK78" s="95"/>
      <c r="AL78" s="95"/>
      <c r="AM78" s="95"/>
      <c r="AN78" s="95"/>
      <c r="AO78" s="95"/>
      <c r="AP78" s="95"/>
      <c r="AQ78" s="95"/>
      <c r="AR78" s="95"/>
      <c r="AS78" s="104" t="s">
        <v>17621</v>
      </c>
      <c r="AT78" s="104" t="s">
        <v>17421</v>
      </c>
      <c r="AU78" s="104"/>
      <c r="AV78" s="104"/>
      <c r="AW78" s="104"/>
      <c r="AX78" s="104" t="s">
        <v>18337</v>
      </c>
      <c r="AY78" s="104">
        <v>933661628</v>
      </c>
      <c r="AZ78" s="104"/>
      <c r="BA78" s="104"/>
      <c r="BB78" s="115">
        <f t="shared" si="14"/>
        <v>351040</v>
      </c>
      <c r="BC78" s="115">
        <v>3200</v>
      </c>
      <c r="BD78" s="115"/>
    </row>
    <row r="79" spans="1:91" s="559" customFormat="1">
      <c r="A79" s="95">
        <v>78</v>
      </c>
      <c r="B79" s="293" t="s">
        <v>339</v>
      </c>
      <c r="C79" s="293" t="s">
        <v>358</v>
      </c>
      <c r="D79" s="293" t="s">
        <v>365</v>
      </c>
      <c r="E79" s="293">
        <v>9</v>
      </c>
      <c r="F79" s="293" t="s">
        <v>363</v>
      </c>
      <c r="G79" s="294">
        <v>107</v>
      </c>
      <c r="H79" s="295">
        <v>10</v>
      </c>
      <c r="I79" s="295">
        <v>0</v>
      </c>
      <c r="J79" s="574">
        <v>0</v>
      </c>
      <c r="K79" s="121">
        <f t="shared" si="15"/>
        <v>110</v>
      </c>
      <c r="L79" s="98" t="s">
        <v>411</v>
      </c>
      <c r="M79" s="98"/>
      <c r="N79" s="95" t="s">
        <v>501</v>
      </c>
      <c r="O79" s="95"/>
      <c r="P79" s="99"/>
      <c r="Q79" s="95" t="s">
        <v>258</v>
      </c>
      <c r="R79" s="298">
        <v>385400</v>
      </c>
      <c r="S79" s="115">
        <v>386000</v>
      </c>
      <c r="T79" s="115">
        <f>S79*1.04</f>
        <v>401440</v>
      </c>
      <c r="U79" s="102">
        <f t="shared" si="13"/>
        <v>3503.6363636363635</v>
      </c>
      <c r="V79" s="102">
        <f t="shared" si="16"/>
        <v>3509.090909090909</v>
      </c>
      <c r="W79" s="102"/>
      <c r="X79" s="102">
        <f t="shared" si="17"/>
        <v>3649.4545454545455</v>
      </c>
      <c r="Y79" s="102"/>
      <c r="Z79" s="101"/>
      <c r="AA79" s="554"/>
      <c r="AB79" s="103">
        <v>45225</v>
      </c>
      <c r="AC79" s="313">
        <v>38540</v>
      </c>
      <c r="AD79" s="313">
        <v>38540</v>
      </c>
      <c r="AE79" s="103">
        <f>AB79+60</f>
        <v>45285</v>
      </c>
      <c r="AF79" s="313"/>
      <c r="AG79" s="103"/>
      <c r="AH79" s="313">
        <v>308320</v>
      </c>
      <c r="AI79" s="95" t="s">
        <v>247</v>
      </c>
      <c r="AJ79" s="95" t="s">
        <v>762</v>
      </c>
      <c r="AK79" s="95"/>
      <c r="AL79" s="95"/>
      <c r="AM79" s="95"/>
      <c r="AN79" s="95"/>
      <c r="AO79" s="95"/>
      <c r="AP79" s="95"/>
      <c r="AQ79" s="95"/>
      <c r="AR79" s="95"/>
      <c r="AS79" s="104" t="s">
        <v>17233</v>
      </c>
      <c r="AT79" s="104" t="s">
        <v>17200</v>
      </c>
      <c r="AU79" s="104"/>
      <c r="AV79" s="104"/>
      <c r="AW79" s="104"/>
      <c r="AX79" s="104" t="s">
        <v>18338</v>
      </c>
      <c r="AY79" s="104">
        <v>346716230</v>
      </c>
      <c r="AZ79" s="104"/>
      <c r="BA79" s="104"/>
      <c r="BB79" s="115">
        <f t="shared" si="14"/>
        <v>352000</v>
      </c>
      <c r="BC79" s="115">
        <v>3200</v>
      </c>
      <c r="BD79" s="115"/>
      <c r="BE79" s="341"/>
      <c r="BF79" s="341"/>
      <c r="BG79" s="341"/>
      <c r="BH79" s="341"/>
      <c r="BI79" s="341"/>
      <c r="BJ79" s="341"/>
      <c r="BK79" s="341"/>
      <c r="BL79" s="341"/>
      <c r="BM79" s="341"/>
      <c r="BN79" s="341"/>
      <c r="BO79" s="341"/>
      <c r="BP79" s="341"/>
      <c r="BQ79" s="341"/>
      <c r="BR79" s="341"/>
      <c r="BS79" s="341"/>
      <c r="BT79" s="341"/>
      <c r="BU79" s="341"/>
      <c r="BV79" s="341"/>
      <c r="BW79" s="341"/>
      <c r="BX79" s="341"/>
      <c r="BY79" s="341"/>
      <c r="BZ79" s="341"/>
      <c r="CA79" s="341"/>
      <c r="CB79" s="341"/>
      <c r="CC79" s="341"/>
      <c r="CD79" s="341"/>
      <c r="CE79" s="341"/>
      <c r="CF79" s="341"/>
      <c r="CG79" s="341"/>
      <c r="CH79" s="341"/>
      <c r="CI79" s="341"/>
      <c r="CJ79" s="341"/>
      <c r="CK79" s="341"/>
      <c r="CL79" s="341"/>
      <c r="CM79" s="341"/>
    </row>
    <row r="80" spans="1:91" s="559" customFormat="1">
      <c r="A80" s="95">
        <v>79</v>
      </c>
      <c r="B80" s="293" t="s">
        <v>340</v>
      </c>
      <c r="C80" s="293" t="s">
        <v>358</v>
      </c>
      <c r="D80" s="293" t="s">
        <v>90</v>
      </c>
      <c r="E80" s="293">
        <v>9</v>
      </c>
      <c r="F80" s="293" t="s">
        <v>361</v>
      </c>
      <c r="G80" s="294">
        <v>57</v>
      </c>
      <c r="H80" s="295">
        <v>13</v>
      </c>
      <c r="I80" s="295">
        <v>0</v>
      </c>
      <c r="J80" s="296">
        <v>0</v>
      </c>
      <c r="K80" s="121">
        <f t="shared" si="15"/>
        <v>60.9</v>
      </c>
      <c r="L80" s="98" t="s">
        <v>437</v>
      </c>
      <c r="M80" s="98"/>
      <c r="N80" s="95">
        <v>80</v>
      </c>
      <c r="O80" s="95"/>
      <c r="P80" s="99"/>
      <c r="Q80" s="95" t="s">
        <v>258</v>
      </c>
      <c r="R80" s="298">
        <v>242000</v>
      </c>
      <c r="S80" s="322">
        <f>T80*0.96</f>
        <v>239616</v>
      </c>
      <c r="T80" s="115">
        <v>249600</v>
      </c>
      <c r="U80" s="102">
        <f t="shared" si="13"/>
        <v>3973.7274220032841</v>
      </c>
      <c r="V80" s="102">
        <f t="shared" si="16"/>
        <v>3934.5812807881775</v>
      </c>
      <c r="W80" s="102"/>
      <c r="X80" s="102">
        <f t="shared" si="17"/>
        <v>4098.5221674876848</v>
      </c>
      <c r="Y80" s="102"/>
      <c r="Z80" s="101">
        <f>-(100%-(R80/T80))</f>
        <v>-3.0448717948717952E-2</v>
      </c>
      <c r="AA80" s="554"/>
      <c r="AB80" s="103">
        <v>45128</v>
      </c>
      <c r="AC80" s="313">
        <f>20%*R80</f>
        <v>48400</v>
      </c>
      <c r="AD80" s="313"/>
      <c r="AE80" s="103"/>
      <c r="AF80" s="313"/>
      <c r="AG80" s="103"/>
      <c r="AH80" s="313">
        <f>80%*R80</f>
        <v>193600</v>
      </c>
      <c r="AI80" s="95" t="s">
        <v>274</v>
      </c>
      <c r="AJ80" s="95"/>
      <c r="AK80" s="95"/>
      <c r="AL80" s="95"/>
      <c r="AM80" s="95"/>
      <c r="AN80" s="95"/>
      <c r="AO80" s="95"/>
      <c r="AP80" s="95"/>
      <c r="AQ80" s="95"/>
      <c r="AR80" s="95"/>
      <c r="AS80" s="104" t="s">
        <v>578</v>
      </c>
      <c r="AT80" s="104" t="s">
        <v>517</v>
      </c>
      <c r="AU80" s="104"/>
      <c r="AV80" s="104"/>
      <c r="AW80" s="104"/>
      <c r="AX80" s="104" t="s">
        <v>18339</v>
      </c>
      <c r="AY80" s="104">
        <v>90144</v>
      </c>
      <c r="AZ80" s="104"/>
      <c r="BA80" s="104"/>
      <c r="BB80" s="115">
        <f t="shared" si="14"/>
        <v>194880</v>
      </c>
      <c r="BC80" s="115">
        <v>3200</v>
      </c>
      <c r="BD80" s="115"/>
      <c r="BE80" s="341"/>
      <c r="BF80" s="341"/>
      <c r="BG80" s="341"/>
      <c r="BH80" s="341"/>
      <c r="BI80" s="341"/>
      <c r="BJ80" s="341"/>
      <c r="BK80" s="341"/>
      <c r="BL80" s="341"/>
      <c r="BM80" s="341"/>
      <c r="BN80" s="341"/>
      <c r="BO80" s="341"/>
      <c r="BP80" s="341"/>
      <c r="BQ80" s="341"/>
      <c r="BR80" s="341"/>
      <c r="BS80" s="341"/>
      <c r="BT80" s="341"/>
      <c r="BU80" s="341"/>
      <c r="BV80" s="341"/>
      <c r="BW80" s="341"/>
      <c r="BX80" s="341"/>
      <c r="BY80" s="341"/>
      <c r="BZ80" s="341"/>
      <c r="CA80" s="341"/>
      <c r="CB80" s="341"/>
      <c r="CC80" s="341"/>
      <c r="CD80" s="341"/>
      <c r="CE80" s="341"/>
      <c r="CF80" s="341"/>
      <c r="CG80" s="341"/>
      <c r="CH80" s="341"/>
      <c r="CI80" s="341"/>
      <c r="CJ80" s="341"/>
      <c r="CK80" s="341"/>
      <c r="CL80" s="341"/>
      <c r="CM80" s="341"/>
    </row>
    <row r="81" spans="1:91" s="559" customFormat="1">
      <c r="A81" s="95">
        <v>80</v>
      </c>
      <c r="B81" s="293" t="s">
        <v>341</v>
      </c>
      <c r="C81" s="293" t="s">
        <v>358</v>
      </c>
      <c r="D81" s="293" t="s">
        <v>89</v>
      </c>
      <c r="E81" s="293">
        <v>9</v>
      </c>
      <c r="F81" s="293" t="s">
        <v>361</v>
      </c>
      <c r="G81" s="294">
        <v>136</v>
      </c>
      <c r="H81" s="295">
        <v>22</v>
      </c>
      <c r="I81" s="295">
        <v>0</v>
      </c>
      <c r="J81" s="296">
        <v>0</v>
      </c>
      <c r="K81" s="121">
        <f t="shared" si="15"/>
        <v>142.6</v>
      </c>
      <c r="L81" s="98" t="s">
        <v>393</v>
      </c>
      <c r="M81" s="98"/>
      <c r="N81" s="95" t="s">
        <v>502</v>
      </c>
      <c r="O81" s="95"/>
      <c r="P81" s="99"/>
      <c r="Q81" s="95" t="s">
        <v>258</v>
      </c>
      <c r="R81" s="298">
        <v>484250</v>
      </c>
      <c r="S81" s="322">
        <f>T81*0.96</f>
        <v>484224</v>
      </c>
      <c r="T81" s="115">
        <v>504400</v>
      </c>
      <c r="U81" s="102">
        <f t="shared" si="13"/>
        <v>3395.8625525946704</v>
      </c>
      <c r="V81" s="102">
        <f t="shared" si="16"/>
        <v>3395.6802244039272</v>
      </c>
      <c r="W81" s="102"/>
      <c r="X81" s="102">
        <f t="shared" si="17"/>
        <v>3537.1669004207574</v>
      </c>
      <c r="Y81" s="102"/>
      <c r="Z81" s="101"/>
      <c r="AA81" s="554"/>
      <c r="AB81" s="103">
        <v>45126</v>
      </c>
      <c r="AC81" s="313">
        <v>96850</v>
      </c>
      <c r="AD81" s="313"/>
      <c r="AE81" s="103"/>
      <c r="AF81" s="313"/>
      <c r="AG81" s="103"/>
      <c r="AH81" s="313">
        <v>387400</v>
      </c>
      <c r="AI81" s="95" t="s">
        <v>247</v>
      </c>
      <c r="AJ81" s="95" t="s">
        <v>253</v>
      </c>
      <c r="AK81" s="306">
        <v>0.04</v>
      </c>
      <c r="AL81" s="95"/>
      <c r="AM81" s="306" t="s">
        <v>746</v>
      </c>
      <c r="AN81" s="95"/>
      <c r="AO81" s="95"/>
      <c r="AP81" s="95" t="s">
        <v>739</v>
      </c>
      <c r="AQ81" s="306" t="s">
        <v>249</v>
      </c>
      <c r="AR81" s="95"/>
      <c r="AS81" s="104" t="s">
        <v>732</v>
      </c>
      <c r="AT81" s="671" t="s">
        <v>730</v>
      </c>
      <c r="AU81" s="671"/>
      <c r="AV81" s="671"/>
      <c r="AW81" s="671"/>
      <c r="AX81" s="671" t="s">
        <v>18323</v>
      </c>
      <c r="AY81" s="671">
        <v>2.7463718727495312</v>
      </c>
      <c r="AZ81" s="104"/>
      <c r="BA81" s="104"/>
      <c r="BB81" s="115">
        <f t="shared" si="14"/>
        <v>456320</v>
      </c>
      <c r="BC81" s="115">
        <v>3200</v>
      </c>
      <c r="BD81" s="115"/>
      <c r="BE81" s="341"/>
      <c r="BF81" s="341"/>
      <c r="BG81" s="341"/>
      <c r="BH81" s="341"/>
      <c r="BI81" s="341"/>
      <c r="BJ81" s="341"/>
      <c r="BK81" s="341"/>
      <c r="BL81" s="341"/>
      <c r="BM81" s="341"/>
      <c r="BN81" s="341"/>
      <c r="BO81" s="341"/>
      <c r="BP81" s="341"/>
      <c r="BQ81" s="341"/>
      <c r="BR81" s="341"/>
      <c r="BS81" s="341"/>
      <c r="BT81" s="341"/>
      <c r="BU81" s="341"/>
      <c r="BV81" s="341"/>
      <c r="BW81" s="341"/>
      <c r="BX81" s="341"/>
      <c r="BY81" s="341"/>
      <c r="BZ81" s="341"/>
      <c r="CA81" s="341"/>
      <c r="CB81" s="341"/>
      <c r="CC81" s="341"/>
      <c r="CD81" s="341"/>
      <c r="CE81" s="341"/>
      <c r="CF81" s="341"/>
      <c r="CG81" s="341"/>
      <c r="CH81" s="341"/>
      <c r="CI81" s="341"/>
      <c r="CJ81" s="341"/>
      <c r="CK81" s="341"/>
      <c r="CL81" s="341"/>
      <c r="CM81" s="341"/>
    </row>
    <row r="82" spans="1:91" s="559" customFormat="1">
      <c r="A82" s="95">
        <v>81</v>
      </c>
      <c r="B82" s="384" t="s">
        <v>342</v>
      </c>
      <c r="C82" s="384" t="s">
        <v>358</v>
      </c>
      <c r="D82" s="384" t="s">
        <v>91</v>
      </c>
      <c r="E82" s="384">
        <v>9</v>
      </c>
      <c r="F82" s="384" t="s">
        <v>362</v>
      </c>
      <c r="G82" s="385">
        <v>95</v>
      </c>
      <c r="H82" s="386">
        <v>0</v>
      </c>
      <c r="I82" s="386">
        <v>0</v>
      </c>
      <c r="J82" s="296">
        <v>0</v>
      </c>
      <c r="K82" s="121">
        <f t="shared" si="15"/>
        <v>95</v>
      </c>
      <c r="L82" s="98" t="s">
        <v>396</v>
      </c>
      <c r="M82" s="98"/>
      <c r="N82" s="95">
        <v>87</v>
      </c>
      <c r="O82" s="95"/>
      <c r="P82" s="388"/>
      <c r="Q82" s="95" t="s">
        <v>258</v>
      </c>
      <c r="R82" s="298">
        <v>344000</v>
      </c>
      <c r="S82" s="390">
        <f>T82*0.96</f>
        <v>336960</v>
      </c>
      <c r="T82" s="115">
        <v>351000</v>
      </c>
      <c r="U82" s="102">
        <f t="shared" si="13"/>
        <v>3621.0526315789475</v>
      </c>
      <c r="V82" s="102">
        <f t="shared" si="16"/>
        <v>3546.9473684210525</v>
      </c>
      <c r="W82" s="102"/>
      <c r="X82" s="102">
        <f t="shared" si="17"/>
        <v>3694.7368421052633</v>
      </c>
      <c r="Y82" s="102"/>
      <c r="Z82" s="101">
        <f>-(100%-(R82/T82))</f>
        <v>-1.9943019943019946E-2</v>
      </c>
      <c r="AA82" s="554"/>
      <c r="AB82" s="103">
        <v>45083</v>
      </c>
      <c r="AC82" s="313">
        <f>15%*R82</f>
        <v>51600</v>
      </c>
      <c r="AD82" s="313"/>
      <c r="AE82" s="103"/>
      <c r="AF82" s="313"/>
      <c r="AG82" s="103"/>
      <c r="AH82" s="313">
        <f>85%*R82</f>
        <v>292400</v>
      </c>
      <c r="AI82" s="95" t="s">
        <v>274</v>
      </c>
      <c r="AJ82" s="95"/>
      <c r="AK82" s="306">
        <v>0.04</v>
      </c>
      <c r="AL82" s="306" t="s">
        <v>743</v>
      </c>
      <c r="AM82" s="306"/>
      <c r="AN82" s="306"/>
      <c r="AO82" s="306"/>
      <c r="AP82" s="306"/>
      <c r="AQ82" s="95"/>
      <c r="AR82" s="95"/>
      <c r="AS82" s="104" t="s">
        <v>576</v>
      </c>
      <c r="AT82" s="104" t="s">
        <v>517</v>
      </c>
      <c r="AU82" s="104"/>
      <c r="AV82" s="104"/>
      <c r="AW82" s="104"/>
      <c r="AX82" s="104" t="s">
        <v>18340</v>
      </c>
      <c r="AY82" s="104">
        <v>972549058200</v>
      </c>
      <c r="AZ82" s="104"/>
      <c r="BA82" s="104"/>
      <c r="BB82" s="115">
        <f t="shared" si="14"/>
        <v>304000</v>
      </c>
      <c r="BC82" s="115">
        <v>3200</v>
      </c>
      <c r="BD82" s="115"/>
      <c r="BE82" s="341"/>
      <c r="BF82" s="341"/>
      <c r="BG82" s="341"/>
      <c r="BH82" s="341"/>
      <c r="BI82" s="341"/>
      <c r="BJ82" s="341"/>
      <c r="BK82" s="341"/>
      <c r="BL82" s="341"/>
      <c r="BM82" s="341"/>
      <c r="BN82" s="341"/>
      <c r="BO82" s="341"/>
      <c r="BP82" s="341"/>
      <c r="BQ82" s="341"/>
      <c r="BR82" s="341"/>
      <c r="BS82" s="341"/>
      <c r="BT82" s="341"/>
      <c r="BU82" s="341"/>
      <c r="BV82" s="341"/>
      <c r="BW82" s="341"/>
      <c r="BX82" s="341"/>
      <c r="BY82" s="341"/>
      <c r="BZ82" s="341"/>
      <c r="CA82" s="341"/>
      <c r="CB82" s="341"/>
      <c r="CC82" s="341"/>
      <c r="CD82" s="341"/>
      <c r="CE82" s="341"/>
      <c r="CF82" s="341"/>
      <c r="CG82" s="341"/>
      <c r="CH82" s="341"/>
      <c r="CI82" s="341"/>
      <c r="CJ82" s="341"/>
      <c r="CK82" s="341"/>
      <c r="CL82" s="341"/>
      <c r="CM82" s="341"/>
    </row>
    <row r="83" spans="1:91" s="559" customFormat="1" ht="15.75" thickBot="1">
      <c r="A83" s="95">
        <v>82</v>
      </c>
      <c r="B83" s="293" t="s">
        <v>343</v>
      </c>
      <c r="C83" s="293" t="s">
        <v>358</v>
      </c>
      <c r="D83" s="293" t="s">
        <v>90</v>
      </c>
      <c r="E83" s="293">
        <v>9</v>
      </c>
      <c r="F83" s="293" t="s">
        <v>362</v>
      </c>
      <c r="G83" s="294">
        <v>57</v>
      </c>
      <c r="H83" s="295">
        <v>0</v>
      </c>
      <c r="I83" s="295">
        <v>6</v>
      </c>
      <c r="J83" s="296">
        <v>0</v>
      </c>
      <c r="K83" s="121">
        <f t="shared" si="15"/>
        <v>58.2</v>
      </c>
      <c r="L83" s="98" t="s">
        <v>436</v>
      </c>
      <c r="M83" s="98"/>
      <c r="N83" s="95">
        <v>79</v>
      </c>
      <c r="O83" s="95"/>
      <c r="P83" s="99"/>
      <c r="Q83" s="95" t="s">
        <v>258</v>
      </c>
      <c r="R83" s="604">
        <v>221760</v>
      </c>
      <c r="S83" s="322">
        <v>224000</v>
      </c>
      <c r="T83" s="115">
        <v>231000</v>
      </c>
      <c r="U83" s="102">
        <f t="shared" si="13"/>
        <v>3810.3092783505153</v>
      </c>
      <c r="V83" s="102">
        <f t="shared" si="16"/>
        <v>3848.7972508591065</v>
      </c>
      <c r="W83" s="102"/>
      <c r="X83" s="102">
        <f t="shared" si="17"/>
        <v>3969.0721649484535</v>
      </c>
      <c r="Y83" s="102"/>
      <c r="Z83" s="101"/>
      <c r="AA83" s="554"/>
      <c r="AB83" s="103">
        <v>45198</v>
      </c>
      <c r="AC83" s="313">
        <v>44352</v>
      </c>
      <c r="AD83" s="313"/>
      <c r="AE83" s="103"/>
      <c r="AF83" s="313"/>
      <c r="AG83" s="103"/>
      <c r="AH83" s="313">
        <v>177408</v>
      </c>
      <c r="AI83" s="95" t="s">
        <v>247</v>
      </c>
      <c r="AJ83" s="95"/>
      <c r="AK83" s="95"/>
      <c r="AL83" s="95"/>
      <c r="AM83" s="95"/>
      <c r="AN83" s="95"/>
      <c r="AO83" s="95"/>
      <c r="AP83" s="95"/>
      <c r="AQ83" s="95"/>
      <c r="AR83" s="95"/>
      <c r="AS83" s="104" t="s">
        <v>17193</v>
      </c>
      <c r="AT83" s="104" t="s">
        <v>265</v>
      </c>
      <c r="AU83" s="104"/>
      <c r="AV83" s="104"/>
      <c r="AW83" s="104"/>
      <c r="AX83" s="104" t="s">
        <v>18341</v>
      </c>
      <c r="AY83" s="104" t="s">
        <v>18342</v>
      </c>
      <c r="AZ83" s="104"/>
      <c r="BA83" s="104"/>
      <c r="BB83" s="115">
        <f t="shared" si="14"/>
        <v>186240</v>
      </c>
      <c r="BC83" s="115">
        <v>3200</v>
      </c>
      <c r="BD83" s="115"/>
      <c r="BE83" s="341"/>
      <c r="BF83" s="341"/>
      <c r="BG83" s="341"/>
      <c r="BH83" s="341"/>
      <c r="BI83" s="341"/>
      <c r="BJ83" s="341"/>
      <c r="BK83" s="341"/>
      <c r="BL83" s="341"/>
      <c r="BM83" s="341"/>
      <c r="BN83" s="341"/>
      <c r="BO83" s="341"/>
      <c r="BP83" s="341"/>
      <c r="BQ83" s="341"/>
      <c r="BR83" s="341"/>
      <c r="BS83" s="341"/>
      <c r="BT83" s="341"/>
      <c r="BU83" s="341"/>
      <c r="BV83" s="341"/>
      <c r="BW83" s="341"/>
      <c r="BX83" s="341"/>
      <c r="BY83" s="341"/>
      <c r="BZ83" s="341"/>
      <c r="CA83" s="341"/>
      <c r="CB83" s="341"/>
      <c r="CC83" s="341"/>
      <c r="CD83" s="341"/>
      <c r="CE83" s="341"/>
      <c r="CF83" s="341"/>
      <c r="CG83" s="341"/>
      <c r="CH83" s="341"/>
      <c r="CI83" s="341"/>
      <c r="CJ83" s="341"/>
      <c r="CK83" s="341"/>
      <c r="CL83" s="341"/>
      <c r="CM83" s="341"/>
    </row>
    <row r="84" spans="1:91" s="561" customFormat="1" ht="15.75" thickBot="1">
      <c r="A84" s="26">
        <v>83</v>
      </c>
      <c r="B84" s="1851" t="s">
        <v>344</v>
      </c>
      <c r="C84" s="1851" t="s">
        <v>358</v>
      </c>
      <c r="D84" s="1851" t="s">
        <v>89</v>
      </c>
      <c r="E84" s="1851">
        <v>10</v>
      </c>
      <c r="F84" s="1851" t="s">
        <v>362</v>
      </c>
      <c r="G84" s="1852">
        <v>116</v>
      </c>
      <c r="H84" s="1853">
        <v>0</v>
      </c>
      <c r="I84" s="1853">
        <v>6</v>
      </c>
      <c r="J84" s="1769">
        <v>0</v>
      </c>
      <c r="K84" s="1144">
        <f t="shared" si="15"/>
        <v>117.2</v>
      </c>
      <c r="L84" s="1854" t="s">
        <v>394</v>
      </c>
      <c r="M84" s="1854"/>
      <c r="N84" s="26" t="s">
        <v>533</v>
      </c>
      <c r="O84" s="26"/>
      <c r="P84" s="1771"/>
      <c r="Q84" s="26" t="s">
        <v>210</v>
      </c>
      <c r="R84" s="1855">
        <v>427200</v>
      </c>
      <c r="S84" s="1856">
        <v>423000</v>
      </c>
      <c r="T84" s="38">
        <f>S84*1.04</f>
        <v>439920</v>
      </c>
      <c r="U84" s="28">
        <f t="shared" si="13"/>
        <v>3645.0511945392491</v>
      </c>
      <c r="V84" s="28">
        <f>W84/K84</f>
        <v>3645.0511945392491</v>
      </c>
      <c r="W84" s="38">
        <f>Y84*0.96</f>
        <v>427200</v>
      </c>
      <c r="X84" s="28">
        <f>Y84/K84</f>
        <v>3796.928327645051</v>
      </c>
      <c r="Y84" s="28">
        <v>445000</v>
      </c>
      <c r="Z84" s="28">
        <v>415000</v>
      </c>
      <c r="AA84" s="256">
        <v>45973</v>
      </c>
      <c r="AB84" s="29"/>
      <c r="AC84" s="312">
        <f>5000+80440</f>
        <v>85440</v>
      </c>
      <c r="AD84" s="1857"/>
      <c r="AE84" s="29"/>
      <c r="AF84" s="312"/>
      <c r="AG84" s="29"/>
      <c r="AH84" s="312">
        <v>341760</v>
      </c>
      <c r="AI84" s="26" t="s">
        <v>247</v>
      </c>
      <c r="AJ84" s="26"/>
      <c r="AK84" s="26"/>
      <c r="AL84" s="26"/>
      <c r="AM84" s="26"/>
      <c r="AN84" s="26"/>
      <c r="AO84" s="26"/>
      <c r="AP84" s="26"/>
      <c r="AQ84" s="26"/>
      <c r="AR84" s="26"/>
      <c r="AS84" s="30" t="s">
        <v>18390</v>
      </c>
      <c r="AT84" s="30" t="s">
        <v>565</v>
      </c>
      <c r="AU84" s="30"/>
      <c r="AV84" s="30"/>
      <c r="AW84" s="30"/>
      <c r="AX84" s="30"/>
      <c r="AY84" s="30"/>
      <c r="AZ84" s="30"/>
      <c r="BA84" s="30"/>
      <c r="BB84" s="38">
        <f t="shared" si="14"/>
        <v>375040</v>
      </c>
      <c r="BC84" s="38">
        <v>3200</v>
      </c>
      <c r="BD84" s="38"/>
    </row>
    <row r="85" spans="1:91" s="559" customFormat="1">
      <c r="A85" s="95">
        <v>84</v>
      </c>
      <c r="B85" s="293" t="s">
        <v>345</v>
      </c>
      <c r="C85" s="293" t="s">
        <v>358</v>
      </c>
      <c r="D85" s="293" t="s">
        <v>91</v>
      </c>
      <c r="E85" s="293">
        <v>10</v>
      </c>
      <c r="F85" s="293" t="s">
        <v>361</v>
      </c>
      <c r="G85" s="294">
        <v>107</v>
      </c>
      <c r="H85" s="295">
        <v>14</v>
      </c>
      <c r="I85" s="295">
        <v>0</v>
      </c>
      <c r="J85" s="296">
        <v>0</v>
      </c>
      <c r="K85" s="121">
        <f t="shared" si="15"/>
        <v>111.2</v>
      </c>
      <c r="L85" s="98" t="s">
        <v>412</v>
      </c>
      <c r="M85" s="98"/>
      <c r="N85" s="95" t="s">
        <v>503</v>
      </c>
      <c r="O85" s="95"/>
      <c r="P85" s="99"/>
      <c r="Q85" s="95" t="s">
        <v>258</v>
      </c>
      <c r="R85" s="298">
        <v>379392</v>
      </c>
      <c r="S85" s="322">
        <f>T85*0.96</f>
        <v>379392</v>
      </c>
      <c r="T85" s="115">
        <v>395200</v>
      </c>
      <c r="U85" s="102">
        <f t="shared" si="13"/>
        <v>3411.798561151079</v>
      </c>
      <c r="V85" s="102">
        <f t="shared" si="16"/>
        <v>3411.798561151079</v>
      </c>
      <c r="W85" s="102"/>
      <c r="X85" s="102">
        <f t="shared" si="17"/>
        <v>3553.9568345323742</v>
      </c>
      <c r="Y85" s="102"/>
      <c r="Z85" s="101">
        <f>-(100%-(R85/T85))</f>
        <v>-4.0000000000000036E-2</v>
      </c>
      <c r="AA85" s="554"/>
      <c r="AB85" s="103">
        <v>45077</v>
      </c>
      <c r="AC85" s="313">
        <f>0.2*R85</f>
        <v>75878.400000000009</v>
      </c>
      <c r="AD85" s="313"/>
      <c r="AE85" s="103"/>
      <c r="AF85" s="313"/>
      <c r="AG85" s="103"/>
      <c r="AH85" s="313">
        <f>80%*R85</f>
        <v>303513.60000000003</v>
      </c>
      <c r="AI85" s="95" t="s">
        <v>247</v>
      </c>
      <c r="AJ85" s="95" t="s">
        <v>253</v>
      </c>
      <c r="AK85" s="306">
        <v>0.04</v>
      </c>
      <c r="AL85" s="306"/>
      <c r="AM85" s="306" t="s">
        <v>744</v>
      </c>
      <c r="AN85" s="306" t="s">
        <v>249</v>
      </c>
      <c r="AO85" s="306"/>
      <c r="AP85" s="306" t="s">
        <v>742</v>
      </c>
      <c r="AQ85" s="306" t="s">
        <v>249</v>
      </c>
      <c r="AR85" s="306"/>
      <c r="AS85" s="104" t="s">
        <v>596</v>
      </c>
      <c r="AT85" s="104" t="s">
        <v>591</v>
      </c>
      <c r="AU85" s="104"/>
      <c r="AV85" s="104"/>
      <c r="AW85" s="104"/>
      <c r="AX85" s="104" t="s">
        <v>18343</v>
      </c>
      <c r="AY85" s="104">
        <v>4917699356429</v>
      </c>
      <c r="AZ85" s="104"/>
      <c r="BA85" s="104"/>
      <c r="BB85" s="115">
        <f t="shared" si="14"/>
        <v>355840</v>
      </c>
      <c r="BC85" s="115">
        <v>3200</v>
      </c>
      <c r="BD85" s="115"/>
      <c r="BE85" s="341"/>
      <c r="BF85" s="341"/>
      <c r="BG85" s="341"/>
      <c r="BH85" s="341"/>
      <c r="BI85" s="341"/>
      <c r="BJ85" s="341"/>
      <c r="BK85" s="341"/>
      <c r="BL85" s="341"/>
      <c r="BM85" s="341"/>
      <c r="BN85" s="341"/>
      <c r="BO85" s="341"/>
      <c r="BP85" s="341"/>
      <c r="BQ85" s="341"/>
      <c r="BR85" s="341"/>
      <c r="BS85" s="341"/>
      <c r="BT85" s="341"/>
      <c r="BU85" s="341"/>
      <c r="BV85" s="341"/>
      <c r="BW85" s="341"/>
      <c r="BX85" s="341"/>
      <c r="BY85" s="341"/>
      <c r="BZ85" s="341"/>
      <c r="CA85" s="341"/>
      <c r="CB85" s="341"/>
      <c r="CC85" s="341"/>
      <c r="CD85" s="341"/>
      <c r="CE85" s="341"/>
      <c r="CF85" s="341"/>
      <c r="CG85" s="341"/>
      <c r="CH85" s="341"/>
      <c r="CI85" s="341"/>
      <c r="CJ85" s="341"/>
      <c r="CK85" s="341"/>
      <c r="CL85" s="341"/>
      <c r="CM85" s="341"/>
    </row>
    <row r="86" spans="1:91" s="559" customFormat="1">
      <c r="A86" s="95">
        <v>85</v>
      </c>
      <c r="B86" s="293" t="s">
        <v>346</v>
      </c>
      <c r="C86" s="293" t="s">
        <v>358</v>
      </c>
      <c r="D86" s="293" t="s">
        <v>90</v>
      </c>
      <c r="E86" s="293">
        <v>10</v>
      </c>
      <c r="F86" s="293" t="s">
        <v>361</v>
      </c>
      <c r="G86" s="294">
        <v>57</v>
      </c>
      <c r="H86" s="295">
        <v>17</v>
      </c>
      <c r="I86" s="295">
        <v>0</v>
      </c>
      <c r="J86" s="296">
        <v>0</v>
      </c>
      <c r="K86" s="121">
        <f t="shared" si="15"/>
        <v>62.1</v>
      </c>
      <c r="L86" s="98" t="s">
        <v>435</v>
      </c>
      <c r="M86" s="98"/>
      <c r="N86" s="95" t="s">
        <v>504</v>
      </c>
      <c r="O86" s="95"/>
      <c r="P86" s="105"/>
      <c r="Q86" s="95" t="s">
        <v>258</v>
      </c>
      <c r="R86" s="298">
        <v>249600</v>
      </c>
      <c r="S86" s="322">
        <f>T86*0.96</f>
        <v>249600</v>
      </c>
      <c r="T86" s="115">
        <v>260000</v>
      </c>
      <c r="U86" s="102">
        <f t="shared" si="13"/>
        <v>4019.3236714975847</v>
      </c>
      <c r="V86" s="102">
        <f t="shared" si="16"/>
        <v>4019.3236714975847</v>
      </c>
      <c r="W86" s="102"/>
      <c r="X86" s="102">
        <f t="shared" si="17"/>
        <v>4186.7954911433171</v>
      </c>
      <c r="Y86" s="102"/>
      <c r="Z86" s="101"/>
      <c r="AA86" s="554"/>
      <c r="AB86" s="103">
        <v>45197</v>
      </c>
      <c r="AC86" s="313">
        <v>49920</v>
      </c>
      <c r="AD86" s="313"/>
      <c r="AE86" s="103"/>
      <c r="AF86" s="313"/>
      <c r="AG86" s="103"/>
      <c r="AH86" s="313">
        <v>199680</v>
      </c>
      <c r="AI86" s="95" t="s">
        <v>247</v>
      </c>
      <c r="AJ86" s="95"/>
      <c r="AK86" s="95"/>
      <c r="AL86" s="95"/>
      <c r="AM86" s="95"/>
      <c r="AN86" s="95"/>
      <c r="AO86" s="95"/>
      <c r="AP86" s="95"/>
      <c r="AQ86" s="95"/>
      <c r="AR86" s="95"/>
      <c r="AS86" s="104" t="s">
        <v>17196</v>
      </c>
      <c r="AT86" s="104" t="s">
        <v>265</v>
      </c>
      <c r="AU86" s="104"/>
      <c r="AV86" s="104"/>
      <c r="AW86" s="104"/>
      <c r="AX86" s="104" t="s">
        <v>18344</v>
      </c>
      <c r="AY86" s="104">
        <v>916144071</v>
      </c>
      <c r="AZ86" s="104"/>
      <c r="BA86" s="104"/>
      <c r="BB86" s="115">
        <f t="shared" si="14"/>
        <v>198720</v>
      </c>
      <c r="BC86" s="115">
        <v>3200</v>
      </c>
      <c r="BD86" s="115"/>
      <c r="BE86" s="341"/>
      <c r="BF86" s="341"/>
      <c r="BG86" s="341"/>
      <c r="BH86" s="341"/>
      <c r="BI86" s="341"/>
      <c r="BJ86" s="341"/>
      <c r="BK86" s="341"/>
      <c r="BL86" s="341"/>
      <c r="BM86" s="341"/>
      <c r="BN86" s="341"/>
      <c r="BO86" s="341"/>
      <c r="BP86" s="341"/>
      <c r="BQ86" s="341"/>
      <c r="BR86" s="341"/>
      <c r="BS86" s="341"/>
      <c r="BT86" s="341"/>
      <c r="BU86" s="341"/>
      <c r="BV86" s="341"/>
      <c r="BW86" s="341"/>
      <c r="BX86" s="341"/>
      <c r="BY86" s="341"/>
      <c r="BZ86" s="341"/>
      <c r="CA86" s="341"/>
      <c r="CB86" s="341"/>
      <c r="CC86" s="341"/>
      <c r="CD86" s="341"/>
      <c r="CE86" s="341"/>
      <c r="CF86" s="341"/>
      <c r="CG86" s="341"/>
      <c r="CH86" s="341"/>
      <c r="CI86" s="341"/>
      <c r="CJ86" s="341"/>
      <c r="CK86" s="341"/>
      <c r="CL86" s="341"/>
      <c r="CM86" s="341"/>
    </row>
    <row r="87" spans="1:91" s="559" customFormat="1">
      <c r="A87" s="95">
        <v>86</v>
      </c>
      <c r="B87" s="293" t="s">
        <v>347</v>
      </c>
      <c r="C87" s="293" t="s">
        <v>358</v>
      </c>
      <c r="D87" s="293" t="s">
        <v>365</v>
      </c>
      <c r="E87" s="293">
        <v>10</v>
      </c>
      <c r="F87" s="293" t="s">
        <v>363</v>
      </c>
      <c r="G87" s="294">
        <v>107</v>
      </c>
      <c r="H87" s="295">
        <v>14</v>
      </c>
      <c r="I87" s="295">
        <v>0</v>
      </c>
      <c r="J87" s="296">
        <v>0</v>
      </c>
      <c r="K87" s="121">
        <f t="shared" si="15"/>
        <v>111.2</v>
      </c>
      <c r="L87" s="98" t="s">
        <v>403</v>
      </c>
      <c r="M87" s="98"/>
      <c r="N87" s="95" t="s">
        <v>505</v>
      </c>
      <c r="O87" s="95"/>
      <c r="P87" s="99"/>
      <c r="Q87" s="95" t="s">
        <v>258</v>
      </c>
      <c r="R87" s="298">
        <v>376320</v>
      </c>
      <c r="S87" s="322">
        <f>T87*0.96</f>
        <v>376320</v>
      </c>
      <c r="T87" s="115">
        <v>392000</v>
      </c>
      <c r="U87" s="102">
        <f t="shared" si="13"/>
        <v>3384.1726618705034</v>
      </c>
      <c r="V87" s="102">
        <f t="shared" si="16"/>
        <v>3384.1726618705034</v>
      </c>
      <c r="W87" s="102"/>
      <c r="X87" s="102">
        <f t="shared" si="17"/>
        <v>3525.1798561151077</v>
      </c>
      <c r="Y87" s="102"/>
      <c r="Z87" s="101">
        <f>-(100%-(R87/T87))</f>
        <v>-4.0000000000000036E-2</v>
      </c>
      <c r="AA87" s="554"/>
      <c r="AB87" s="103">
        <v>45073</v>
      </c>
      <c r="AC87" s="313">
        <v>75264</v>
      </c>
      <c r="AD87" s="313"/>
      <c r="AE87" s="103"/>
      <c r="AF87" s="313"/>
      <c r="AG87" s="103"/>
      <c r="AH87" s="313">
        <v>301056</v>
      </c>
      <c r="AI87" s="95" t="s">
        <v>247</v>
      </c>
      <c r="AJ87" s="95" t="s">
        <v>756</v>
      </c>
      <c r="AK87" s="306">
        <v>0.04</v>
      </c>
      <c r="AL87" s="306"/>
      <c r="AM87" s="306" t="s">
        <v>744</v>
      </c>
      <c r="AN87" s="306" t="s">
        <v>249</v>
      </c>
      <c r="AO87" s="306"/>
      <c r="AP87" s="306" t="s">
        <v>742</v>
      </c>
      <c r="AQ87" s="306" t="s">
        <v>249</v>
      </c>
      <c r="AR87" s="306"/>
      <c r="AS87" s="104" t="s">
        <v>568</v>
      </c>
      <c r="AT87" s="104" t="s">
        <v>265</v>
      </c>
      <c r="AU87" s="104"/>
      <c r="AV87" s="104"/>
      <c r="AW87" s="104"/>
      <c r="AX87" s="104" t="s">
        <v>17763</v>
      </c>
      <c r="AY87" s="104">
        <v>965283329</v>
      </c>
      <c r="AZ87" s="104"/>
      <c r="BA87" s="104"/>
      <c r="BB87" s="115">
        <f t="shared" si="14"/>
        <v>355840</v>
      </c>
      <c r="BC87" s="115">
        <v>3200</v>
      </c>
      <c r="BD87" s="115"/>
      <c r="BE87" s="341"/>
      <c r="BF87" s="341"/>
      <c r="BG87" s="341"/>
      <c r="BH87" s="341"/>
      <c r="BI87" s="341"/>
      <c r="BJ87" s="341"/>
      <c r="BK87" s="341"/>
      <c r="BL87" s="341"/>
      <c r="BM87" s="341"/>
      <c r="BN87" s="341"/>
      <c r="BO87" s="341"/>
      <c r="BP87" s="341"/>
      <c r="BQ87" s="341"/>
      <c r="BR87" s="341"/>
      <c r="BS87" s="341"/>
      <c r="BT87" s="341"/>
      <c r="BU87" s="341"/>
      <c r="BV87" s="341"/>
      <c r="BW87" s="341"/>
      <c r="BX87" s="341"/>
      <c r="BY87" s="341"/>
      <c r="BZ87" s="341"/>
      <c r="CA87" s="341"/>
      <c r="CB87" s="341"/>
      <c r="CC87" s="341"/>
      <c r="CD87" s="341"/>
      <c r="CE87" s="341"/>
      <c r="CF87" s="341"/>
      <c r="CG87" s="341"/>
      <c r="CH87" s="341"/>
      <c r="CI87" s="341"/>
      <c r="CJ87" s="341"/>
      <c r="CK87" s="341"/>
      <c r="CL87" s="341"/>
      <c r="CM87" s="341"/>
    </row>
    <row r="88" spans="1:91" s="559" customFormat="1">
      <c r="A88" s="95">
        <v>87</v>
      </c>
      <c r="B88" s="293" t="s">
        <v>348</v>
      </c>
      <c r="C88" s="293" t="s">
        <v>358</v>
      </c>
      <c r="D88" s="293" t="s">
        <v>365</v>
      </c>
      <c r="E88" s="293">
        <v>10</v>
      </c>
      <c r="F88" s="293" t="s">
        <v>363</v>
      </c>
      <c r="G88" s="294">
        <v>107</v>
      </c>
      <c r="H88" s="295">
        <v>7</v>
      </c>
      <c r="I88" s="295">
        <v>0</v>
      </c>
      <c r="J88" s="296">
        <v>0</v>
      </c>
      <c r="K88" s="121">
        <f t="shared" si="15"/>
        <v>109.1</v>
      </c>
      <c r="L88" s="98" t="s">
        <v>402</v>
      </c>
      <c r="M88" s="98"/>
      <c r="N88" s="95" t="s">
        <v>506</v>
      </c>
      <c r="O88" s="95"/>
      <c r="P88" s="105"/>
      <c r="Q88" s="95" t="s">
        <v>258</v>
      </c>
      <c r="R88" s="115">
        <v>390375</v>
      </c>
      <c r="S88" s="115">
        <v>390375</v>
      </c>
      <c r="T88" s="115">
        <v>406640</v>
      </c>
      <c r="U88" s="102">
        <f t="shared" si="13"/>
        <v>3578.1393217231898</v>
      </c>
      <c r="V88" s="102">
        <f t="shared" si="16"/>
        <v>3578.1393217231898</v>
      </c>
      <c r="W88" s="102"/>
      <c r="X88" s="102">
        <f t="shared" si="17"/>
        <v>3727.222731439047</v>
      </c>
      <c r="Y88" s="102"/>
      <c r="Z88" s="101">
        <f>-(100%-(R88/T88))</f>
        <v>-3.9998524493409349E-2</v>
      </c>
      <c r="AA88" s="554"/>
      <c r="AB88" s="103">
        <v>45198</v>
      </c>
      <c r="AC88" s="313">
        <v>78075</v>
      </c>
      <c r="AD88" s="313"/>
      <c r="AE88" s="103"/>
      <c r="AF88" s="313"/>
      <c r="AG88" s="103"/>
      <c r="AH88" s="313">
        <v>312300</v>
      </c>
      <c r="AI88" s="95" t="s">
        <v>247</v>
      </c>
      <c r="AJ88" s="95" t="s">
        <v>309</v>
      </c>
      <c r="AK88" s="95"/>
      <c r="AL88" s="95"/>
      <c r="AM88" s="95"/>
      <c r="AN88" s="95"/>
      <c r="AO88" s="95"/>
      <c r="AP88" s="95"/>
      <c r="AQ88" s="95"/>
      <c r="AR88" s="95"/>
      <c r="AS88" s="104" t="s">
        <v>17195</v>
      </c>
      <c r="AT88" s="104" t="s">
        <v>563</v>
      </c>
      <c r="AU88" s="104"/>
      <c r="AV88" s="104"/>
      <c r="AW88" s="104"/>
      <c r="AX88" s="104" t="s">
        <v>18345</v>
      </c>
      <c r="AY88" s="104" t="s">
        <v>18346</v>
      </c>
      <c r="AZ88" s="104"/>
      <c r="BA88" s="104"/>
      <c r="BB88" s="115">
        <f t="shared" si="14"/>
        <v>349120</v>
      </c>
      <c r="BC88" s="115">
        <v>3200</v>
      </c>
      <c r="BD88" s="115">
        <v>435000</v>
      </c>
      <c r="BE88" s="341"/>
      <c r="BF88" s="341"/>
      <c r="BG88" s="341"/>
      <c r="BH88" s="341"/>
      <c r="BI88" s="341"/>
      <c r="BJ88" s="341"/>
      <c r="BK88" s="341"/>
      <c r="BL88" s="341"/>
      <c r="BM88" s="341"/>
      <c r="BN88" s="341"/>
      <c r="BO88" s="341"/>
      <c r="BP88" s="341"/>
      <c r="BQ88" s="341"/>
      <c r="BR88" s="341"/>
      <c r="BS88" s="341"/>
      <c r="BT88" s="341"/>
      <c r="BU88" s="341"/>
      <c r="BV88" s="341"/>
      <c r="BW88" s="341"/>
      <c r="BX88" s="341"/>
      <c r="BY88" s="341"/>
      <c r="BZ88" s="341"/>
      <c r="CA88" s="341"/>
      <c r="CB88" s="341"/>
      <c r="CC88" s="341"/>
      <c r="CD88" s="341"/>
      <c r="CE88" s="341"/>
      <c r="CF88" s="341"/>
      <c r="CG88" s="341"/>
      <c r="CH88" s="341"/>
      <c r="CI88" s="341"/>
      <c r="CJ88" s="341"/>
      <c r="CK88" s="341"/>
      <c r="CL88" s="341"/>
      <c r="CM88" s="341"/>
    </row>
    <row r="89" spans="1:91" s="559" customFormat="1" ht="15.75" thickBot="1">
      <c r="A89" s="95">
        <v>88</v>
      </c>
      <c r="B89" s="293" t="s">
        <v>349</v>
      </c>
      <c r="C89" s="293" t="s">
        <v>358</v>
      </c>
      <c r="D89" s="293" t="s">
        <v>90</v>
      </c>
      <c r="E89" s="293">
        <v>10</v>
      </c>
      <c r="F89" s="293" t="s">
        <v>361</v>
      </c>
      <c r="G89" s="294">
        <v>57</v>
      </c>
      <c r="H89" s="295">
        <v>10</v>
      </c>
      <c r="I89" s="295">
        <v>0</v>
      </c>
      <c r="J89" s="296">
        <v>0</v>
      </c>
      <c r="K89" s="121">
        <f t="shared" si="15"/>
        <v>60</v>
      </c>
      <c r="L89" s="531" t="s">
        <v>453</v>
      </c>
      <c r="M89" s="98"/>
      <c r="N89" s="95" t="s">
        <v>493</v>
      </c>
      <c r="O89" s="95"/>
      <c r="P89" s="300"/>
      <c r="Q89" s="95" t="s">
        <v>258</v>
      </c>
      <c r="R89" s="298">
        <v>244600</v>
      </c>
      <c r="S89" s="322">
        <f>T89*0.96</f>
        <v>244608</v>
      </c>
      <c r="T89" s="115">
        <v>254800</v>
      </c>
      <c r="U89" s="102">
        <f t="shared" si="13"/>
        <v>4076.6666666666665</v>
      </c>
      <c r="V89" s="102">
        <f t="shared" si="16"/>
        <v>4076.8</v>
      </c>
      <c r="W89" s="102"/>
      <c r="X89" s="102">
        <f t="shared" si="17"/>
        <v>4246.666666666667</v>
      </c>
      <c r="Y89" s="102"/>
      <c r="Z89" s="101">
        <f>-(100%-(R89/T89))</f>
        <v>-4.0031397174254302E-2</v>
      </c>
      <c r="AA89" s="554"/>
      <c r="AB89" s="103">
        <v>45169</v>
      </c>
      <c r="AC89" s="313">
        <v>48920</v>
      </c>
      <c r="AD89" s="313"/>
      <c r="AE89" s="103"/>
      <c r="AF89" s="313"/>
      <c r="AG89" s="103"/>
      <c r="AH89" s="313">
        <v>195680</v>
      </c>
      <c r="AI89" s="95" t="s">
        <v>274</v>
      </c>
      <c r="AJ89" s="95"/>
      <c r="AK89" s="95"/>
      <c r="AL89" s="95"/>
      <c r="AM89" s="95"/>
      <c r="AN89" s="95"/>
      <c r="AO89" s="95"/>
      <c r="AP89" s="95"/>
      <c r="AQ89" s="95"/>
      <c r="AR89" s="95"/>
      <c r="AS89" s="104" t="s">
        <v>601</v>
      </c>
      <c r="AT89" s="104" t="s">
        <v>517</v>
      </c>
      <c r="AU89" s="104"/>
      <c r="AV89" s="104"/>
      <c r="AW89" s="104"/>
      <c r="AX89" s="104" t="s">
        <v>18347</v>
      </c>
      <c r="AY89" s="104">
        <v>972508263368</v>
      </c>
      <c r="AZ89" s="104"/>
      <c r="BA89" s="104"/>
      <c r="BB89" s="115">
        <f t="shared" si="14"/>
        <v>192000</v>
      </c>
      <c r="BC89" s="115">
        <v>3200</v>
      </c>
      <c r="BD89" s="115"/>
      <c r="BE89" s="341"/>
      <c r="BF89" s="341"/>
      <c r="BG89" s="341"/>
      <c r="BH89" s="341"/>
      <c r="BI89" s="341"/>
      <c r="BJ89" s="341"/>
      <c r="BK89" s="341"/>
      <c r="BL89" s="341"/>
      <c r="BM89" s="341"/>
      <c r="BN89" s="341"/>
      <c r="BO89" s="341"/>
      <c r="BP89" s="341"/>
      <c r="BQ89" s="341"/>
      <c r="BR89" s="341"/>
      <c r="BS89" s="341"/>
      <c r="BT89" s="341"/>
      <c r="BU89" s="341"/>
      <c r="BV89" s="341"/>
      <c r="BW89" s="341"/>
      <c r="BX89" s="341"/>
      <c r="BY89" s="341"/>
      <c r="BZ89" s="341"/>
      <c r="CA89" s="341"/>
      <c r="CB89" s="341"/>
      <c r="CC89" s="341"/>
      <c r="CD89" s="341"/>
      <c r="CE89" s="341"/>
      <c r="CF89" s="341"/>
      <c r="CG89" s="341"/>
      <c r="CH89" s="341"/>
      <c r="CI89" s="341"/>
      <c r="CJ89" s="341"/>
      <c r="CK89" s="341"/>
      <c r="CL89" s="341"/>
      <c r="CM89" s="341"/>
    </row>
    <row r="90" spans="1:91" s="559" customFormat="1">
      <c r="A90" s="95">
        <v>89</v>
      </c>
      <c r="B90" s="293" t="s">
        <v>350</v>
      </c>
      <c r="C90" s="293" t="s">
        <v>358</v>
      </c>
      <c r="D90" s="293" t="s">
        <v>89</v>
      </c>
      <c r="E90" s="293">
        <v>10</v>
      </c>
      <c r="F90" s="293" t="s">
        <v>361</v>
      </c>
      <c r="G90" s="294">
        <v>136</v>
      </c>
      <c r="H90" s="295">
        <v>27</v>
      </c>
      <c r="I90" s="295">
        <v>0</v>
      </c>
      <c r="J90" s="296">
        <v>0</v>
      </c>
      <c r="K90" s="121">
        <f t="shared" si="15"/>
        <v>144.1</v>
      </c>
      <c r="L90" s="532" t="s">
        <v>395</v>
      </c>
      <c r="M90" s="98"/>
      <c r="N90" s="95" t="s">
        <v>507</v>
      </c>
      <c r="O90" s="95"/>
      <c r="P90" s="533"/>
      <c r="Q90" s="95" t="s">
        <v>258</v>
      </c>
      <c r="R90" s="298">
        <v>490000</v>
      </c>
      <c r="S90" s="454">
        <v>490000</v>
      </c>
      <c r="T90" s="115">
        <f>S90*1.04</f>
        <v>509600</v>
      </c>
      <c r="U90" s="102">
        <f t="shared" si="13"/>
        <v>3400.4163775156144</v>
      </c>
      <c r="V90" s="102">
        <f t="shared" si="16"/>
        <v>3400.4163775156144</v>
      </c>
      <c r="W90" s="102"/>
      <c r="X90" s="102">
        <f t="shared" si="17"/>
        <v>3536.433032616239</v>
      </c>
      <c r="Y90" s="102"/>
      <c r="Z90" s="101"/>
      <c r="AA90" s="554"/>
      <c r="AB90" s="103">
        <v>45169</v>
      </c>
      <c r="AC90" s="313">
        <f>20%*R90</f>
        <v>98000</v>
      </c>
      <c r="AD90" s="313"/>
      <c r="AE90" s="103"/>
      <c r="AF90" s="313"/>
      <c r="AG90" s="103"/>
      <c r="AH90" s="313">
        <f>80%*R90</f>
        <v>392000</v>
      </c>
      <c r="AI90" s="95" t="s">
        <v>274</v>
      </c>
      <c r="AJ90" s="95"/>
      <c r="AK90" s="95"/>
      <c r="AL90" s="95"/>
      <c r="AM90" s="95"/>
      <c r="AN90" s="95"/>
      <c r="AO90" s="95"/>
      <c r="AP90" s="95"/>
      <c r="AQ90" s="95"/>
      <c r="AR90" s="95"/>
      <c r="AS90" s="104" t="s">
        <v>601</v>
      </c>
      <c r="AT90" s="104" t="s">
        <v>517</v>
      </c>
      <c r="AU90" s="104"/>
      <c r="AV90" s="104"/>
      <c r="AW90" s="104"/>
      <c r="AX90" s="104" t="s">
        <v>18347</v>
      </c>
      <c r="AY90" s="104">
        <v>972508263368</v>
      </c>
      <c r="AZ90" s="104"/>
      <c r="BA90" s="104"/>
      <c r="BB90" s="115">
        <f t="shared" si="14"/>
        <v>461120</v>
      </c>
      <c r="BC90" s="115">
        <v>3200</v>
      </c>
      <c r="BD90" s="115"/>
      <c r="BE90" s="341"/>
      <c r="BF90" s="341"/>
      <c r="BG90" s="341"/>
      <c r="BH90" s="341"/>
      <c r="BI90" s="341"/>
      <c r="BJ90" s="341"/>
      <c r="BK90" s="341"/>
      <c r="BL90" s="341"/>
      <c r="BM90" s="341"/>
      <c r="BN90" s="341"/>
      <c r="BO90" s="341"/>
      <c r="BP90" s="341"/>
      <c r="BQ90" s="341"/>
      <c r="BR90" s="341"/>
      <c r="BS90" s="341"/>
      <c r="BT90" s="341"/>
      <c r="BU90" s="341"/>
      <c r="BV90" s="341"/>
      <c r="BW90" s="341"/>
      <c r="BX90" s="341"/>
      <c r="BY90" s="341"/>
      <c r="BZ90" s="341"/>
      <c r="CA90" s="341"/>
      <c r="CB90" s="341"/>
      <c r="CC90" s="341"/>
      <c r="CD90" s="341"/>
      <c r="CE90" s="341"/>
      <c r="CF90" s="341"/>
      <c r="CG90" s="341"/>
      <c r="CH90" s="341"/>
      <c r="CI90" s="341"/>
      <c r="CJ90" s="341"/>
      <c r="CK90" s="341"/>
      <c r="CL90" s="341"/>
      <c r="CM90" s="341"/>
    </row>
    <row r="91" spans="1:91" s="559" customFormat="1">
      <c r="A91" s="95">
        <v>90</v>
      </c>
      <c r="B91" s="384" t="s">
        <v>351</v>
      </c>
      <c r="C91" s="384" t="s">
        <v>358</v>
      </c>
      <c r="D91" s="384" t="s">
        <v>91</v>
      </c>
      <c r="E91" s="384">
        <v>10</v>
      </c>
      <c r="F91" s="384" t="s">
        <v>362</v>
      </c>
      <c r="G91" s="385">
        <v>95</v>
      </c>
      <c r="H91" s="386">
        <v>0</v>
      </c>
      <c r="I91" s="386">
        <v>0</v>
      </c>
      <c r="J91" s="296">
        <v>0</v>
      </c>
      <c r="K91" s="121">
        <f t="shared" si="15"/>
        <v>95</v>
      </c>
      <c r="L91" s="98" t="s">
        <v>413</v>
      </c>
      <c r="M91" s="95"/>
      <c r="N91" s="95" t="s">
        <v>508</v>
      </c>
      <c r="O91" s="95"/>
      <c r="P91" s="387"/>
      <c r="Q91" s="95" t="s">
        <v>258</v>
      </c>
      <c r="R91" s="298">
        <v>349000</v>
      </c>
      <c r="S91" s="390">
        <f>T91*0.96</f>
        <v>341760</v>
      </c>
      <c r="T91" s="115">
        <v>356000</v>
      </c>
      <c r="U91" s="102">
        <f t="shared" si="13"/>
        <v>3673.6842105263158</v>
      </c>
      <c r="V91" s="102">
        <f t="shared" si="16"/>
        <v>3597.4736842105262</v>
      </c>
      <c r="W91" s="102"/>
      <c r="X91" s="102">
        <f t="shared" si="17"/>
        <v>3747.3684210526317</v>
      </c>
      <c r="Y91" s="102"/>
      <c r="Z91" s="101">
        <f>-(100%-(R91/T91))</f>
        <v>-1.9662921348314599E-2</v>
      </c>
      <c r="AA91" s="554"/>
      <c r="AB91" s="103">
        <v>45083</v>
      </c>
      <c r="AC91" s="313">
        <f>15%*R91</f>
        <v>52350</v>
      </c>
      <c r="AD91" s="313"/>
      <c r="AE91" s="103"/>
      <c r="AF91" s="313"/>
      <c r="AG91" s="103"/>
      <c r="AH91" s="313">
        <f>85%*R91</f>
        <v>296650</v>
      </c>
      <c r="AI91" s="95" t="s">
        <v>274</v>
      </c>
      <c r="AJ91" s="95"/>
      <c r="AK91" s="306">
        <v>0.04</v>
      </c>
      <c r="AL91" s="306" t="s">
        <v>743</v>
      </c>
      <c r="AM91" s="306"/>
      <c r="AN91" s="306"/>
      <c r="AO91" s="306"/>
      <c r="AP91" s="306"/>
      <c r="AQ91" s="95"/>
      <c r="AR91" s="95"/>
      <c r="AS91" s="104" t="s">
        <v>587</v>
      </c>
      <c r="AT91" s="104" t="s">
        <v>517</v>
      </c>
      <c r="AU91" s="104"/>
      <c r="AV91" s="104"/>
      <c r="AW91" s="104"/>
      <c r="AX91" s="104" t="s">
        <v>18348</v>
      </c>
      <c r="AY91" s="104">
        <v>972502144000</v>
      </c>
      <c r="AZ91" s="104"/>
      <c r="BA91" s="104"/>
      <c r="BB91" s="115">
        <f t="shared" si="14"/>
        <v>304000</v>
      </c>
      <c r="BC91" s="115">
        <v>3200</v>
      </c>
      <c r="BD91" s="115"/>
      <c r="BE91" s="341"/>
      <c r="BF91" s="341"/>
      <c r="BG91" s="341"/>
      <c r="BH91" s="341"/>
      <c r="BI91" s="341"/>
      <c r="BJ91" s="341"/>
      <c r="BK91" s="341"/>
      <c r="BL91" s="341"/>
      <c r="BM91" s="341"/>
      <c r="BN91" s="341"/>
      <c r="BO91" s="341"/>
      <c r="BP91" s="341"/>
      <c r="BQ91" s="341"/>
      <c r="BR91" s="341"/>
      <c r="BS91" s="341"/>
      <c r="BT91" s="341"/>
      <c r="BU91" s="341"/>
      <c r="BV91" s="341"/>
      <c r="BW91" s="341"/>
      <c r="BX91" s="341"/>
      <c r="BY91" s="341"/>
      <c r="BZ91" s="341"/>
      <c r="CA91" s="341"/>
      <c r="CB91" s="341"/>
      <c r="CC91" s="341"/>
      <c r="CD91" s="341"/>
      <c r="CE91" s="341"/>
      <c r="CF91" s="341"/>
      <c r="CG91" s="341"/>
      <c r="CH91" s="341"/>
      <c r="CI91" s="341"/>
      <c r="CJ91" s="341"/>
      <c r="CK91" s="341"/>
      <c r="CL91" s="341"/>
      <c r="CM91" s="341"/>
    </row>
    <row r="92" spans="1:91" s="559" customFormat="1" ht="15.75" thickBot="1">
      <c r="A92" s="95">
        <v>91</v>
      </c>
      <c r="B92" s="293" t="s">
        <v>352</v>
      </c>
      <c r="C92" s="293" t="s">
        <v>358</v>
      </c>
      <c r="D92" s="293" t="s">
        <v>90</v>
      </c>
      <c r="E92" s="293">
        <v>10</v>
      </c>
      <c r="F92" s="293" t="s">
        <v>362</v>
      </c>
      <c r="G92" s="294">
        <v>57</v>
      </c>
      <c r="H92" s="295">
        <v>0</v>
      </c>
      <c r="I92" s="295">
        <v>6</v>
      </c>
      <c r="J92" s="296">
        <v>0</v>
      </c>
      <c r="K92" s="121">
        <f t="shared" si="15"/>
        <v>58.2</v>
      </c>
      <c r="L92" s="98" t="s">
        <v>405</v>
      </c>
      <c r="M92" s="98"/>
      <c r="N92" s="95">
        <v>81</v>
      </c>
      <c r="O92" s="95"/>
      <c r="P92" s="99"/>
      <c r="Q92" s="95" t="s">
        <v>258</v>
      </c>
      <c r="R92" s="604">
        <v>240960</v>
      </c>
      <c r="S92" s="115">
        <v>240000</v>
      </c>
      <c r="T92" s="115">
        <v>251000</v>
      </c>
      <c r="U92" s="102">
        <f t="shared" si="13"/>
        <v>4140.2061855670099</v>
      </c>
      <c r="V92" s="102">
        <f t="shared" si="16"/>
        <v>4123.711340206185</v>
      </c>
      <c r="W92" s="102"/>
      <c r="X92" s="102">
        <f t="shared" si="17"/>
        <v>4312.7147766323023</v>
      </c>
      <c r="Y92" s="102"/>
      <c r="Z92" s="101"/>
      <c r="AA92" s="554"/>
      <c r="AB92" s="103">
        <v>45233</v>
      </c>
      <c r="AC92" s="313">
        <v>48192</v>
      </c>
      <c r="AD92" s="313">
        <v>24096</v>
      </c>
      <c r="AE92" s="103">
        <f>AB92+365</f>
        <v>45598</v>
      </c>
      <c r="AF92" s="313"/>
      <c r="AG92" s="103"/>
      <c r="AH92" s="313">
        <v>168672</v>
      </c>
      <c r="AI92" s="95" t="s">
        <v>103</v>
      </c>
      <c r="AJ92" s="95"/>
      <c r="AK92" s="95"/>
      <c r="AL92" s="95"/>
      <c r="AM92" s="95"/>
      <c r="AN92" s="95"/>
      <c r="AO92" s="95"/>
      <c r="AP92" s="95"/>
      <c r="AQ92" s="95"/>
      <c r="AR92" s="95"/>
      <c r="AS92" s="95" t="s">
        <v>18031</v>
      </c>
      <c r="AT92" s="95" t="s">
        <v>265</v>
      </c>
      <c r="AU92" s="95"/>
      <c r="AV92" s="95"/>
      <c r="AW92" s="95"/>
      <c r="AX92" s="95" t="s">
        <v>18349</v>
      </c>
      <c r="AY92" s="95">
        <v>966874805</v>
      </c>
      <c r="AZ92" s="95"/>
      <c r="BA92" s="95"/>
      <c r="BB92" s="115">
        <f t="shared" si="14"/>
        <v>186240</v>
      </c>
      <c r="BC92" s="115">
        <v>3200</v>
      </c>
      <c r="BD92" s="115"/>
      <c r="BE92" s="341"/>
      <c r="BF92" s="341"/>
      <c r="BG92" s="341"/>
      <c r="BH92" s="341"/>
      <c r="BI92" s="341"/>
      <c r="BJ92" s="341"/>
      <c r="BK92" s="341"/>
      <c r="BL92" s="341"/>
      <c r="BM92" s="341"/>
      <c r="BN92" s="341"/>
      <c r="BO92" s="341"/>
      <c r="BP92" s="341"/>
      <c r="BQ92" s="341"/>
      <c r="BR92" s="341"/>
      <c r="BS92" s="341"/>
      <c r="BT92" s="341"/>
      <c r="BU92" s="341"/>
      <c r="BV92" s="341"/>
      <c r="BW92" s="341"/>
      <c r="BX92" s="341"/>
      <c r="BY92" s="341"/>
      <c r="BZ92" s="341"/>
      <c r="CA92" s="341"/>
      <c r="CB92" s="341"/>
      <c r="CC92" s="341"/>
      <c r="CD92" s="341"/>
      <c r="CE92" s="341"/>
      <c r="CF92" s="341"/>
      <c r="CG92" s="341"/>
      <c r="CH92" s="341"/>
      <c r="CI92" s="341"/>
      <c r="CJ92" s="341"/>
      <c r="CK92" s="341"/>
      <c r="CL92" s="341"/>
      <c r="CM92" s="341"/>
    </row>
    <row r="93" spans="1:91" ht="15.75" thickBot="1">
      <c r="A93" s="31">
        <v>92</v>
      </c>
      <c r="B93" s="286" t="s">
        <v>353</v>
      </c>
      <c r="C93" s="286" t="s">
        <v>358</v>
      </c>
      <c r="D93" s="286" t="s">
        <v>93</v>
      </c>
      <c r="E93" s="286">
        <v>11</v>
      </c>
      <c r="F93" s="286" t="s">
        <v>363</v>
      </c>
      <c r="G93" s="287">
        <v>157</v>
      </c>
      <c r="H93" s="288">
        <v>0</v>
      </c>
      <c r="I93" s="288">
        <v>68</v>
      </c>
      <c r="J93" s="284">
        <v>0</v>
      </c>
      <c r="K93" s="224">
        <f t="shared" si="15"/>
        <v>170.6</v>
      </c>
      <c r="L93" s="91" t="s">
        <v>534</v>
      </c>
      <c r="M93" s="91"/>
      <c r="N93" s="91" t="s">
        <v>535</v>
      </c>
      <c r="O93" s="31"/>
      <c r="P93" s="94"/>
      <c r="Q93" s="31"/>
      <c r="R93" s="285"/>
      <c r="S93" s="291">
        <v>850000</v>
      </c>
      <c r="T93" s="290">
        <f>S93*1.04</f>
        <v>884000</v>
      </c>
      <c r="U93" s="32">
        <f t="shared" si="13"/>
        <v>0</v>
      </c>
      <c r="V93" s="32">
        <f>W93/K93</f>
        <v>5120.7502930832361</v>
      </c>
      <c r="W93" s="39">
        <f>Y93*0.96</f>
        <v>873600</v>
      </c>
      <c r="X93" s="32">
        <f>Y93/K93</f>
        <v>5334.1148886283709</v>
      </c>
      <c r="Y93" s="32">
        <v>910000</v>
      </c>
      <c r="Z93" s="32">
        <v>855000</v>
      </c>
      <c r="AA93" s="278"/>
      <c r="AB93" s="33"/>
      <c r="AC93" s="311"/>
      <c r="AD93" s="1164"/>
      <c r="AE93" s="33"/>
      <c r="AF93" s="311"/>
      <c r="AG93" s="33"/>
      <c r="AH93" s="31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290">
        <f t="shared" si="14"/>
        <v>545920</v>
      </c>
      <c r="BC93" s="39">
        <v>3200</v>
      </c>
      <c r="BD93" s="39"/>
      <c r="BE93" s="341"/>
      <c r="BF93" s="341"/>
      <c r="BG93" s="341"/>
      <c r="BH93" s="341"/>
      <c r="BI93" s="341"/>
      <c r="BJ93" s="341"/>
      <c r="BK93" s="341"/>
      <c r="BL93" s="341"/>
      <c r="BM93" s="341"/>
      <c r="BN93" s="341"/>
      <c r="BO93" s="341"/>
      <c r="BP93" s="341"/>
      <c r="BQ93" s="341"/>
      <c r="BR93" s="341"/>
      <c r="BS93" s="341"/>
      <c r="BT93" s="341"/>
      <c r="BU93" s="341"/>
      <c r="BV93" s="341"/>
      <c r="BW93" s="341"/>
      <c r="BX93" s="341"/>
      <c r="BY93" s="341"/>
      <c r="BZ93" s="341"/>
      <c r="CA93" s="341"/>
      <c r="CB93" s="341"/>
      <c r="CC93" s="341"/>
      <c r="CD93" s="341"/>
      <c r="CE93" s="341"/>
      <c r="CF93" s="341"/>
      <c r="CG93" s="341"/>
      <c r="CH93" s="341"/>
      <c r="CI93" s="341"/>
      <c r="CJ93" s="341"/>
      <c r="CK93" s="341"/>
      <c r="CL93" s="341"/>
      <c r="CM93" s="341"/>
    </row>
    <row r="94" spans="1:91" s="559" customFormat="1">
      <c r="A94" s="95">
        <v>93</v>
      </c>
      <c r="B94" s="384" t="s">
        <v>354</v>
      </c>
      <c r="C94" s="384" t="s">
        <v>358</v>
      </c>
      <c r="D94" s="384" t="s">
        <v>91</v>
      </c>
      <c r="E94" s="384">
        <v>11</v>
      </c>
      <c r="F94" s="384" t="s">
        <v>363</v>
      </c>
      <c r="G94" s="385">
        <v>115</v>
      </c>
      <c r="H94" s="386">
        <v>0</v>
      </c>
      <c r="I94" s="386">
        <v>51</v>
      </c>
      <c r="J94" s="296">
        <v>0</v>
      </c>
      <c r="K94" s="121">
        <f t="shared" si="15"/>
        <v>125.2</v>
      </c>
      <c r="L94" s="98" t="s">
        <v>401</v>
      </c>
      <c r="M94" s="98"/>
      <c r="N94" s="95" t="s">
        <v>510</v>
      </c>
      <c r="O94" s="95"/>
      <c r="P94" s="387"/>
      <c r="Q94" s="95" t="s">
        <v>258</v>
      </c>
      <c r="R94" s="298">
        <v>408000</v>
      </c>
      <c r="S94" s="390">
        <f>T94*0.96</f>
        <v>408000</v>
      </c>
      <c r="T94" s="115">
        <v>425000</v>
      </c>
      <c r="U94" s="102">
        <f t="shared" si="13"/>
        <v>3258.7859424920125</v>
      </c>
      <c r="V94" s="102">
        <f t="shared" si="16"/>
        <v>3258.7859424920125</v>
      </c>
      <c r="W94" s="102"/>
      <c r="X94" s="102">
        <f t="shared" si="17"/>
        <v>3394.5686900958467</v>
      </c>
      <c r="Y94" s="102"/>
      <c r="Z94" s="101">
        <f>-(100%-(R94/T94))</f>
        <v>-4.0000000000000036E-2</v>
      </c>
      <c r="AA94" s="554"/>
      <c r="AB94" s="103">
        <v>45097</v>
      </c>
      <c r="AC94" s="313">
        <f>15%*R94</f>
        <v>61200</v>
      </c>
      <c r="AD94" s="313">
        <f>15%*R94</f>
        <v>61200</v>
      </c>
      <c r="AE94" s="103">
        <v>45445</v>
      </c>
      <c r="AF94" s="313"/>
      <c r="AG94" s="103"/>
      <c r="AH94" s="313">
        <f>70%*R94</f>
        <v>285600</v>
      </c>
      <c r="AI94" s="95" t="s">
        <v>103</v>
      </c>
      <c r="AJ94" s="95"/>
      <c r="AK94" s="306">
        <v>0.04</v>
      </c>
      <c r="AL94" s="306"/>
      <c r="AM94" s="306" t="s">
        <v>744</v>
      </c>
      <c r="AN94" s="306" t="s">
        <v>249</v>
      </c>
      <c r="AO94" s="95"/>
      <c r="AP94" s="306" t="s">
        <v>741</v>
      </c>
      <c r="AQ94" s="306" t="s">
        <v>249</v>
      </c>
      <c r="AR94" s="306"/>
      <c r="AS94" s="95" t="s">
        <v>583</v>
      </c>
      <c r="AT94" s="104" t="s">
        <v>265</v>
      </c>
      <c r="AU94" s="104"/>
      <c r="AV94" s="104"/>
      <c r="AW94" s="104"/>
      <c r="AX94" s="104"/>
      <c r="AY94" s="104"/>
      <c r="AZ94" s="95"/>
      <c r="BA94" s="95"/>
      <c r="BB94" s="115">
        <f t="shared" si="14"/>
        <v>400640</v>
      </c>
      <c r="BC94" s="115">
        <v>3200</v>
      </c>
      <c r="BD94" s="115"/>
      <c r="BE94" s="341"/>
      <c r="BF94" s="341"/>
      <c r="BG94" s="341"/>
      <c r="BH94" s="341"/>
      <c r="BI94" s="341"/>
      <c r="BJ94" s="341"/>
      <c r="BK94" s="341"/>
      <c r="BL94" s="341"/>
      <c r="BM94" s="341"/>
      <c r="BN94" s="341"/>
      <c r="BO94" s="341"/>
      <c r="BP94" s="341"/>
      <c r="BQ94" s="341"/>
      <c r="BR94" s="341"/>
      <c r="BS94" s="341"/>
      <c r="BT94" s="341"/>
      <c r="BU94" s="341"/>
      <c r="BV94" s="341"/>
      <c r="BW94" s="341"/>
      <c r="BX94" s="341"/>
      <c r="BY94" s="341"/>
      <c r="BZ94" s="341"/>
      <c r="CA94" s="341"/>
      <c r="CB94" s="341"/>
      <c r="CC94" s="341"/>
      <c r="CD94" s="341"/>
      <c r="CE94" s="341"/>
      <c r="CF94" s="341"/>
      <c r="CG94" s="341"/>
      <c r="CH94" s="341"/>
      <c r="CI94" s="341"/>
      <c r="CJ94" s="341"/>
      <c r="CK94" s="341"/>
      <c r="CL94" s="341"/>
      <c r="CM94" s="341"/>
    </row>
    <row r="95" spans="1:91" s="559" customFormat="1">
      <c r="A95" s="95">
        <v>94</v>
      </c>
      <c r="B95" s="293" t="s">
        <v>355</v>
      </c>
      <c r="C95" s="293" t="s">
        <v>358</v>
      </c>
      <c r="D95" s="293" t="s">
        <v>91</v>
      </c>
      <c r="E95" s="293">
        <v>11</v>
      </c>
      <c r="F95" s="293" t="s">
        <v>363</v>
      </c>
      <c r="G95" s="294">
        <v>115</v>
      </c>
      <c r="H95" s="295">
        <v>0</v>
      </c>
      <c r="I95" s="295">
        <v>51</v>
      </c>
      <c r="J95" s="296">
        <v>0</v>
      </c>
      <c r="K95" s="121">
        <f>G95+0.3*H95+0.3*I95+0.2*J95</f>
        <v>130.30000000000001</v>
      </c>
      <c r="L95" s="98" t="s">
        <v>537</v>
      </c>
      <c r="M95" s="98"/>
      <c r="N95" s="95" t="s">
        <v>509</v>
      </c>
      <c r="O95" s="95"/>
      <c r="P95" s="99"/>
      <c r="Q95" s="95" t="s">
        <v>258</v>
      </c>
      <c r="R95" s="668">
        <v>600000</v>
      </c>
      <c r="S95" s="115">
        <v>425000</v>
      </c>
      <c r="T95" s="115">
        <f>S95*1.04</f>
        <v>442000</v>
      </c>
      <c r="U95" s="102">
        <f t="shared" si="13"/>
        <v>4604.7582501918641</v>
      </c>
      <c r="V95" s="102">
        <f>W95/K95</f>
        <v>4788.9485801995388</v>
      </c>
      <c r="W95" s="115">
        <f>0.96*Y95</f>
        <v>624000</v>
      </c>
      <c r="X95" s="102">
        <f>Y95/K95</f>
        <v>4988.4881043745199</v>
      </c>
      <c r="Y95" s="102">
        <v>650000</v>
      </c>
      <c r="Z95" s="101"/>
      <c r="AA95" s="554"/>
      <c r="AB95" s="103">
        <v>45615</v>
      </c>
      <c r="AC95" s="313">
        <v>200000</v>
      </c>
      <c r="AD95" s="313"/>
      <c r="AE95" s="103"/>
      <c r="AF95" s="313"/>
      <c r="AG95" s="103"/>
      <c r="AH95" s="313">
        <v>400000</v>
      </c>
      <c r="AI95" s="95" t="s">
        <v>247</v>
      </c>
      <c r="AJ95" s="95"/>
      <c r="AK95" s="95"/>
      <c r="AL95" s="95"/>
      <c r="AM95" s="95"/>
      <c r="AN95" s="95"/>
      <c r="AO95" s="95"/>
      <c r="AP95" s="95"/>
      <c r="AQ95" s="95"/>
      <c r="AR95" s="95"/>
      <c r="AS95" s="95" t="s">
        <v>17724</v>
      </c>
      <c r="AT95" s="104" t="s">
        <v>17633</v>
      </c>
      <c r="AU95" s="104"/>
      <c r="AV95" s="104"/>
      <c r="AW95" s="104"/>
      <c r="AX95" s="104" t="s">
        <v>18350</v>
      </c>
      <c r="AY95" s="104">
        <v>962100174</v>
      </c>
      <c r="AZ95" s="95"/>
      <c r="BA95" s="95"/>
      <c r="BB95" s="115">
        <f t="shared" si="14"/>
        <v>416960.00000000006</v>
      </c>
      <c r="BC95" s="115">
        <v>3200</v>
      </c>
      <c r="BD95" s="115"/>
    </row>
    <row r="96" spans="1:91" s="559" customFormat="1" ht="15.75" thickBot="1">
      <c r="A96" s="95">
        <v>95</v>
      </c>
      <c r="B96" s="293" t="s">
        <v>356</v>
      </c>
      <c r="C96" s="293" t="s">
        <v>358</v>
      </c>
      <c r="D96" s="293" t="s">
        <v>93</v>
      </c>
      <c r="E96" s="293">
        <v>11</v>
      </c>
      <c r="F96" s="293" t="s">
        <v>363</v>
      </c>
      <c r="G96" s="294">
        <v>168</v>
      </c>
      <c r="H96" s="295">
        <v>0</v>
      </c>
      <c r="I96" s="295">
        <v>134</v>
      </c>
      <c r="J96" s="296">
        <v>0</v>
      </c>
      <c r="K96" s="121">
        <f t="shared" si="15"/>
        <v>194.8</v>
      </c>
      <c r="L96" s="98" t="s">
        <v>538</v>
      </c>
      <c r="M96" s="98"/>
      <c r="N96" s="95" t="s">
        <v>536</v>
      </c>
      <c r="O96" s="95"/>
      <c r="P96" s="99"/>
      <c r="Q96" s="95" t="s">
        <v>258</v>
      </c>
      <c r="R96" s="299">
        <v>867100</v>
      </c>
      <c r="S96" s="535">
        <v>950000</v>
      </c>
      <c r="T96" s="115">
        <f>S96*1.04</f>
        <v>988000</v>
      </c>
      <c r="U96" s="102">
        <f t="shared" si="13"/>
        <v>4451.2320328542091</v>
      </c>
      <c r="V96" s="102">
        <f t="shared" si="16"/>
        <v>4876.7967145790553</v>
      </c>
      <c r="W96" s="102"/>
      <c r="X96" s="102">
        <f t="shared" si="17"/>
        <v>5071.868583162217</v>
      </c>
      <c r="Y96" s="102"/>
      <c r="Z96" s="101">
        <f>-(100%-(R96/T96))</f>
        <v>-0.12236842105263157</v>
      </c>
      <c r="AA96" s="554"/>
      <c r="AB96" s="103">
        <v>45173</v>
      </c>
      <c r="AC96" s="313">
        <v>65000</v>
      </c>
      <c r="AD96" s="313"/>
      <c r="AE96" s="103"/>
      <c r="AF96" s="313"/>
      <c r="AG96" s="103"/>
      <c r="AH96" s="313">
        <v>802100</v>
      </c>
      <c r="AI96" s="95" t="s">
        <v>274</v>
      </c>
      <c r="AJ96" s="95"/>
      <c r="AK96" s="95"/>
      <c r="AL96" s="95"/>
      <c r="AM96" s="95"/>
      <c r="AN96" s="95"/>
      <c r="AO96" s="95"/>
      <c r="AP96" s="95"/>
      <c r="AQ96" s="95"/>
      <c r="AR96" s="95"/>
      <c r="AS96" s="95" t="s">
        <v>17177</v>
      </c>
      <c r="AT96" s="104" t="s">
        <v>517</v>
      </c>
      <c r="AU96" s="104"/>
      <c r="AV96" s="104"/>
      <c r="AW96" s="104"/>
      <c r="AX96" s="104"/>
      <c r="AY96" s="104"/>
      <c r="AZ96" s="104"/>
      <c r="BA96" s="104"/>
      <c r="BB96" s="115">
        <f t="shared" si="14"/>
        <v>623360</v>
      </c>
      <c r="BC96" s="115">
        <v>3200</v>
      </c>
      <c r="BD96" s="115"/>
      <c r="BE96" s="341"/>
      <c r="BF96" s="341"/>
      <c r="BG96" s="341"/>
      <c r="BH96" s="341"/>
      <c r="BI96" s="341"/>
      <c r="BJ96" s="341"/>
      <c r="BK96" s="341"/>
      <c r="BL96" s="341"/>
      <c r="BM96" s="341"/>
      <c r="BN96" s="341"/>
      <c r="BO96" s="341"/>
      <c r="BP96" s="341"/>
      <c r="BQ96" s="341"/>
      <c r="BR96" s="341"/>
      <c r="BS96" s="341"/>
      <c r="BT96" s="341"/>
      <c r="BU96" s="341"/>
      <c r="BV96" s="341"/>
      <c r="BW96" s="341"/>
      <c r="BX96" s="341"/>
      <c r="BY96" s="341"/>
      <c r="BZ96" s="341"/>
      <c r="CA96" s="341"/>
      <c r="CB96" s="341"/>
      <c r="CC96" s="341"/>
      <c r="CD96" s="341"/>
      <c r="CE96" s="341"/>
      <c r="CF96" s="341"/>
      <c r="CG96" s="341"/>
      <c r="CH96" s="341"/>
      <c r="CI96" s="341"/>
      <c r="CJ96" s="341"/>
      <c r="CK96" s="341"/>
      <c r="CL96" s="341"/>
      <c r="CM96" s="341"/>
    </row>
    <row r="97" spans="1:56" ht="15.75" thickBot="1">
      <c r="A97" s="2019" t="s">
        <v>298</v>
      </c>
      <c r="B97" s="2020"/>
      <c r="C97" s="2020"/>
      <c r="D97" s="2020"/>
      <c r="E97" s="2020"/>
      <c r="F97" s="2020"/>
      <c r="G97" s="235">
        <f>SUM(G2:G96)</f>
        <v>9118</v>
      </c>
      <c r="H97" s="235">
        <f>SUM(H2:H96)</f>
        <v>741</v>
      </c>
      <c r="I97" s="235">
        <f>SUM(I2:I96)</f>
        <v>400</v>
      </c>
      <c r="J97" s="235">
        <f>SUM(J2:J96)</f>
        <v>0</v>
      </c>
      <c r="K97" s="235">
        <f>SUM(K2:K96)</f>
        <v>9405.4</v>
      </c>
      <c r="L97" s="40"/>
      <c r="M97" s="40"/>
      <c r="N97" s="40"/>
      <c r="O97" s="40"/>
      <c r="P97" s="40"/>
      <c r="Q97" s="40"/>
      <c r="R97" s="41"/>
      <c r="S97" s="40"/>
      <c r="T97" s="42"/>
      <c r="U97" s="43"/>
      <c r="V97" s="43"/>
      <c r="W97" s="43"/>
      <c r="X97" s="43"/>
      <c r="Y97" s="43"/>
      <c r="Z97" s="43"/>
      <c r="AA97" s="320"/>
      <c r="AB97" s="44"/>
      <c r="AC97" s="317"/>
      <c r="AD97" s="317"/>
      <c r="AE97" s="44"/>
      <c r="AF97" s="317"/>
      <c r="AG97" s="44"/>
      <c r="AH97" s="317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5"/>
      <c r="AT97" s="45"/>
      <c r="AU97" s="45"/>
      <c r="AV97" s="45"/>
      <c r="AW97" s="45"/>
      <c r="AX97" s="45"/>
      <c r="AY97" s="45"/>
      <c r="AZ97" s="45"/>
      <c r="BA97" s="45"/>
      <c r="BB97" s="41"/>
      <c r="BC97" s="41"/>
      <c r="BD97" s="41"/>
    </row>
    <row r="98" spans="1:56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122">
        <f>SUM(K16:K19,K21:K96)</f>
        <v>8032.4</v>
      </c>
      <c r="L98" s="40"/>
      <c r="M98" s="40"/>
      <c r="N98" s="40"/>
      <c r="O98" s="40"/>
      <c r="P98" s="40"/>
      <c r="Q98" s="40"/>
      <c r="R98" s="41"/>
      <c r="T98" s="41"/>
      <c r="U98" s="40"/>
      <c r="V98" s="40"/>
      <c r="W98" s="40"/>
      <c r="X98" s="40"/>
      <c r="Y98" s="40"/>
      <c r="Z98" s="43"/>
      <c r="AA98" s="320"/>
      <c r="AB98" s="320"/>
      <c r="AC98" s="43"/>
      <c r="AD98" s="43"/>
      <c r="AE98" s="320"/>
      <c r="AF98" s="43"/>
      <c r="AG98" s="320"/>
      <c r="AH98" s="43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1"/>
      <c r="BC98" s="41"/>
      <c r="BD98" s="41"/>
    </row>
    <row r="99" spans="1:56" ht="15.75" thickBot="1">
      <c r="A99" s="2080" t="s">
        <v>366</v>
      </c>
      <c r="B99" s="2080"/>
      <c r="C99" s="2080"/>
      <c r="D99" s="2080"/>
      <c r="E99" s="2080"/>
      <c r="F99" s="74"/>
      <c r="G99" s="74"/>
      <c r="H99" s="74"/>
      <c r="I99" s="74"/>
      <c r="J99" s="74"/>
      <c r="R99" s="19"/>
      <c r="S99" s="562"/>
    </row>
    <row r="100" spans="1:56">
      <c r="A100" s="556"/>
      <c r="B100" s="62"/>
      <c r="C100" s="48" t="s">
        <v>139</v>
      </c>
      <c r="D100" s="48" t="s">
        <v>140</v>
      </c>
      <c r="E100" s="49" t="s">
        <v>17</v>
      </c>
      <c r="F100" s="74"/>
      <c r="G100" s="1915" t="s">
        <v>289</v>
      </c>
      <c r="H100" s="1916"/>
      <c r="I100" s="74"/>
      <c r="J100" s="74"/>
      <c r="K100" s="341"/>
      <c r="L100" s="1923" t="s">
        <v>17457</v>
      </c>
      <c r="M100" s="1924"/>
      <c r="N100" s="1924"/>
      <c r="O100" s="1924"/>
      <c r="P100" s="1924"/>
      <c r="Q100" s="1924"/>
      <c r="R100" s="1924"/>
      <c r="S100" s="1924"/>
      <c r="T100" s="1924"/>
      <c r="U100" s="1924"/>
      <c r="V100" s="1924"/>
      <c r="W100" s="1925"/>
      <c r="X100" s="341"/>
      <c r="Y100" s="341"/>
      <c r="Z100" s="566"/>
      <c r="AA100" s="567"/>
      <c r="AB100" s="567"/>
      <c r="AC100" s="566"/>
      <c r="AD100" s="566"/>
      <c r="AE100" s="567"/>
      <c r="AF100" s="566"/>
      <c r="AG100" s="567"/>
    </row>
    <row r="101" spans="1:56">
      <c r="A101" s="1903" t="s">
        <v>258</v>
      </c>
      <c r="B101" s="1904"/>
      <c r="C101" s="50">
        <f>COUNTIF(Q2:Q96,A101)</f>
        <v>93</v>
      </c>
      <c r="D101" s="51">
        <f>SUMIF(Q2:Q96,A101,R2:R96)</f>
        <v>30009214.670000002</v>
      </c>
      <c r="E101" s="169">
        <f>AVERAGEIF(Q2:Q96,A101,U2:U96)</f>
        <v>3302.2625539924602</v>
      </c>
      <c r="F101" s="74"/>
      <c r="G101" s="225">
        <v>2023</v>
      </c>
      <c r="H101" s="227">
        <f>COUNTIFS(AB2:AB96,"&gt;="&amp;DATE(2023,1,1),AB2:AB96,"&lt;="&amp;DATE(2023,12,31))</f>
        <v>65</v>
      </c>
      <c r="I101" s="74"/>
      <c r="J101" s="74"/>
      <c r="K101" s="341"/>
      <c r="L101" s="691" t="s">
        <v>17303</v>
      </c>
      <c r="M101" s="691" t="s">
        <v>17304</v>
      </c>
      <c r="N101" s="692" t="s">
        <v>17305</v>
      </c>
      <c r="O101" s="693" t="s">
        <v>17306</v>
      </c>
      <c r="P101" s="693" t="s">
        <v>17307</v>
      </c>
      <c r="Q101" s="693" t="s">
        <v>17308</v>
      </c>
      <c r="R101" s="694" t="s">
        <v>17309</v>
      </c>
      <c r="S101" s="694" t="s">
        <v>17310</v>
      </c>
      <c r="T101" s="694" t="s">
        <v>17311</v>
      </c>
      <c r="U101" s="694" t="s">
        <v>17312</v>
      </c>
      <c r="V101" s="694" t="s">
        <v>17313</v>
      </c>
      <c r="W101" s="694" t="s">
        <v>17314</v>
      </c>
      <c r="X101" s="341"/>
      <c r="Y101" s="341"/>
      <c r="Z101" s="566"/>
      <c r="AA101" s="567"/>
      <c r="AB101" s="567"/>
      <c r="AC101" s="566"/>
      <c r="AD101" s="566"/>
      <c r="AE101" s="567"/>
      <c r="AF101" s="566"/>
      <c r="AG101" s="567"/>
    </row>
    <row r="102" spans="1:56">
      <c r="A102" s="1905" t="s">
        <v>102</v>
      </c>
      <c r="B102" s="1906"/>
      <c r="C102" s="53">
        <f>COUNTIF(Q2:Q96,A102)</f>
        <v>0</v>
      </c>
      <c r="D102" s="54">
        <f>SUMIF(Q2:Q96,A102,T2:T96)</f>
        <v>0</v>
      </c>
      <c r="E102" s="177" t="e">
        <f>AVERAGEIF(Q2:Q96,A102,V2:V96)</f>
        <v>#DIV/0!</v>
      </c>
      <c r="F102" s="74"/>
      <c r="G102" s="225">
        <v>2024</v>
      </c>
      <c r="H102" s="227">
        <f>COUNTIFS(AB2:AB96,"&gt;="&amp;DATE(2024,1,1),AB2:AB96,"&lt;="&amp;DATE(2024,12,31))</f>
        <v>18</v>
      </c>
      <c r="I102" s="74"/>
      <c r="J102" s="74"/>
      <c r="K102" s="341"/>
      <c r="L102" s="91">
        <f>COUNTIFS(AB2:AB96,"&gt;="&amp;DATE(2023,1,1),AB2:AB96,"&lt;="&amp;DATE(2023,1,31))</f>
        <v>9</v>
      </c>
      <c r="M102" s="2058" t="s">
        <v>455</v>
      </c>
      <c r="N102" s="2059"/>
      <c r="O102" s="2060"/>
      <c r="P102" s="719">
        <f>COUNTIFS(AB2:AB96,"&gt;="&amp;DATE(2023,5,1),AB2:AB96,"&lt;="&amp;DATE(2023,5,31))</f>
        <v>4</v>
      </c>
      <c r="Q102" s="719">
        <f>COUNTIFS(AB2:AB96,"&gt;="&amp;DATE(2023,6,1),AB2:AB96,"&lt;="&amp;DATE(2023,6,30))</f>
        <v>19</v>
      </c>
      <c r="R102" s="719">
        <f>COUNTIFS(AB2:AB96,"&gt;="&amp;DATE(2023,7,1),AB2:AB96,"&lt;="&amp;DATE(2023,7,31))</f>
        <v>6</v>
      </c>
      <c r="S102" s="719">
        <f>COUNTIFS(AB2:AB96,"&gt;="&amp;DATE(2023,8,1),AB2:AB96,"&lt;="&amp;DATE(2023,8,31))</f>
        <v>9</v>
      </c>
      <c r="T102" s="719">
        <f>COUNTIFS(AB2:AB96,"&gt;="&amp;DATE(2023,9,1),AB2:AB96,"&lt;="&amp;DATE(2023,9,30))</f>
        <v>7</v>
      </c>
      <c r="U102" s="719">
        <f>COUNTIFS(AB2:AB96,"&gt;="&amp;DATE(2023,10,1),AB2:AB96,"&lt;="&amp;DATE(2023,10,31))</f>
        <v>3</v>
      </c>
      <c r="V102" s="719">
        <f>COUNTIFS(AB2:AB96,"&gt;="&amp;DATE(2023,11,1),AB2:AB96,"&lt;="&amp;DATE(2023,11,31))</f>
        <v>7</v>
      </c>
      <c r="W102" s="719">
        <f>COUNTIFS(AB2:AB96,"&gt;="&amp;DATE(2023,12,1),AB2:AB96,"&lt;="&amp;DATE(2023,12,31))</f>
        <v>1</v>
      </c>
      <c r="X102" s="341"/>
      <c r="Y102" s="341"/>
      <c r="Z102" s="566"/>
      <c r="AA102" s="567"/>
      <c r="AB102" s="567"/>
      <c r="AC102" s="566"/>
      <c r="AD102" s="566"/>
      <c r="AE102" s="567"/>
      <c r="AF102" s="566"/>
      <c r="AG102" s="567"/>
    </row>
    <row r="103" spans="1:56" ht="15.75" thickBot="1">
      <c r="A103" s="1907" t="s">
        <v>138</v>
      </c>
      <c r="B103" s="1908"/>
      <c r="C103" s="56">
        <f>COUNTIF(Q2:Q96,"")</f>
        <v>1</v>
      </c>
      <c r="D103" s="57">
        <f>SUMIF(Q2:Q96,"",W2:W96)</f>
        <v>873600</v>
      </c>
      <c r="E103" s="568">
        <f>AVERAGEIF(Q2:Q96,"",V2:V96)</f>
        <v>5120.7502930832361</v>
      </c>
      <c r="F103" s="74"/>
      <c r="G103" s="226">
        <v>2025</v>
      </c>
      <c r="H103" s="216">
        <f>COUNTIFS(AB2:AB96,"&gt;="&amp;DATE(2025,1,1),AB2:AB96,"&lt;="&amp;DATE(2025,12,31))</f>
        <v>10</v>
      </c>
      <c r="I103" s="74"/>
      <c r="J103" s="74"/>
      <c r="K103" s="341"/>
      <c r="L103" s="1923" t="s">
        <v>17315</v>
      </c>
      <c r="M103" s="1924"/>
      <c r="N103" s="1924"/>
      <c r="O103" s="1924"/>
      <c r="P103" s="1924"/>
      <c r="Q103" s="1924"/>
      <c r="R103" s="1924"/>
      <c r="S103" s="1924"/>
      <c r="T103" s="1924"/>
      <c r="U103" s="1924"/>
      <c r="V103" s="1924"/>
      <c r="W103" s="1925"/>
      <c r="X103" s="341"/>
      <c r="Y103" s="341"/>
      <c r="Z103" s="566"/>
      <c r="AA103" s="567"/>
      <c r="AB103" s="567"/>
      <c r="AC103" s="566"/>
      <c r="AD103" s="566"/>
      <c r="AE103" s="567"/>
      <c r="AF103" s="566"/>
      <c r="AG103" s="567"/>
      <c r="AH103" s="1814"/>
    </row>
    <row r="104" spans="1:56" ht="15.75" thickBot="1">
      <c r="A104" s="1897" t="s">
        <v>210</v>
      </c>
      <c r="B104" s="1898"/>
      <c r="C104" s="59">
        <f>COUNTIF(Q2:Q96,A104)</f>
        <v>1</v>
      </c>
      <c r="D104" s="60">
        <f>SUMIF(Q2:Q96,A104,R2:R96)</f>
        <v>427200</v>
      </c>
      <c r="E104" s="182">
        <f>AVERAGEIF(Q2:Q96,A104,U2:U96)</f>
        <v>3645.0511945392491</v>
      </c>
      <c r="F104" s="74"/>
      <c r="G104" s="74"/>
      <c r="H104" s="74"/>
      <c r="I104" s="74"/>
      <c r="J104" s="74"/>
      <c r="K104" s="341"/>
      <c r="L104" s="691" t="s">
        <v>17303</v>
      </c>
      <c r="M104" s="691" t="s">
        <v>17304</v>
      </c>
      <c r="N104" s="692" t="s">
        <v>17305</v>
      </c>
      <c r="O104" s="693" t="s">
        <v>17306</v>
      </c>
      <c r="P104" s="693" t="s">
        <v>17307</v>
      </c>
      <c r="Q104" s="693" t="s">
        <v>17308</v>
      </c>
      <c r="R104" s="694" t="s">
        <v>17309</v>
      </c>
      <c r="S104" s="694" t="s">
        <v>17310</v>
      </c>
      <c r="T104" s="694" t="s">
        <v>17311</v>
      </c>
      <c r="U104" s="694" t="s">
        <v>17312</v>
      </c>
      <c r="V104" s="694" t="s">
        <v>17313</v>
      </c>
      <c r="W104" s="694" t="s">
        <v>17314</v>
      </c>
      <c r="X104" s="341"/>
      <c r="Y104" s="341"/>
      <c r="Z104" s="566"/>
      <c r="AA104" s="567"/>
      <c r="AB104" s="567"/>
      <c r="AC104" s="566"/>
      <c r="AD104" s="566"/>
      <c r="AE104" s="567"/>
      <c r="AF104" s="566"/>
      <c r="AG104" s="567"/>
    </row>
    <row r="105" spans="1:56" ht="15.75" thickBot="1">
      <c r="A105" s="2019" t="s">
        <v>269</v>
      </c>
      <c r="B105" s="2072"/>
      <c r="C105" s="391">
        <f>SUBTOTAL(9,C101:C104)</f>
        <v>95</v>
      </c>
      <c r="D105" s="392">
        <f>SUM(D101:D104)</f>
        <v>31310014.670000002</v>
      </c>
      <c r="E105" s="393">
        <f>D105/K97</f>
        <v>3328.9402545346293</v>
      </c>
      <c r="F105" s="40"/>
      <c r="G105" s="394" t="s">
        <v>544</v>
      </c>
      <c r="H105" s="309">
        <f>C101/C105</f>
        <v>0.97894736842105268</v>
      </c>
      <c r="I105" s="40"/>
      <c r="J105" s="40"/>
      <c r="K105" s="341"/>
      <c r="L105" s="91">
        <f>COUNTIFS(AB2:AB96,"&gt;="&amp;DATE(2024,1,1),AB2:AB96,"&lt;="&amp;DATE(2024,1,31))</f>
        <v>1</v>
      </c>
      <c r="M105" s="129">
        <f>COUNTIFS(AB2:AB96,"&gt;="&amp;DATE(2024,2,1),AB2:AB96,"&lt;="&amp;DATE(2024,2,29))</f>
        <v>1</v>
      </c>
      <c r="N105" s="719">
        <f>COUNTIFS(AB2:AB96,"&gt;="&amp;DATE(2024,3,1),AB2:AB96,"&lt;="&amp;DATE(2024,3,31))</f>
        <v>0</v>
      </c>
      <c r="O105" s="719">
        <f>COUNTIFS(AB2:AB96,"&gt;="&amp;DATE(2024,4,1),AB2:AB96,"&lt;="&amp;DATE(2024,4,30))</f>
        <v>0</v>
      </c>
      <c r="P105" s="719">
        <f>COUNTIFS(AB2:AB96,"&gt;="&amp;DATE(2024,5,1),AB2:AB96,"&lt;="&amp;DATE(2024,5,31))</f>
        <v>1</v>
      </c>
      <c r="Q105" s="719">
        <f>COUNTIFS(AB2:AB96,"&gt;="&amp;DATE(2024,6,1),AB2:AB96,"&lt;="&amp;DATE(2024,6,30))</f>
        <v>1</v>
      </c>
      <c r="R105" s="719">
        <f>COUNTIFS(AB2:AB96,"&gt;="&amp;DATE(2024,7,1),AB2:AB96,"&lt;="&amp;DATE(2024,7,31))</f>
        <v>0</v>
      </c>
      <c r="S105" s="719">
        <f>COUNTIFS(AB2:AB96,"&gt;="&amp;DATE(2024,8,1),AB2:AB96,"&lt;="&amp;DATE(2024,8,31))</f>
        <v>1</v>
      </c>
      <c r="T105" s="719">
        <f>COUNTIFS(AB2:AB96,"&gt;="&amp;DATE(2024,9,1),AB2:AB96,"&lt;="&amp;DATE(2024,9,30))</f>
        <v>3</v>
      </c>
      <c r="U105" s="719">
        <f>COUNTIFS(AB2:AB96,"&gt;="&amp;DATE(2024,10,1),AB2:AB96,"&lt;="&amp;DATE(2024,10,31))</f>
        <v>1</v>
      </c>
      <c r="V105" s="719">
        <f>COUNTIFS(AB2:AB96,"&gt;="&amp;DATE(2024,11,1),AB2:AB96,"&lt;="&amp;DATE(2024,11,30))</f>
        <v>4</v>
      </c>
      <c r="W105" s="719">
        <f>COUNTIFS(AB2:AB96,"&gt;="&amp;DATE(2024,12,1),AB2:AB96,"&lt;="&amp;DATE(2024,12,31))</f>
        <v>5</v>
      </c>
      <c r="X105" s="341"/>
      <c r="Y105" s="341"/>
      <c r="Z105" s="566"/>
      <c r="AA105" s="567"/>
      <c r="AB105" s="567"/>
      <c r="AC105" s="566"/>
      <c r="AD105" s="566"/>
      <c r="AE105" s="567"/>
      <c r="AF105" s="566"/>
      <c r="AG105" s="567"/>
    </row>
    <row r="106" spans="1:56" ht="15.75" thickBot="1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341"/>
      <c r="L106" s="1923" t="s">
        <v>17817</v>
      </c>
      <c r="M106" s="1924"/>
      <c r="N106" s="1924"/>
      <c r="O106" s="1924"/>
      <c r="P106" s="1924"/>
      <c r="Q106" s="1924"/>
      <c r="R106" s="1924"/>
      <c r="S106" s="1924"/>
      <c r="T106" s="1924"/>
      <c r="U106" s="1924"/>
      <c r="V106" s="1924"/>
      <c r="W106" s="1925"/>
      <c r="X106" s="341"/>
      <c r="Y106" s="341"/>
      <c r="Z106" s="566"/>
      <c r="AA106" s="567"/>
      <c r="AB106" s="567"/>
      <c r="AC106" s="566"/>
      <c r="AD106" s="566"/>
      <c r="AE106" s="567"/>
      <c r="AF106" s="566"/>
      <c r="AG106" s="567"/>
    </row>
    <row r="107" spans="1:56" ht="15.75" thickBot="1">
      <c r="A107" s="2073" t="s">
        <v>358</v>
      </c>
      <c r="B107" s="2073"/>
      <c r="C107" s="2073"/>
      <c r="D107" s="2073"/>
      <c r="E107" s="2073"/>
      <c r="F107" s="40"/>
      <c r="G107" s="40"/>
      <c r="H107" s="40"/>
      <c r="I107" s="40"/>
      <c r="J107" s="40"/>
      <c r="K107" s="341"/>
      <c r="L107" s="691" t="s">
        <v>17303</v>
      </c>
      <c r="M107" s="691" t="s">
        <v>17304</v>
      </c>
      <c r="N107" s="692" t="s">
        <v>17305</v>
      </c>
      <c r="O107" s="693" t="s">
        <v>17306</v>
      </c>
      <c r="P107" s="693" t="s">
        <v>17307</v>
      </c>
      <c r="Q107" s="693" t="s">
        <v>17308</v>
      </c>
      <c r="R107" s="694" t="s">
        <v>17309</v>
      </c>
      <c r="S107" s="694" t="s">
        <v>17310</v>
      </c>
      <c r="T107" s="694" t="s">
        <v>17311</v>
      </c>
      <c r="U107" s="694" t="s">
        <v>17312</v>
      </c>
      <c r="V107" s="694" t="s">
        <v>17313</v>
      </c>
      <c r="W107" s="694" t="s">
        <v>17314</v>
      </c>
      <c r="X107" s="341"/>
      <c r="Y107" s="341"/>
      <c r="Z107" s="566"/>
      <c r="AA107" s="567"/>
      <c r="AB107" s="567"/>
      <c r="AC107" s="566"/>
      <c r="AD107" s="566"/>
      <c r="AE107" s="567"/>
      <c r="AF107" s="566"/>
      <c r="AG107" s="567"/>
    </row>
    <row r="108" spans="1:56">
      <c r="A108" s="557"/>
      <c r="B108" s="411"/>
      <c r="C108" s="397" t="s">
        <v>139</v>
      </c>
      <c r="D108" s="397" t="s">
        <v>140</v>
      </c>
      <c r="E108" s="398" t="s">
        <v>17</v>
      </c>
      <c r="F108" s="40"/>
      <c r="G108" s="40"/>
      <c r="H108" s="40"/>
      <c r="I108" s="40"/>
      <c r="J108" s="40"/>
      <c r="K108" s="341"/>
      <c r="L108" s="91">
        <f>COUNTIFS(AB2:AB96,"&gt;="&amp;DATE(2025,1,1),AB2:AB96,"&lt;="&amp;DATE(2025,1,31))</f>
        <v>6</v>
      </c>
      <c r="M108" s="129">
        <f>COUNTIFS(AB2:AB96,"&gt;="&amp;DATE(2025,2,1),AB2:AB96,"&lt;="&amp;DATE(2025,2,28))</f>
        <v>1</v>
      </c>
      <c r="N108" s="719">
        <f>COUNTIFS(AB2:AB96,"&gt;="&amp;DATE(2025,3,1),AB2:AB96,"&lt;="&amp;DATE(2025,3,31))</f>
        <v>1</v>
      </c>
      <c r="O108" s="719">
        <f>COUNTIFS(AB2:AB96,"&gt;="&amp;DATE(2025,4,1),AB2:AB96,"&lt;="&amp;DATE(2025,4,30))</f>
        <v>0</v>
      </c>
      <c r="P108" s="719">
        <f>COUNTIFS(AB2:AB96,"&gt;="&amp;DATE(2025,5,1),AB2:AB96,"&lt;="&amp;DATE(2025,5,31))</f>
        <v>1</v>
      </c>
      <c r="Q108" s="719">
        <f>COUNTIFS(AB2:AB96,"&gt;="&amp;DATE(2025,6,1),AB2:AB96,"&lt;="&amp;DATE(2025,6,30))</f>
        <v>1</v>
      </c>
      <c r="R108" s="719">
        <f>COUNTIFS(AB2:AB96,"&gt;="&amp;DATE(2025,7,1),AB2:AB96,"&lt;="&amp;DATE(2025,7,31))</f>
        <v>0</v>
      </c>
      <c r="S108" s="719">
        <f>COUNTIFS(AB2:AB96,"&gt;="&amp;DATE(2025,8,1),AB2:AB96,"&lt;="&amp;DATE(2025,8,31))</f>
        <v>0</v>
      </c>
      <c r="T108" s="719">
        <f>COUNTIFS(AB2:AB96,"&gt;="&amp;DATE(2025,9,1),AB2:AB96,"&lt;="&amp;DATE(2025,9,30))</f>
        <v>0</v>
      </c>
      <c r="U108" s="719">
        <f>COUNTIFS(AB2:AB96,"&gt;="&amp;DATE(2025,10,1),AB2:AB96,"&lt;="&amp;DATE(2025,10,31))</f>
        <v>0</v>
      </c>
      <c r="V108" s="719">
        <f>COUNTIFS(AB2:AB96,"&gt;="&amp;DATE(2025,11,1),AB2:AB96,"&lt;="&amp;DATE(2025,11,30))</f>
        <v>0</v>
      </c>
      <c r="W108" s="719">
        <f>COUNTIFS(AB2:AB96,"&gt;="&amp;DATE(2025,12,1),AB2:AB96,"&lt;="&amp;DATE(2025,12,31))</f>
        <v>0</v>
      </c>
      <c r="X108" s="341"/>
      <c r="Y108" s="341"/>
      <c r="Z108" s="566"/>
      <c r="AA108" s="567"/>
      <c r="AB108" s="567"/>
      <c r="AC108" s="566"/>
      <c r="AD108" s="566"/>
      <c r="AE108" s="567"/>
      <c r="AF108" s="566"/>
      <c r="AG108" s="567"/>
    </row>
    <row r="109" spans="1:56">
      <c r="A109" s="2054" t="s">
        <v>258</v>
      </c>
      <c r="B109" s="2055"/>
      <c r="C109" s="126">
        <f>COUNTIFS(Q2:Q96,A109,C2:C96,A107)</f>
        <v>78</v>
      </c>
      <c r="D109" s="276">
        <f>SUMIFS(R2:R96,Q2:Q96,A109,C2:C96,A107)</f>
        <v>26926752</v>
      </c>
      <c r="E109" s="569">
        <f>AVERAGEIFS(U2:U96,C2:C96,A107,Q2:Q96,A109)</f>
        <v>3504.6471664654428</v>
      </c>
      <c r="F109" s="40"/>
      <c r="G109" s="40"/>
      <c r="H109" s="40"/>
      <c r="I109" s="40"/>
      <c r="J109" s="40"/>
      <c r="K109" s="341"/>
      <c r="L109" s="1444"/>
      <c r="M109" s="192"/>
      <c r="N109" s="1147"/>
      <c r="O109" s="1147"/>
      <c r="P109" s="1466"/>
      <c r="Q109" s="1466"/>
      <c r="R109" s="1466"/>
      <c r="S109" s="1466"/>
      <c r="T109" s="1147"/>
      <c r="U109" s="1147"/>
      <c r="V109" s="1147"/>
      <c r="W109" s="1147"/>
      <c r="X109" s="341"/>
      <c r="Y109" s="341"/>
      <c r="Z109" s="566"/>
      <c r="AA109" s="567"/>
      <c r="AB109" s="567"/>
      <c r="AC109" s="566"/>
      <c r="AD109" s="566"/>
      <c r="AE109" s="567"/>
      <c r="AF109" s="566"/>
      <c r="AG109" s="567"/>
    </row>
    <row r="110" spans="1:56">
      <c r="A110" s="2056" t="s">
        <v>102</v>
      </c>
      <c r="B110" s="2057"/>
      <c r="C110" s="401">
        <f>COUNTIFS(Q2:Q96,A110,C2:C96,A107)</f>
        <v>0</v>
      </c>
      <c r="D110" s="402">
        <f>SUMIFS(T2:T96,Q2:Q96,A110,C2:C96,A107)</f>
        <v>0</v>
      </c>
      <c r="E110" s="570" t="e">
        <f>AVERAGEIFS(V2:V96,C2:C96,A107,Q2:Q96,A110)</f>
        <v>#DIV/0!</v>
      </c>
      <c r="F110" s="40"/>
      <c r="G110" s="40"/>
      <c r="H110" s="40"/>
      <c r="I110" s="40"/>
      <c r="J110" s="40"/>
      <c r="K110" s="341"/>
      <c r="L110" s="536"/>
      <c r="M110" s="508"/>
      <c r="N110" s="508"/>
      <c r="O110" s="106"/>
      <c r="P110" s="999"/>
      <c r="Q110" s="999"/>
      <c r="R110" s="999"/>
      <c r="S110" s="999"/>
      <c r="T110" s="106"/>
      <c r="U110" s="106"/>
      <c r="V110" s="40"/>
      <c r="W110" s="40"/>
      <c r="X110" s="341"/>
      <c r="Y110" s="341"/>
      <c r="Z110" s="566"/>
      <c r="AA110" s="567"/>
      <c r="AB110" s="567"/>
      <c r="AC110" s="566"/>
      <c r="AD110" s="566"/>
      <c r="AE110" s="567"/>
      <c r="AF110" s="566"/>
      <c r="AG110" s="567"/>
    </row>
    <row r="111" spans="1:56" ht="15.75" thickBot="1">
      <c r="A111" s="2063" t="s">
        <v>138</v>
      </c>
      <c r="B111" s="2075"/>
      <c r="C111" s="405">
        <f>COUNTIFS(Q2:Q96,"",C2:C96,A107)</f>
        <v>1</v>
      </c>
      <c r="D111" s="406">
        <f>SUMIFS(W2:W96,Q2:Q96,"",C2:C96,A107)</f>
        <v>873600</v>
      </c>
      <c r="E111" s="571">
        <f>AVERAGEIFS(V2:V96,C2:C96,A107,Q2:Q96,"")</f>
        <v>5120.7502930832361</v>
      </c>
      <c r="F111" s="40"/>
      <c r="G111" s="40"/>
      <c r="H111" s="40"/>
      <c r="I111" s="40"/>
      <c r="J111" s="40"/>
      <c r="K111" s="341"/>
      <c r="L111" s="508"/>
      <c r="M111" s="508"/>
      <c r="N111" s="508"/>
      <c r="O111" s="508"/>
      <c r="P111" s="508"/>
      <c r="Q111" s="508"/>
      <c r="R111" s="508"/>
      <c r="S111" s="508"/>
      <c r="T111" s="41"/>
      <c r="U111" s="41"/>
      <c r="V111" s="40"/>
      <c r="W111" s="40"/>
      <c r="X111" s="341"/>
      <c r="Y111" s="341"/>
      <c r="Z111" s="566"/>
      <c r="AA111" s="567"/>
      <c r="AB111" s="567"/>
      <c r="AC111" s="566"/>
      <c r="AD111" s="566"/>
      <c r="AE111" s="567"/>
      <c r="AF111" s="566"/>
      <c r="AG111" s="567"/>
    </row>
    <row r="112" spans="1:56" ht="15.75" customHeight="1" thickBot="1">
      <c r="A112" s="2076" t="s">
        <v>210</v>
      </c>
      <c r="B112" s="2077"/>
      <c r="C112" s="408">
        <f>COUNTIFS(Q2:Q96,A112,C2:C96,A107)</f>
        <v>1</v>
      </c>
      <c r="D112" s="409">
        <f>SUMIFS(R2:R96,Q2:Q96,A112,C2:C96,A107)</f>
        <v>427200</v>
      </c>
      <c r="E112" s="572">
        <f>AVERAGEIFS(X2:X96,C2:C96,A107,Q2:Q96,A112)</f>
        <v>3796.928327645051</v>
      </c>
      <c r="F112" s="2061"/>
      <c r="G112" s="2062"/>
      <c r="H112" s="40"/>
      <c r="I112" s="40"/>
      <c r="J112" s="40"/>
      <c r="K112" s="341"/>
      <c r="L112" s="1890" t="s">
        <v>17437</v>
      </c>
      <c r="M112" s="1891"/>
      <c r="N112" s="1891"/>
      <c r="O112" s="1892"/>
      <c r="P112" s="40"/>
      <c r="Q112" s="1890" t="s">
        <v>17441</v>
      </c>
      <c r="R112" s="1891"/>
      <c r="S112" s="1891"/>
      <c r="T112" s="1892"/>
      <c r="U112" s="41"/>
      <c r="V112" s="40"/>
      <c r="W112" s="40"/>
      <c r="X112" s="341"/>
      <c r="Y112" s="341"/>
      <c r="Z112" s="566"/>
      <c r="AA112" s="567"/>
      <c r="AB112" s="567"/>
      <c r="AC112" s="566"/>
      <c r="AD112" s="566"/>
      <c r="AE112" s="567"/>
      <c r="AF112" s="566"/>
      <c r="AG112" s="567"/>
    </row>
    <row r="113" spans="1:57" ht="15.75" thickBot="1">
      <c r="A113" s="2019" t="s">
        <v>269</v>
      </c>
      <c r="B113" s="2072"/>
      <c r="C113" s="391">
        <f>SUBTOTAL(9,C109:C112)</f>
        <v>80</v>
      </c>
      <c r="D113" s="392">
        <f>SUM(D109:D112)</f>
        <v>28227552</v>
      </c>
      <c r="E113" s="393">
        <f>D113/K98</f>
        <v>3514.2114436532047</v>
      </c>
      <c r="F113" s="40"/>
      <c r="G113" s="394" t="s">
        <v>544</v>
      </c>
      <c r="H113" s="309">
        <f>C109/C113</f>
        <v>0.97499999999999998</v>
      </c>
      <c r="I113" s="40"/>
      <c r="J113" s="40"/>
      <c r="K113" s="341"/>
      <c r="L113" s="1010"/>
      <c r="M113" s="1011" t="s">
        <v>17438</v>
      </c>
      <c r="N113" s="1011">
        <v>2025</v>
      </c>
      <c r="O113" s="1011" t="s">
        <v>17444</v>
      </c>
      <c r="P113" s="40"/>
      <c r="Q113" s="1010"/>
      <c r="R113" s="1011" t="s">
        <v>17438</v>
      </c>
      <c r="S113" s="1011">
        <v>2024</v>
      </c>
      <c r="T113" s="1013" t="s">
        <v>17444</v>
      </c>
      <c r="U113" s="40"/>
      <c r="V113" s="40"/>
      <c r="W113" s="40"/>
      <c r="X113" s="341"/>
      <c r="Y113" s="341"/>
      <c r="Z113" s="566"/>
      <c r="AA113" s="567"/>
      <c r="AB113" s="567"/>
      <c r="AC113" s="566"/>
      <c r="AD113" s="566"/>
      <c r="AE113" s="567"/>
      <c r="AF113" s="566"/>
      <c r="AG113" s="567"/>
    </row>
    <row r="114" spans="1:57" ht="15.75" thickBot="1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341"/>
      <c r="L114" s="31" t="s">
        <v>17439</v>
      </c>
      <c r="M114" s="129">
        <f>COUNTIFS(Q2:Q96,Q94,AI2:AI96,L114)</f>
        <v>44</v>
      </c>
      <c r="N114" s="129">
        <f>COUNTIFS(AB2:AB96,"&gt;="&amp;DATE(2024,1,1),AB2:AB96,"&lt;="&amp;DATE(2024,12,31),AI2:AI96,L114)</f>
        <v>8</v>
      </c>
      <c r="O114" s="343">
        <f>M114/(M114+M115+M116)</f>
        <v>0.4731182795698925</v>
      </c>
      <c r="P114" s="40"/>
      <c r="Q114" s="34" t="s">
        <v>265</v>
      </c>
      <c r="R114" s="719">
        <f>COUNTIFS($Q$2:$Q$96,$Q$96,$AT$2:$AT$96,Q114)</f>
        <v>50</v>
      </c>
      <c r="S114" s="129">
        <f>COUNTIFS($AB$2:$AB$96,"&gt;="&amp;DATE(2024,1,1),$AB$2:$AB$96,"&lt;="&amp;DATE(2024,12,31),$AT$2:$AT$96,Q114)</f>
        <v>7</v>
      </c>
      <c r="T114" s="1014">
        <f t="shared" ref="T114:T125" si="18">R114/(SUM($R$114:$R$125))</f>
        <v>0.55555555555555558</v>
      </c>
      <c r="U114" s="40"/>
      <c r="V114" s="40"/>
      <c r="W114" s="40"/>
      <c r="X114" s="341"/>
      <c r="Y114" s="341"/>
      <c r="Z114" s="566"/>
      <c r="AA114" s="567"/>
      <c r="AB114" s="567"/>
      <c r="AC114" s="566"/>
      <c r="AD114" s="566"/>
      <c r="AE114" s="567"/>
      <c r="AF114" s="566"/>
      <c r="AG114" s="567"/>
    </row>
    <row r="115" spans="1:57" ht="15.75" thickBot="1">
      <c r="A115" s="2074" t="s">
        <v>139</v>
      </c>
      <c r="B115" s="2073"/>
      <c r="C115" s="411" t="s">
        <v>360</v>
      </c>
      <c r="D115" s="411" t="s">
        <v>359</v>
      </c>
      <c r="E115" s="411" t="s">
        <v>90</v>
      </c>
      <c r="F115" s="411" t="s">
        <v>91</v>
      </c>
      <c r="G115" s="411" t="s">
        <v>365</v>
      </c>
      <c r="H115" s="411" t="s">
        <v>89</v>
      </c>
      <c r="I115" s="429" t="s">
        <v>93</v>
      </c>
      <c r="J115" s="398" t="s">
        <v>141</v>
      </c>
      <c r="K115" s="40"/>
      <c r="L115" s="665" t="s">
        <v>17440</v>
      </c>
      <c r="M115" s="129">
        <f>COUNTIFS(Q2:Q96,Q94,AI2:AI96,L115)</f>
        <v>32</v>
      </c>
      <c r="N115" s="129">
        <f>COUNTIFS(AB2:AB96,"&gt;="&amp;DATE(2024,1,1),AB2:AB96,"&lt;="&amp;DATE(2024,12,31),AI2:AI96,L115)</f>
        <v>7</v>
      </c>
      <c r="O115" s="343">
        <f>M115/(M114+M115+M116)</f>
        <v>0.34408602150537637</v>
      </c>
      <c r="P115" s="40"/>
      <c r="Q115" s="34" t="s">
        <v>517</v>
      </c>
      <c r="R115" s="719">
        <f t="shared" ref="R115:R125" si="19">COUNTIFS($Q$2:$Q$96,$Q$96,$AT$2:$AT$96,Q115)</f>
        <v>20</v>
      </c>
      <c r="S115" s="129">
        <f t="shared" ref="S115:S125" si="20">COUNTIFS($AB$2:$AB$96,"&gt;="&amp;DATE(2024,1,1),$AB$2:$AB$96,"&lt;="&amp;DATE(2024,12,31),$AT$2:$AT$96,Q115)</f>
        <v>5</v>
      </c>
      <c r="T115" s="1014">
        <f t="shared" si="18"/>
        <v>0.22222222222222221</v>
      </c>
      <c r="U115" s="40"/>
      <c r="V115" s="40"/>
      <c r="W115" s="40"/>
      <c r="X115" s="341"/>
      <c r="Y115" s="341"/>
      <c r="Z115" s="566"/>
      <c r="AA115" s="567"/>
      <c r="AB115" s="567"/>
      <c r="AC115" s="341"/>
      <c r="AD115" s="566"/>
      <c r="AE115" s="566"/>
      <c r="AF115" s="567"/>
      <c r="AG115" s="566"/>
      <c r="AH115" s="567"/>
      <c r="AI115" s="563"/>
      <c r="AJ115" s="563"/>
      <c r="BB115" s="19"/>
      <c r="BE115" s="562"/>
    </row>
    <row r="116" spans="1:57">
      <c r="A116" s="2054" t="s">
        <v>258</v>
      </c>
      <c r="B116" s="2055"/>
      <c r="C116" s="95">
        <f>COUNTIFS(Q2:Q96,A116,C2:C96,C115)</f>
        <v>8</v>
      </c>
      <c r="D116" s="95">
        <f>COUNTIFS(Q2:Q96,A116,C2:C96,D115)</f>
        <v>7</v>
      </c>
      <c r="E116" s="95">
        <f>COUNTIFS(Q2:Q96,A116,D2:D96,E115)</f>
        <v>24</v>
      </c>
      <c r="F116" s="95">
        <f>COUNTIFS(Q2:Q96,A116,D2:D96,F115)</f>
        <v>21</v>
      </c>
      <c r="G116" s="95">
        <f>COUNTIFS(Q2:Q96,A116,D2:D96,G115)</f>
        <v>16</v>
      </c>
      <c r="H116" s="95">
        <f>COUNTIFS(Q2:Q96,A116,D2:D96,H115)</f>
        <v>16</v>
      </c>
      <c r="I116" s="446">
        <f>COUNTIFS(Q2:Q96,A116,D2:D96,I115)</f>
        <v>1</v>
      </c>
      <c r="J116" s="412">
        <f>SUM(C116:I116)</f>
        <v>93</v>
      </c>
      <c r="K116" s="40"/>
      <c r="L116" s="665" t="s">
        <v>17447</v>
      </c>
      <c r="M116" s="129">
        <f>COUNTIFS(Q2:Q96,Q94,AI2:AI96,L116)</f>
        <v>17</v>
      </c>
      <c r="N116" s="129">
        <f>COUNTIFS(AB2:AB96,"&gt;="&amp;DATE(2024,1,1),AB2:AB96,"&lt;="&amp;DATE(2024,12,31),AI2:AI96,L116)</f>
        <v>3</v>
      </c>
      <c r="O116" s="343">
        <f>M116/(M114+M115+M116)</f>
        <v>0.18279569892473119</v>
      </c>
      <c r="P116" s="40"/>
      <c r="Q116" s="34" t="s">
        <v>565</v>
      </c>
      <c r="R116" s="719">
        <f t="shared" si="19"/>
        <v>6</v>
      </c>
      <c r="S116" s="129">
        <f t="shared" si="20"/>
        <v>1</v>
      </c>
      <c r="T116" s="1014">
        <f t="shared" si="18"/>
        <v>6.6666666666666666E-2</v>
      </c>
      <c r="U116" s="40"/>
      <c r="V116" s="40"/>
      <c r="W116" s="40"/>
      <c r="X116" s="341"/>
      <c r="Y116" s="341"/>
      <c r="Z116" s="566"/>
      <c r="AA116" s="567"/>
      <c r="AB116" s="567"/>
      <c r="AC116" s="341"/>
      <c r="AD116" s="566"/>
      <c r="AE116" s="566"/>
      <c r="AF116" s="567"/>
      <c r="AG116" s="566"/>
      <c r="AH116" s="567"/>
      <c r="AI116" s="563"/>
      <c r="AJ116" s="563"/>
      <c r="BB116" s="19"/>
      <c r="BE116" s="562"/>
    </row>
    <row r="117" spans="1:57">
      <c r="A117" s="2056" t="s">
        <v>102</v>
      </c>
      <c r="B117" s="2069"/>
      <c r="C117" s="400">
        <f>COUNTIFS(Q2:Q96,A117,C2:C96,C115)</f>
        <v>0</v>
      </c>
      <c r="D117" s="400">
        <f>COUNTIFS(Q2:Q96,A117,C2:C96,D115)</f>
        <v>0</v>
      </c>
      <c r="E117" s="400">
        <f>COUNTIFS(Q2:Q97,A117,D2:D97,E115)</f>
        <v>0</v>
      </c>
      <c r="F117" s="400">
        <f>COUNTIFS(Q2:Q97,A117,D2:D97,F115)</f>
        <v>0</v>
      </c>
      <c r="G117" s="400">
        <f>COUNTIFS(Q2:Q97,A117,D2:D97,G115)</f>
        <v>0</v>
      </c>
      <c r="H117" s="400">
        <f>COUNTIFS(Q2:Q97,A117,D2:D97,H115)</f>
        <v>0</v>
      </c>
      <c r="I117" s="413">
        <f>COUNTIFS(Q2:Q97,A117,D2:D97,I115)</f>
        <v>0</v>
      </c>
      <c r="J117" s="414">
        <f>SUM(C117:I117)</f>
        <v>0</v>
      </c>
      <c r="K117" s="40"/>
      <c r="L117" s="40"/>
      <c r="M117" s="40"/>
      <c r="N117" s="40"/>
      <c r="O117" s="40"/>
      <c r="P117" s="40"/>
      <c r="Q117" s="22" t="s">
        <v>563</v>
      </c>
      <c r="R117" s="719">
        <f t="shared" si="19"/>
        <v>5</v>
      </c>
      <c r="S117" s="129">
        <f t="shared" si="20"/>
        <v>2</v>
      </c>
      <c r="T117" s="1014">
        <f t="shared" si="18"/>
        <v>5.5555555555555552E-2</v>
      </c>
      <c r="U117" s="40"/>
      <c r="V117" s="40"/>
      <c r="W117" s="40"/>
      <c r="X117" s="341"/>
      <c r="Y117" s="341"/>
      <c r="Z117" s="1516"/>
      <c r="AA117" s="567"/>
      <c r="AB117" s="567"/>
      <c r="AC117" s="341"/>
      <c r="AD117" s="566"/>
      <c r="AE117" s="566"/>
      <c r="AF117" s="567"/>
      <c r="AG117" s="566"/>
      <c r="AH117" s="567"/>
      <c r="AI117" s="563"/>
      <c r="AJ117" s="563"/>
      <c r="BB117" s="19"/>
      <c r="BE117" s="562"/>
    </row>
    <row r="118" spans="1:57" ht="15.75" thickBot="1">
      <c r="A118" s="2063" t="s">
        <v>138</v>
      </c>
      <c r="B118" s="2064"/>
      <c r="C118" s="31">
        <f>COUNTIFS(Q2:Q96,"",C2:C96,C115)</f>
        <v>0</v>
      </c>
      <c r="D118" s="31">
        <f>COUNTIFS(Q2:Q96,"",C2:C96,D115)</f>
        <v>0</v>
      </c>
      <c r="E118" s="31">
        <f>COUNTIFS(Q2:Q96,"",D2:D96,E115)</f>
        <v>0</v>
      </c>
      <c r="F118" s="31">
        <f>COUNTIFS(Q2:Q96,"",D2:D96,F115)</f>
        <v>0</v>
      </c>
      <c r="G118" s="31">
        <f>COUNTIFS(Q2:Q96,"",D2:D96,G115)</f>
        <v>0</v>
      </c>
      <c r="H118" s="31">
        <f>COUNTIFS(Q2:Q96,"",D2:D96,H115)</f>
        <v>0</v>
      </c>
      <c r="I118" s="163">
        <f>COUNTIFS(Q2:Q96,"",D2:D96,I115)</f>
        <v>1</v>
      </c>
      <c r="J118" s="416">
        <f>SUM(C118:I118)</f>
        <v>1</v>
      </c>
      <c r="K118" s="40"/>
      <c r="L118" s="31"/>
      <c r="M118" s="31" t="s">
        <v>17</v>
      </c>
      <c r="N118" s="31" t="s">
        <v>17518</v>
      </c>
      <c r="O118" s="31"/>
      <c r="P118" s="40"/>
      <c r="Q118" s="1019" t="s">
        <v>17200</v>
      </c>
      <c r="R118" s="719">
        <f t="shared" si="19"/>
        <v>1</v>
      </c>
      <c r="S118" s="129">
        <f t="shared" si="20"/>
        <v>0</v>
      </c>
      <c r="T118" s="1014">
        <f t="shared" si="18"/>
        <v>1.1111111111111112E-2</v>
      </c>
      <c r="U118" s="40"/>
      <c r="V118" s="40"/>
      <c r="W118" s="40"/>
      <c r="X118" s="341"/>
      <c r="Y118" s="341"/>
      <c r="Z118" s="566"/>
      <c r="AA118" s="567"/>
      <c r="AB118" s="567"/>
      <c r="AC118" s="341"/>
      <c r="AD118" s="566"/>
      <c r="AE118" s="566"/>
      <c r="AF118" s="567"/>
      <c r="AG118" s="566"/>
      <c r="AH118" s="567"/>
      <c r="AI118" s="563"/>
      <c r="AJ118" s="563"/>
      <c r="BB118" s="19"/>
      <c r="BE118" s="562"/>
    </row>
    <row r="119" spans="1:57" ht="15.75" thickBot="1">
      <c r="A119" s="2070" t="s">
        <v>210</v>
      </c>
      <c r="B119" s="2071"/>
      <c r="C119" s="417">
        <f>COUNTIFS(Q2:Q96,A119,C2:C96,C115)</f>
        <v>0</v>
      </c>
      <c r="D119" s="417">
        <f>COUNTIFS(Q2:Q96,A119,C2:C96,D115)</f>
        <v>0</v>
      </c>
      <c r="E119" s="417">
        <f>COUNTIFS(Q2:Q96,A119,D2:D96,E115)</f>
        <v>0</v>
      </c>
      <c r="F119" s="417">
        <f>COUNTIFS(Q2:Q96,A119,D2:D96,F115)</f>
        <v>0</v>
      </c>
      <c r="G119" s="417">
        <f>COUNTIFS(Q2:Q96,A119,D2:D96,G115)</f>
        <v>0</v>
      </c>
      <c r="H119" s="417">
        <f>COUNTIFS(Q2:Q96,A119,D2:D96,H115)</f>
        <v>1</v>
      </c>
      <c r="I119" s="447">
        <f>COUNTIFS(Q2:Q96,A119,D2:D96,I115)</f>
        <v>0</v>
      </c>
      <c r="J119" s="418">
        <f>SUM(C119:I119)</f>
        <v>1</v>
      </c>
      <c r="K119" s="40"/>
      <c r="L119" s="31"/>
      <c r="M119" s="31"/>
      <c r="N119" s="31"/>
      <c r="O119" s="31"/>
      <c r="P119" s="40"/>
      <c r="Q119" s="1020" t="s">
        <v>17174</v>
      </c>
      <c r="R119" s="719">
        <f t="shared" si="19"/>
        <v>1</v>
      </c>
      <c r="S119" s="129">
        <f t="shared" si="20"/>
        <v>0</v>
      </c>
      <c r="T119" s="1014">
        <f t="shared" si="18"/>
        <v>1.1111111111111112E-2</v>
      </c>
      <c r="U119" s="40"/>
      <c r="V119" s="40"/>
      <c r="W119" s="40"/>
      <c r="X119" s="341"/>
      <c r="Y119" s="341"/>
      <c r="Z119" s="566"/>
      <c r="AA119" s="567"/>
      <c r="AB119" s="567"/>
      <c r="AC119" s="341"/>
      <c r="AD119" s="566"/>
      <c r="AE119" s="566"/>
      <c r="AF119" s="567"/>
      <c r="AG119" s="566"/>
      <c r="AH119" s="567"/>
      <c r="AI119" s="563"/>
      <c r="AJ119" s="563"/>
      <c r="BB119" s="19"/>
      <c r="BE119" s="562"/>
    </row>
    <row r="120" spans="1:57" ht="15.75" thickBot="1">
      <c r="A120" s="2065" t="s">
        <v>141</v>
      </c>
      <c r="B120" s="2066"/>
      <c r="C120" s="404">
        <f t="shared" ref="C120:J120" si="21">SUM(C116:C119)</f>
        <v>8</v>
      </c>
      <c r="D120" s="404">
        <f t="shared" si="21"/>
        <v>7</v>
      </c>
      <c r="E120" s="404">
        <f t="shared" si="21"/>
        <v>24</v>
      </c>
      <c r="F120" s="404">
        <f t="shared" si="21"/>
        <v>21</v>
      </c>
      <c r="G120" s="404">
        <f t="shared" si="21"/>
        <v>16</v>
      </c>
      <c r="H120" s="404">
        <f t="shared" si="21"/>
        <v>17</v>
      </c>
      <c r="I120" s="415">
        <f t="shared" si="21"/>
        <v>2</v>
      </c>
      <c r="J120" s="419">
        <f t="shared" si="21"/>
        <v>95</v>
      </c>
      <c r="K120" s="40"/>
      <c r="L120" s="31"/>
      <c r="M120" s="31"/>
      <c r="N120" s="31"/>
      <c r="O120" s="31"/>
      <c r="P120" s="40"/>
      <c r="Q120" s="1020" t="s">
        <v>514</v>
      </c>
      <c r="R120" s="719">
        <f t="shared" si="19"/>
        <v>1</v>
      </c>
      <c r="S120" s="129">
        <f t="shared" si="20"/>
        <v>0</v>
      </c>
      <c r="T120" s="1014">
        <f t="shared" si="18"/>
        <v>1.1111111111111112E-2</v>
      </c>
      <c r="U120" s="40"/>
      <c r="V120" s="40"/>
      <c r="W120" s="40"/>
      <c r="X120" s="341"/>
      <c r="Y120" s="341"/>
      <c r="Z120" s="566"/>
      <c r="AA120" s="567"/>
      <c r="AB120" s="567"/>
      <c r="AC120" s="341"/>
      <c r="AD120" s="566"/>
      <c r="AE120" s="566"/>
      <c r="AF120" s="567"/>
      <c r="AG120" s="566"/>
      <c r="AH120" s="567"/>
      <c r="AI120" s="563"/>
      <c r="AJ120" s="563"/>
      <c r="BB120" s="19"/>
      <c r="BE120" s="562"/>
    </row>
    <row r="121" spans="1:57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L121" s="1165"/>
      <c r="M121" s="1165"/>
      <c r="N121" s="1165"/>
      <c r="O121" s="1165"/>
      <c r="P121" s="508"/>
      <c r="Q121" s="1020" t="s">
        <v>591</v>
      </c>
      <c r="R121" s="719">
        <f t="shared" si="19"/>
        <v>1</v>
      </c>
      <c r="S121" s="129">
        <f t="shared" si="20"/>
        <v>0</v>
      </c>
      <c r="T121" s="1014">
        <f t="shared" si="18"/>
        <v>1.1111111111111112E-2</v>
      </c>
      <c r="U121" s="40"/>
      <c r="V121" s="41"/>
      <c r="W121" s="41"/>
      <c r="X121" s="341"/>
      <c r="Y121" s="341"/>
      <c r="Z121" s="566"/>
      <c r="AA121" s="567"/>
      <c r="AB121" s="567"/>
      <c r="AC121" s="341"/>
      <c r="AD121" s="566"/>
      <c r="AE121" s="566"/>
      <c r="AF121" s="567"/>
      <c r="AG121" s="566"/>
      <c r="AH121" s="567"/>
      <c r="AI121" s="563"/>
      <c r="AJ121" s="563"/>
      <c r="BB121" s="19"/>
      <c r="BE121" s="562"/>
    </row>
    <row r="122" spans="1:57" ht="15.75" thickBot="1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L122" s="1165"/>
      <c r="M122" s="1165"/>
      <c r="N122" s="1165"/>
      <c r="O122" s="1165"/>
      <c r="P122" s="508"/>
      <c r="Q122" s="1020" t="s">
        <v>17448</v>
      </c>
      <c r="R122" s="719">
        <f t="shared" si="19"/>
        <v>0</v>
      </c>
      <c r="S122" s="129">
        <f t="shared" si="20"/>
        <v>0</v>
      </c>
      <c r="T122" s="1014">
        <f t="shared" si="18"/>
        <v>0</v>
      </c>
      <c r="U122" s="40"/>
      <c r="V122" s="41"/>
      <c r="W122" s="41"/>
      <c r="X122" s="341"/>
      <c r="Y122" s="341"/>
      <c r="Z122" s="566"/>
      <c r="AA122" s="567"/>
      <c r="AB122" s="567"/>
      <c r="AC122" s="341"/>
      <c r="AD122" s="566"/>
      <c r="AE122" s="566"/>
      <c r="AF122" s="567"/>
      <c r="AG122" s="566"/>
      <c r="AH122" s="567"/>
      <c r="AI122" s="563"/>
      <c r="AJ122" s="563"/>
      <c r="BB122" s="19"/>
      <c r="BE122" s="562"/>
    </row>
    <row r="123" spans="1:57">
      <c r="A123" s="2052" t="s">
        <v>142</v>
      </c>
      <c r="B123" s="2053"/>
      <c r="C123" s="411" t="s">
        <v>360</v>
      </c>
      <c r="D123" s="411" t="s">
        <v>359</v>
      </c>
      <c r="E123" s="411" t="s">
        <v>90</v>
      </c>
      <c r="F123" s="411" t="s">
        <v>91</v>
      </c>
      <c r="G123" s="411" t="s">
        <v>365</v>
      </c>
      <c r="H123" s="411" t="s">
        <v>89</v>
      </c>
      <c r="I123" s="429" t="s">
        <v>93</v>
      </c>
      <c r="J123" s="398" t="s">
        <v>141</v>
      </c>
      <c r="K123" s="40"/>
      <c r="L123" s="1165"/>
      <c r="M123" s="1165"/>
      <c r="N123" s="1165"/>
      <c r="O123" s="1165"/>
      <c r="P123" s="508"/>
      <c r="Q123" s="1020" t="s">
        <v>17219</v>
      </c>
      <c r="R123" s="719">
        <f t="shared" si="19"/>
        <v>1</v>
      </c>
      <c r="S123" s="129">
        <f t="shared" si="20"/>
        <v>0</v>
      </c>
      <c r="T123" s="1014">
        <f t="shared" si="18"/>
        <v>1.1111111111111112E-2</v>
      </c>
      <c r="U123" s="40"/>
      <c r="V123" s="41"/>
      <c r="W123" s="41"/>
      <c r="X123" s="341"/>
      <c r="Y123" s="341"/>
      <c r="Z123" s="566"/>
      <c r="AA123" s="567"/>
      <c r="AB123" s="567"/>
      <c r="AC123" s="341"/>
      <c r="AD123" s="566"/>
      <c r="AE123" s="566"/>
      <c r="AF123" s="567"/>
      <c r="AG123" s="566"/>
      <c r="AH123" s="567"/>
      <c r="AI123" s="563"/>
      <c r="AJ123" s="563">
        <v>7866.7</v>
      </c>
      <c r="BB123" s="19"/>
      <c r="BE123" s="562"/>
    </row>
    <row r="124" spans="1:57">
      <c r="A124" s="2054" t="s">
        <v>258</v>
      </c>
      <c r="B124" s="2055"/>
      <c r="C124" s="115">
        <f>AVERAGEIFS(R2:R96,Q2:Q96,A124,C2:C96,C123)</f>
        <v>168591.875</v>
      </c>
      <c r="D124" s="115">
        <f>AVERAGEIFS(U2:U96,Q2:Q96,A124,C2:C96,D123)</f>
        <v>2580.8613462762742</v>
      </c>
      <c r="E124" s="276">
        <f>AVERAGEIFS(U2:U96,Q2:Q96,A124,D2:D96,E123)</f>
        <v>3703.795934085234</v>
      </c>
      <c r="F124" s="276">
        <f>AVERAGEIFS(U2:U96,Q2:Q96,A124,D2:D96,F123)</f>
        <v>3378.851667931036</v>
      </c>
      <c r="G124" s="276">
        <f>AVERAGEIFS(U2:U96,Q2:Q96,A124,D2:D96,G123)</f>
        <v>3478.1636291195678</v>
      </c>
      <c r="H124" s="276">
        <f>AVERAGEIFS(U2:U96,Q2:Q96,A124,D2:D96,H123)</f>
        <v>3338.3525900587383</v>
      </c>
      <c r="I124" s="448">
        <f>AVERAGEIFS(U2:U96,Q2:Q96,A124,D2:D96,I123)</f>
        <v>4451.2320328542091</v>
      </c>
      <c r="J124" s="420">
        <f>AVERAGEIF(Q2:Q96,A124,U2:U96)</f>
        <v>3302.2625539924602</v>
      </c>
      <c r="K124" s="40"/>
      <c r="L124" s="508"/>
      <c r="M124" s="508"/>
      <c r="N124" s="508"/>
      <c r="O124" s="508"/>
      <c r="P124" s="508"/>
      <c r="Q124" s="1020" t="s">
        <v>17283</v>
      </c>
      <c r="R124" s="719">
        <f t="shared" si="19"/>
        <v>1</v>
      </c>
      <c r="S124" s="129">
        <f t="shared" si="20"/>
        <v>1</v>
      </c>
      <c r="T124" s="1014">
        <f t="shared" si="18"/>
        <v>1.1111111111111112E-2</v>
      </c>
      <c r="U124" s="40"/>
      <c r="V124" s="41"/>
      <c r="W124" s="41"/>
      <c r="X124" s="341"/>
      <c r="Y124" s="341"/>
      <c r="Z124" s="566"/>
      <c r="AA124" s="567"/>
      <c r="AB124" s="567"/>
      <c r="AC124" s="341"/>
      <c r="AD124" s="566"/>
      <c r="AE124" s="566"/>
      <c r="AF124" s="567"/>
      <c r="AG124" s="566"/>
      <c r="AH124" s="567"/>
      <c r="AI124" s="563"/>
      <c r="AJ124" s="563">
        <v>786.67</v>
      </c>
      <c r="BB124" s="19"/>
      <c r="BE124" s="562"/>
    </row>
    <row r="125" spans="1:57">
      <c r="A125" s="2056" t="s">
        <v>102</v>
      </c>
      <c r="B125" s="2057"/>
      <c r="C125" s="421" t="e">
        <f>AVERAGEIFS(X2:X96,Q2:Q96,A125,C2:C96,C123)</f>
        <v>#DIV/0!</v>
      </c>
      <c r="D125" s="421" t="e">
        <f>AVERAGEIFS(X2:X96,Q2:Q96,A125,C2:C96,D123)</f>
        <v>#DIV/0!</v>
      </c>
      <c r="E125" s="402" t="e">
        <f>AVERAGEIFS(X2:X96,Q2:Q96,A125,D2:D96,E123)</f>
        <v>#DIV/0!</v>
      </c>
      <c r="F125" s="402" t="e">
        <f>AVERAGEIFS(X2:X96,Q2:Q96,A125,D2:D96,F123)</f>
        <v>#DIV/0!</v>
      </c>
      <c r="G125" s="402" t="e">
        <f>AVERAGEIFS(X2:X96,Q2:Q96,A125,D2:D96,G123)</f>
        <v>#DIV/0!</v>
      </c>
      <c r="H125" s="402" t="e">
        <f>AVERAGEIFS(X2:X96,Q2:Q96,A125,D2:D96,H123)</f>
        <v>#DIV/0!</v>
      </c>
      <c r="I125" s="449" t="e">
        <f>AVERAGEIFS(X2:X96,Q2:Q96,A125,D2:D96,I123)</f>
        <v>#DIV/0!</v>
      </c>
      <c r="J125" s="422" t="e">
        <f>AVERAGEIF(Q23:Q97,A125,X23:X97)</f>
        <v>#DIV/0!</v>
      </c>
      <c r="K125" s="40"/>
      <c r="L125" s="508"/>
      <c r="M125" s="508"/>
      <c r="N125" s="508"/>
      <c r="O125" s="508"/>
      <c r="P125" s="508"/>
      <c r="Q125" s="1020" t="s">
        <v>730</v>
      </c>
      <c r="R125" s="719">
        <f t="shared" si="19"/>
        <v>3</v>
      </c>
      <c r="S125" s="129">
        <f t="shared" si="20"/>
        <v>0</v>
      </c>
      <c r="T125" s="1014">
        <f t="shared" si="18"/>
        <v>3.3333333333333333E-2</v>
      </c>
      <c r="U125" s="106"/>
      <c r="V125" s="41"/>
      <c r="W125" s="41"/>
      <c r="X125" s="341"/>
      <c r="Y125" s="341"/>
      <c r="Z125" s="566"/>
      <c r="AA125" s="567"/>
      <c r="AB125" s="567"/>
      <c r="AC125" s="341"/>
      <c r="AD125" s="566"/>
      <c r="AE125" s="566"/>
      <c r="AF125" s="567"/>
      <c r="AG125" s="566"/>
      <c r="AH125" s="567"/>
      <c r="AI125" s="563"/>
      <c r="AJ125" s="563">
        <f>AJ123-AJ124</f>
        <v>7080.03</v>
      </c>
      <c r="BB125" s="19"/>
      <c r="BE125" s="562"/>
    </row>
    <row r="126" spans="1:57">
      <c r="A126" s="2067" t="s">
        <v>17224</v>
      </c>
      <c r="B126" s="2068"/>
      <c r="C126" s="423" t="e">
        <f>AVERAGEIFS(X2:X96,Q2:Q96,"",C2:C96,C123)</f>
        <v>#DIV/0!</v>
      </c>
      <c r="D126" s="423" t="e">
        <f>AVERAGEIFS(X2:X96,Q2:Q96,"",C2:C96,D123)</f>
        <v>#DIV/0!</v>
      </c>
      <c r="E126" s="108" t="e">
        <f>AVERAGEIFS(X2:X96,Q2:Q96,"",D2:D96,E123)</f>
        <v>#DIV/0!</v>
      </c>
      <c r="F126" s="108" t="e">
        <f>AVERAGEIFS(V2:V96,Q2:Q96,"",D2:D96,F123)</f>
        <v>#DIV/0!</v>
      </c>
      <c r="G126" s="108" t="e">
        <f>AVERAGEIFS(V2:V96,Q2:Q96,"",D2:D96,G123)</f>
        <v>#DIV/0!</v>
      </c>
      <c r="H126" s="108" t="e">
        <f>AVERAGEIFS(V2:V96,Q2:Q96,"",D2:D96,H123)</f>
        <v>#DIV/0!</v>
      </c>
      <c r="I126" s="450">
        <f>AVERAGEIFS(V2:V96,Q2:Q96,"",D2:D96,I123)</f>
        <v>5120.7502930832361</v>
      </c>
      <c r="J126" s="161">
        <f>AVERAGEIF(Q2:Q96,"",V2:V96)</f>
        <v>5120.7502930832361</v>
      </c>
      <c r="K126" s="40"/>
      <c r="L126" s="508"/>
      <c r="M126" s="508"/>
      <c r="N126" s="508"/>
      <c r="O126" s="508"/>
      <c r="P126" s="508"/>
      <c r="Q126" s="1021"/>
      <c r="R126" s="1022"/>
      <c r="S126" s="1021"/>
      <c r="T126" s="291"/>
      <c r="U126" s="106"/>
      <c r="V126" s="106"/>
      <c r="W126" s="106"/>
      <c r="X126" s="341"/>
      <c r="Y126" s="341"/>
      <c r="Z126" s="566"/>
      <c r="AA126" s="567"/>
      <c r="AB126" s="567"/>
      <c r="AC126" s="341"/>
      <c r="AD126" s="566"/>
      <c r="AE126" s="566"/>
      <c r="AF126" s="567"/>
      <c r="AG126" s="566"/>
      <c r="AH126" s="567"/>
      <c r="AI126" s="563"/>
      <c r="AJ126" s="563"/>
      <c r="BB126" s="19"/>
      <c r="BE126" s="562"/>
    </row>
    <row r="127" spans="1:57" ht="15.75" thickBot="1">
      <c r="A127" s="2076" t="s">
        <v>210</v>
      </c>
      <c r="B127" s="2077"/>
      <c r="C127" s="424" t="e">
        <f>AVERAGEIFS(U2:U96,Q2:Q96,A127,C2:C96,C123)</f>
        <v>#DIV/0!</v>
      </c>
      <c r="D127" s="424" t="e">
        <f>AVERAGEIFS(U2:U96,Q2:Q96,A127,C2:C96,D123)</f>
        <v>#DIV/0!</v>
      </c>
      <c r="E127" s="409" t="e">
        <f>AVERAGEIFS(U2:U96,Q2:Q96,A127,D2:D96,E123)</f>
        <v>#DIV/0!</v>
      </c>
      <c r="F127" s="409" t="e">
        <f>AVERAGEIFS(U2:U96,Q2:Q96,A127,D2:D96,F123)</f>
        <v>#DIV/0!</v>
      </c>
      <c r="G127" s="409" t="e">
        <f>AVERAGEIFS(U2:U96,Q2:Q96,A127,D2:D96,G123)</f>
        <v>#DIV/0!</v>
      </c>
      <c r="H127" s="409">
        <f>AVERAGEIFS(U2:U96,Q2:Q96,A127,D2:D96,H123)</f>
        <v>3645.0511945392491</v>
      </c>
      <c r="I127" s="451" t="e">
        <f>AVERAGEIFS(U2:U96,Q2:Q96,A127,D2:D96,I123)</f>
        <v>#DIV/0!</v>
      </c>
      <c r="J127" s="425">
        <f>AVERAGEIF(Q23:Q97,A127,U23:U97)</f>
        <v>3645.0511945392491</v>
      </c>
      <c r="K127" s="40"/>
      <c r="L127" s="508"/>
      <c r="M127" s="508"/>
      <c r="N127" s="508"/>
      <c r="O127" s="508"/>
      <c r="P127" s="508"/>
      <c r="Q127" s="341"/>
      <c r="R127" s="565"/>
      <c r="S127" s="341"/>
      <c r="T127" s="41"/>
      <c r="U127" s="341"/>
      <c r="V127" s="341"/>
      <c r="W127" s="341"/>
      <c r="X127" s="341"/>
      <c r="Y127" s="341"/>
      <c r="Z127" s="566"/>
      <c r="AA127" s="567"/>
      <c r="AB127" s="567"/>
      <c r="AC127" s="341"/>
      <c r="AD127" s="566"/>
      <c r="AE127" s="566"/>
      <c r="AF127" s="567"/>
      <c r="AG127" s="566"/>
      <c r="AH127" s="567"/>
      <c r="AI127" s="563"/>
      <c r="AJ127" s="563"/>
      <c r="BB127" s="19"/>
      <c r="BE127" s="562"/>
    </row>
    <row r="128" spans="1:57" ht="15.75" thickBot="1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341"/>
      <c r="M128" s="341"/>
      <c r="N128" s="341"/>
      <c r="O128" s="341"/>
      <c r="P128" s="341"/>
      <c r="Q128" s="341"/>
      <c r="R128" s="565"/>
      <c r="S128" s="341"/>
      <c r="T128" s="41"/>
      <c r="U128" s="341"/>
      <c r="V128" s="341"/>
      <c r="W128" s="341"/>
      <c r="X128" s="341"/>
      <c r="Y128" s="341"/>
      <c r="Z128" s="566"/>
      <c r="AA128" s="567"/>
      <c r="AB128" s="567"/>
      <c r="AC128" s="341"/>
      <c r="AD128" s="566"/>
      <c r="AE128" s="566"/>
      <c r="AF128" s="567"/>
      <c r="AG128" s="566"/>
      <c r="AH128" s="567"/>
      <c r="AI128" s="563"/>
      <c r="AJ128" s="563"/>
      <c r="BB128" s="19"/>
      <c r="BE128" s="562"/>
    </row>
    <row r="129" spans="1:57">
      <c r="A129" s="2052" t="s">
        <v>192</v>
      </c>
      <c r="B129" s="2053"/>
      <c r="C129" s="411" t="s">
        <v>360</v>
      </c>
      <c r="D129" s="411" t="s">
        <v>359</v>
      </c>
      <c r="E129" s="411" t="s">
        <v>90</v>
      </c>
      <c r="F129" s="411" t="s">
        <v>91</v>
      </c>
      <c r="G129" s="411" t="s">
        <v>365</v>
      </c>
      <c r="H129" s="411" t="s">
        <v>89</v>
      </c>
      <c r="I129" s="429" t="s">
        <v>93</v>
      </c>
      <c r="J129" s="398" t="s">
        <v>141</v>
      </c>
      <c r="K129" s="40"/>
      <c r="L129" s="341"/>
      <c r="M129" s="341"/>
      <c r="N129" s="341"/>
      <c r="O129" s="341"/>
      <c r="P129" s="341"/>
      <c r="Q129" s="341"/>
      <c r="R129" s="565"/>
      <c r="S129" s="341"/>
      <c r="T129" s="41"/>
      <c r="U129" s="341"/>
      <c r="V129" s="341"/>
      <c r="W129" s="341"/>
      <c r="X129" s="341"/>
      <c r="Y129" s="341"/>
      <c r="Z129" s="566"/>
      <c r="AA129" s="567"/>
      <c r="AB129" s="567"/>
      <c r="AC129" s="341"/>
      <c r="AD129" s="566"/>
      <c r="AE129" s="566"/>
      <c r="AF129" s="567"/>
      <c r="AG129" s="566"/>
      <c r="AH129" s="567"/>
      <c r="AI129" s="563"/>
      <c r="AJ129" s="563"/>
      <c r="BB129" s="19"/>
      <c r="BE129" s="562"/>
    </row>
    <row r="130" spans="1:57">
      <c r="A130" s="2054" t="s">
        <v>258</v>
      </c>
      <c r="B130" s="2055"/>
      <c r="C130" s="115">
        <f>AVERAGEIFS(R2:R96,Q2:Q96,A130,C2:C96,C129)</f>
        <v>168591.875</v>
      </c>
      <c r="D130" s="115">
        <f>AVERAGEIFS(R2:R96,Q2:Q96,A130,C2:C96,D129)</f>
        <v>247675.38142857142</v>
      </c>
      <c r="E130" s="276">
        <f>AVERAGEIFS(R2:R96,Q2:Q96,A130,D2:D96,E129)</f>
        <v>221350.70833333334</v>
      </c>
      <c r="F130" s="276">
        <f>AVERAGEIFS(R2:R96,Q2:Q96,A130,D2:D96,F129)</f>
        <v>361328.38095238095</v>
      </c>
      <c r="G130" s="276">
        <f>AVERAGEIFS(R2:R96,Q2:Q96,A130,D2:D96,G129)</f>
        <v>382408.3125</v>
      </c>
      <c r="H130" s="276">
        <f>AVERAGEIFS(R2:R96,Q2:Q96,A130,D2:D96,H129)</f>
        <v>440050.375</v>
      </c>
      <c r="I130" s="448">
        <f>AVERAGEIFS(R2:R96,Q2:Q96,A130,D2:D96,I129)</f>
        <v>867100</v>
      </c>
      <c r="J130" s="420">
        <f>AVERAGEIFS(R1:R96,C1:C96,C26,Q1:Q96,Q96)</f>
        <v>345214.76923076925</v>
      </c>
      <c r="K130" s="40"/>
      <c r="L130" s="341"/>
      <c r="M130" s="341"/>
      <c r="N130" s="341"/>
      <c r="O130" s="341"/>
      <c r="P130" s="341"/>
      <c r="Q130" s="341"/>
      <c r="S130" s="19"/>
      <c r="T130" s="41"/>
      <c r="U130" s="341"/>
      <c r="V130" s="341"/>
      <c r="W130" s="341"/>
      <c r="X130" s="341"/>
      <c r="Y130" s="341"/>
      <c r="Z130" s="566"/>
      <c r="AA130" s="567"/>
      <c r="AB130" s="567"/>
      <c r="AC130" s="341"/>
      <c r="AD130" s="566"/>
      <c r="AE130" s="566"/>
      <c r="AF130" s="567"/>
      <c r="AG130" s="566"/>
      <c r="AH130" s="567"/>
      <c r="AI130" s="563"/>
      <c r="AJ130" s="563"/>
      <c r="BB130" s="19"/>
      <c r="BE130" s="562"/>
    </row>
    <row r="131" spans="1:57">
      <c r="A131" s="2056" t="s">
        <v>102</v>
      </c>
      <c r="B131" s="2057"/>
      <c r="C131" s="421" t="e">
        <f>AVERAGEIFS(T2:T96,Q2:Q96,A131,C2:C96,C129)</f>
        <v>#DIV/0!</v>
      </c>
      <c r="D131" s="421" t="e">
        <f>AVERAGEIFS(T2:T96,Q2:Q96,A131,C2:C96,D129)</f>
        <v>#DIV/0!</v>
      </c>
      <c r="E131" s="402" t="e">
        <f>AVERAGEIFS(T2:T96,Q2:Q96,A131,D2:D96,E129)</f>
        <v>#DIV/0!</v>
      </c>
      <c r="F131" s="402" t="e">
        <f>AVERAGEIFS(T2:T96,Q2:Q96,A131,D2:D96,F129)</f>
        <v>#DIV/0!</v>
      </c>
      <c r="G131" s="402" t="e">
        <f>AVERAGEIFS(T2:T96,Q2:Q96,A131,D2:D96,G129)</f>
        <v>#DIV/0!</v>
      </c>
      <c r="H131" s="402" t="e">
        <f>AVERAGEIFS(T2:T96,Q2:Q96,A131,D2:D96,H129)</f>
        <v>#DIV/0!</v>
      </c>
      <c r="I131" s="449" t="e">
        <f>AVERAGEIFS(T2:T96,Q2:Q96,A131,D2:D96,I129)</f>
        <v>#DIV/0!</v>
      </c>
      <c r="J131" s="422" t="e">
        <f>AVERAGEIF(Q2:Q96,A131,T2:T96)</f>
        <v>#DIV/0!</v>
      </c>
      <c r="K131" s="40"/>
      <c r="L131" s="341"/>
      <c r="M131" s="341"/>
      <c r="N131" s="341"/>
      <c r="O131" s="341"/>
      <c r="P131" s="341"/>
      <c r="U131" s="341"/>
      <c r="V131" s="341"/>
      <c r="W131" s="341"/>
      <c r="X131" s="341"/>
      <c r="Y131" s="341"/>
      <c r="Z131" s="566"/>
      <c r="AA131" s="567"/>
      <c r="AB131" s="567"/>
      <c r="AC131" s="341"/>
      <c r="AD131" s="566"/>
      <c r="AE131" s="566"/>
      <c r="AF131" s="567"/>
      <c r="AG131" s="566"/>
      <c r="AH131" s="567"/>
      <c r="AI131" s="563"/>
      <c r="AJ131" s="563"/>
      <c r="BB131" s="19"/>
      <c r="BE131" s="562"/>
    </row>
    <row r="132" spans="1:57" ht="15.75" thickBot="1">
      <c r="A132" s="2063" t="s">
        <v>138</v>
      </c>
      <c r="B132" s="2075"/>
      <c r="C132" s="426" t="e">
        <f>AVERAGEIFS(T2:T96,Q2:Q96,"",C2:C96,C129)</f>
        <v>#DIV/0!</v>
      </c>
      <c r="D132" s="426" t="e">
        <f>AVERAGEIFS(T2:T96,Q2:Q96,"",C2:C96,D129)</f>
        <v>#DIV/0!</v>
      </c>
      <c r="E132" s="427" t="e">
        <f>AVERAGEIFS(T2:T96,Q2:Q96,"",D2:D96,E129)</f>
        <v>#DIV/0!</v>
      </c>
      <c r="F132" s="427" t="e">
        <f>AVERAGEIFS(W2:W96,Q2:Q96,"",D2:D96,F129)</f>
        <v>#DIV/0!</v>
      </c>
      <c r="G132" s="427" t="e">
        <f>AVERAGEIFS(W2:W96,Q2:Q96,"",D2:D96,G129)</f>
        <v>#DIV/0!</v>
      </c>
      <c r="H132" s="427" t="e">
        <f>AVERAGEIFS(W2:W96,Q2:Q96,"",D2:D96,H129)</f>
        <v>#DIV/0!</v>
      </c>
      <c r="I132" s="452">
        <f>AVERAGEIFS(W2:W96,Q2:Q96,"",D2:D96,I129)</f>
        <v>873600</v>
      </c>
      <c r="J132" s="428">
        <f>AVERAGEIF(Q2:Q96,"",T2:T96)</f>
        <v>884000</v>
      </c>
      <c r="K132" s="40"/>
      <c r="L132" s="341"/>
      <c r="M132" s="341"/>
      <c r="N132" s="341"/>
      <c r="O132" s="341"/>
      <c r="P132" s="341"/>
      <c r="U132" s="341"/>
      <c r="V132" s="341"/>
      <c r="W132" s="341"/>
      <c r="X132" s="341"/>
      <c r="Y132" s="341"/>
      <c r="Z132" s="566"/>
      <c r="AA132" s="567"/>
      <c r="AB132" s="567"/>
      <c r="AC132" s="341"/>
      <c r="AD132" s="566"/>
      <c r="AE132" s="566"/>
      <c r="AF132" s="567"/>
      <c r="AG132" s="566"/>
      <c r="AH132" s="567"/>
      <c r="AI132" s="563"/>
      <c r="AJ132" s="563"/>
      <c r="BB132" s="19"/>
      <c r="BE132" s="562"/>
    </row>
    <row r="133" spans="1:57" ht="15.75" thickBot="1">
      <c r="A133" s="2076" t="s">
        <v>210</v>
      </c>
      <c r="B133" s="2077"/>
      <c r="C133" s="424" t="e">
        <f>AVERAGEIFS(R2:R96,Q2:Q96,A133,C2:C96,C129)</f>
        <v>#DIV/0!</v>
      </c>
      <c r="D133" s="424" t="e">
        <f>AVERAGEIFS(R2:R96,Q2:Q96,A133,C2:C96,D129)</f>
        <v>#DIV/0!</v>
      </c>
      <c r="E133" s="409" t="e">
        <f>AVERAGEIFS(R2:R96,Q2:Q96,A133,D2:D96,E129)</f>
        <v>#DIV/0!</v>
      </c>
      <c r="F133" s="409" t="e">
        <f>AVERAGEIFS(R2:R96,Q2:Q96,A133,D2:D96,F129)</f>
        <v>#DIV/0!</v>
      </c>
      <c r="G133" s="409" t="e">
        <f>AVERAGEIFS(R2:R96,Q2:Q96,A133,D2:D96,G129)</f>
        <v>#DIV/0!</v>
      </c>
      <c r="H133" s="409">
        <f>AVERAGEIFS(R2:R96,Q2:Q96,A133,D2:D96,H129)</f>
        <v>427200</v>
      </c>
      <c r="I133" s="451" t="e">
        <f>AVERAGEIFS(R2:R96,Q2:Q96,A133,D2:D96,I129)</f>
        <v>#DIV/0!</v>
      </c>
      <c r="J133" s="425">
        <f>AVERAGEIF(Q2:Q96,A133,R2:R96)</f>
        <v>427200</v>
      </c>
      <c r="K133" s="40"/>
      <c r="X133" s="341"/>
      <c r="Y133" s="341"/>
      <c r="Z133" s="566"/>
      <c r="AA133" s="567"/>
      <c r="AB133" s="567"/>
      <c r="AC133" s="341"/>
      <c r="AD133" s="566"/>
      <c r="AE133" s="566"/>
      <c r="AF133" s="567"/>
      <c r="AG133" s="566"/>
      <c r="AH133" s="567"/>
      <c r="AI133" s="563"/>
      <c r="AJ133" s="563"/>
      <c r="BB133" s="19"/>
      <c r="BE133" s="562"/>
    </row>
    <row r="134" spans="1:57" ht="15.75" thickBot="1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X134" s="341"/>
      <c r="Y134" s="341"/>
      <c r="Z134" s="566"/>
      <c r="AA134" s="567"/>
      <c r="AB134" s="567"/>
      <c r="AC134" s="341"/>
      <c r="AD134" s="566"/>
      <c r="AE134" s="566"/>
      <c r="AF134" s="567"/>
      <c r="AG134" s="566"/>
      <c r="AH134" s="567"/>
      <c r="AI134" s="563"/>
      <c r="AJ134" s="563"/>
      <c r="BB134" s="19"/>
      <c r="BE134" s="562"/>
    </row>
    <row r="135" spans="1:57" ht="15.75" thickBot="1">
      <c r="A135" s="2074" t="s">
        <v>299</v>
      </c>
      <c r="B135" s="2073"/>
      <c r="C135" s="411" t="s">
        <v>360</v>
      </c>
      <c r="D135" s="411" t="s">
        <v>359</v>
      </c>
      <c r="E135" s="411" t="s">
        <v>90</v>
      </c>
      <c r="F135" s="411" t="s">
        <v>91</v>
      </c>
      <c r="G135" s="429" t="s">
        <v>365</v>
      </c>
      <c r="H135" s="398" t="s">
        <v>89</v>
      </c>
      <c r="I135" s="429" t="s">
        <v>93</v>
      </c>
      <c r="J135" s="398" t="s">
        <v>141</v>
      </c>
      <c r="K135" s="40"/>
      <c r="X135" s="341"/>
      <c r="Y135" s="341"/>
      <c r="Z135" s="566"/>
      <c r="AA135" s="567"/>
      <c r="AB135" s="567"/>
      <c r="AC135" s="341"/>
      <c r="AD135" s="566"/>
      <c r="AE135" s="566"/>
      <c r="AF135" s="567"/>
      <c r="AG135" s="566"/>
      <c r="AH135" s="567"/>
      <c r="AI135" s="563"/>
      <c r="AJ135" s="563"/>
      <c r="BB135" s="19"/>
      <c r="BE135" s="562"/>
    </row>
    <row r="136" spans="1:57">
      <c r="A136" s="2054" t="s">
        <v>258</v>
      </c>
      <c r="B136" s="2055"/>
      <c r="C136" s="430">
        <f>AVERAGEIFS(K2:K96,C2:C96,C135,Q2:Q96,A136)</f>
        <v>85.875</v>
      </c>
      <c r="D136" s="430">
        <f>AVERAGEIFS(K2:K96,C2:C96,D135,Q2:Q96,A136)</f>
        <v>98</v>
      </c>
      <c r="E136" s="430">
        <f>AVERAGEIFS(K2:K96,D2:D96,E135,Q2:Q96,A136)</f>
        <v>59.75</v>
      </c>
      <c r="F136" s="430">
        <f>AVERAGEIFS(K2:K96,D2:D96,F135,Q2:Q96,A136)</f>
        <v>107.04761904761905</v>
      </c>
      <c r="G136" s="431">
        <f>AVERAGEIFS(K2:K96,D2:D96,G135,Q2:Q96,A136)</f>
        <v>109.94375000000001</v>
      </c>
      <c r="H136" s="432">
        <f>AVERAGEIFS(K2:K96,D2:D96,H135,Q2:Q96,A136)</f>
        <v>131.79375000000002</v>
      </c>
      <c r="I136" s="537">
        <f>AVERAGEIFS(K2:K96,D2:D96,I135,Q2:Q96,A136)</f>
        <v>194.8</v>
      </c>
      <c r="J136" s="420"/>
      <c r="K136" s="40"/>
      <c r="X136" s="341"/>
      <c r="Y136" s="341"/>
      <c r="Z136" s="566"/>
      <c r="AA136" s="567"/>
      <c r="AB136" s="567"/>
      <c r="AC136" s="341"/>
      <c r="AD136" s="566"/>
      <c r="AE136" s="566"/>
      <c r="AF136" s="567"/>
      <c r="AG136" s="566"/>
      <c r="AH136" s="567"/>
      <c r="AI136" s="563"/>
      <c r="AJ136" s="563"/>
      <c r="BB136" s="19"/>
      <c r="BE136" s="562"/>
    </row>
    <row r="137" spans="1:57">
      <c r="A137" s="2056" t="s">
        <v>102</v>
      </c>
      <c r="B137" s="2069"/>
      <c r="C137" s="433" t="e">
        <f>AVERAGEIFS(K2:K96,C2:C96,C135,Q2:Q96,A137)</f>
        <v>#DIV/0!</v>
      </c>
      <c r="D137" s="433" t="e">
        <f>AVERAGEIFS(K2:K96,C2:C96,D135,Q2:Q96,A137)</f>
        <v>#DIV/0!</v>
      </c>
      <c r="E137" s="433" t="e">
        <f>AVERAGEIFS(K2:K96,D2:D96,E135,Q2:Q96,A137)</f>
        <v>#DIV/0!</v>
      </c>
      <c r="F137" s="433" t="e">
        <f>AVERAGEIFS(K2:K96,D2:D96,F135,Q2:Q96,A137)</f>
        <v>#DIV/0!</v>
      </c>
      <c r="G137" s="434" t="e">
        <f>AVERAGEIFS(K2:K96,D2:D96,G135,Q2:Q96,A137)</f>
        <v>#DIV/0!</v>
      </c>
      <c r="H137" s="435" t="e">
        <f>AVERAGEIFS(K2:K96,D2:D96,H135,Q2:Q96,A137)</f>
        <v>#DIV/0!</v>
      </c>
      <c r="I137" s="538" t="e">
        <f>AVERAGEIFS(K2:K96,D2:D96,I135,Q2:Q96,A137)</f>
        <v>#DIV/0!</v>
      </c>
      <c r="J137" s="422"/>
      <c r="K137" s="40"/>
      <c r="X137" s="341"/>
      <c r="Y137" s="341"/>
      <c r="Z137" s="566"/>
      <c r="AA137" s="567"/>
      <c r="AB137" s="567"/>
      <c r="AC137" s="341"/>
      <c r="AD137" s="566"/>
      <c r="AE137" s="566"/>
      <c r="AF137" s="567"/>
      <c r="AG137" s="566"/>
      <c r="AH137" s="567"/>
      <c r="AI137" s="563"/>
      <c r="AJ137" s="563"/>
      <c r="BB137" s="19"/>
      <c r="BE137" s="562"/>
    </row>
    <row r="138" spans="1:57" ht="15.75" thickBot="1">
      <c r="A138" s="2063" t="s">
        <v>138</v>
      </c>
      <c r="B138" s="2064"/>
      <c r="C138" s="436" t="e">
        <f>AVERAGEIFS(K2:K96,C2:C96,C135,Q2:Q96,"")</f>
        <v>#DIV/0!</v>
      </c>
      <c r="D138" s="436" t="e">
        <f>AVERAGEIFS(K2:K96,C2:C96,D135,Q2:Q96,"")</f>
        <v>#DIV/0!</v>
      </c>
      <c r="E138" s="436" t="e">
        <f>AVERAGEIFS(K2:K96,D2:D96,E135,Q2:Q96,"")</f>
        <v>#DIV/0!</v>
      </c>
      <c r="F138" s="436" t="e">
        <f>AVERAGEIFS(K2:K96,D2:D96,F135,Q2:Q96,"")</f>
        <v>#DIV/0!</v>
      </c>
      <c r="G138" s="437" t="e">
        <f>AVERAGEIFS(K2:K96,D2:D96,G135,Q2:Q96,"")</f>
        <v>#DIV/0!</v>
      </c>
      <c r="H138" s="438" t="e">
        <f>AVERAGEIFS(K2:K96,D2:D96,H135,Q2:Q96,"")</f>
        <v>#DIV/0!</v>
      </c>
      <c r="I138" s="539">
        <f>AVERAGEIFS(K2:K96,D2:D96,I135,Q2:Q96,"")</f>
        <v>170.6</v>
      </c>
      <c r="J138" s="428"/>
      <c r="K138" s="40"/>
      <c r="X138" s="341"/>
      <c r="Y138" s="341"/>
      <c r="Z138" s="566"/>
      <c r="AA138" s="567"/>
      <c r="AB138" s="567"/>
      <c r="AC138" s="341"/>
      <c r="AD138" s="566"/>
      <c r="AE138" s="566"/>
      <c r="AF138" s="567"/>
      <c r="AG138" s="566"/>
      <c r="AH138" s="567"/>
      <c r="AI138" s="563"/>
      <c r="AJ138" s="563"/>
      <c r="BB138" s="19"/>
      <c r="BE138" s="562"/>
    </row>
    <row r="139" spans="1:57" ht="15.75" thickBot="1">
      <c r="A139" s="2070" t="s">
        <v>210</v>
      </c>
      <c r="B139" s="2071"/>
      <c r="C139" s="439" t="e">
        <f>AVERAGEIFS(K2:K96,C2:C96,C135,Q2:Q96,A139)</f>
        <v>#DIV/0!</v>
      </c>
      <c r="D139" s="439" t="e">
        <f>AVERAGEIFS(K2:K96,C2:C96,D135,Q2:Q96,A139)</f>
        <v>#DIV/0!</v>
      </c>
      <c r="E139" s="439" t="e">
        <f>AVERAGEIFS(K2:K96,D2:D96,E135,Q2:Q96,A139)</f>
        <v>#DIV/0!</v>
      </c>
      <c r="F139" s="439" t="e">
        <f>AVERAGEIFS(K2:K96,D2:D96,F135,Q2:Q96,A139)</f>
        <v>#DIV/0!</v>
      </c>
      <c r="G139" s="440"/>
      <c r="H139" s="441">
        <f>AVERAGEIFS(K23:K97,D23:D97,H135,Q23:Q97,A139)</f>
        <v>117.2</v>
      </c>
      <c r="I139" s="540" t="e">
        <f>AVERAGEIFS(K23:K97,D23:D97,I135,Q23:Q97,A139)</f>
        <v>#DIV/0!</v>
      </c>
      <c r="J139" s="453"/>
      <c r="K139" s="40"/>
      <c r="X139" s="341"/>
      <c r="Y139" s="341"/>
      <c r="Z139" s="566"/>
      <c r="AA139" s="567"/>
      <c r="AB139" s="567"/>
      <c r="AC139" s="341"/>
      <c r="AD139" s="566"/>
      <c r="AE139" s="566"/>
      <c r="AF139" s="567"/>
      <c r="AG139" s="566"/>
      <c r="AH139" s="567"/>
      <c r="AI139" s="563"/>
      <c r="AJ139" s="563"/>
      <c r="BB139" s="19"/>
      <c r="BE139" s="562"/>
    </row>
    <row r="140" spans="1:57" ht="15.75" thickBot="1">
      <c r="A140" s="2065" t="s">
        <v>141</v>
      </c>
      <c r="B140" s="2066"/>
      <c r="C140" s="442">
        <f>AVERAGEIFS(K2:K96,C2:C96,C135)</f>
        <v>85.875</v>
      </c>
      <c r="D140" s="442">
        <f>AVERAGEIFS(K2:K96,C2:C96,D135)</f>
        <v>98</v>
      </c>
      <c r="E140" s="443">
        <f>AVERAGEIFS(K2:K96,D2:D96,E135)</f>
        <v>59.75</v>
      </c>
      <c r="F140" s="443">
        <f>AVERAGEIFS(K2:K96,D2:D96,F135)</f>
        <v>107.04761904761905</v>
      </c>
      <c r="G140" s="444">
        <f>AVERAGEIFS(K2:K96,D2:D96,G135)</f>
        <v>109.94375000000001</v>
      </c>
      <c r="H140" s="444">
        <f>AVERAGEIFS(K2:K96,D2:D96,H135)</f>
        <v>130.93529411764706</v>
      </c>
      <c r="I140" s="365">
        <f>AVERAGEIFS(K2:K96,D2:D96,I135)</f>
        <v>182.7</v>
      </c>
      <c r="J140" s="31"/>
      <c r="K140" s="40"/>
      <c r="X140" s="341"/>
      <c r="Y140" s="341"/>
      <c r="Z140" s="566"/>
      <c r="AA140" s="567"/>
      <c r="AB140" s="567"/>
      <c r="AC140" s="341"/>
      <c r="AD140" s="566"/>
      <c r="AE140" s="566"/>
      <c r="AF140" s="567"/>
      <c r="AG140" s="566"/>
      <c r="AH140" s="567"/>
      <c r="AI140" s="563"/>
      <c r="AJ140" s="563"/>
      <c r="BB140" s="19"/>
      <c r="BE140" s="562"/>
    </row>
    <row r="145" spans="20:22">
      <c r="T145" s="562">
        <f>SUM(R6:R14)</f>
        <v>1660882.67</v>
      </c>
    </row>
    <row r="150" spans="20:22">
      <c r="V150" s="562"/>
    </row>
    <row r="151" spans="20:22">
      <c r="V151" s="562"/>
    </row>
    <row r="153" spans="20:22">
      <c r="V153" s="562"/>
    </row>
    <row r="165" spans="25:25">
      <c r="Y165" s="1787"/>
    </row>
  </sheetData>
  <autoFilter ref="A1:BE104" xr:uid="{1D3B39E9-B90F-4875-8051-10252DB1A609}"/>
  <mergeCells count="44">
    <mergeCell ref="O19:P19"/>
    <mergeCell ref="A97:F97"/>
    <mergeCell ref="A101:B101"/>
    <mergeCell ref="A102:B102"/>
    <mergeCell ref="A103:B103"/>
    <mergeCell ref="G100:H100"/>
    <mergeCell ref="A99:E99"/>
    <mergeCell ref="A140:B140"/>
    <mergeCell ref="A127:B127"/>
    <mergeCell ref="A129:B129"/>
    <mergeCell ref="A130:B130"/>
    <mergeCell ref="A131:B131"/>
    <mergeCell ref="A132:B132"/>
    <mergeCell ref="A133:B133"/>
    <mergeCell ref="A135:B135"/>
    <mergeCell ref="A136:B136"/>
    <mergeCell ref="A126:B126"/>
    <mergeCell ref="A104:B104"/>
    <mergeCell ref="A137:B137"/>
    <mergeCell ref="A138:B138"/>
    <mergeCell ref="A139:B139"/>
    <mergeCell ref="A113:B113"/>
    <mergeCell ref="A107:E107"/>
    <mergeCell ref="A119:B119"/>
    <mergeCell ref="A105:B105"/>
    <mergeCell ref="A115:B115"/>
    <mergeCell ref="A116:B116"/>
    <mergeCell ref="A117:B117"/>
    <mergeCell ref="A109:B109"/>
    <mergeCell ref="A110:B110"/>
    <mergeCell ref="A111:B111"/>
    <mergeCell ref="A112:B112"/>
    <mergeCell ref="A123:B123"/>
    <mergeCell ref="A124:B124"/>
    <mergeCell ref="A125:B125"/>
    <mergeCell ref="L100:W100"/>
    <mergeCell ref="M102:O102"/>
    <mergeCell ref="L112:O112"/>
    <mergeCell ref="Q112:T112"/>
    <mergeCell ref="L103:W103"/>
    <mergeCell ref="F112:G112"/>
    <mergeCell ref="A118:B118"/>
    <mergeCell ref="A120:B120"/>
    <mergeCell ref="L106:W106"/>
  </mergeCells>
  <phoneticPr fontId="11" type="noConversion"/>
  <conditionalFormatting sqref="A99:I111 A112:F112 A113:I114 A115:J140">
    <cfRule type="cellIs" dxfId="7" priority="5" operator="equal">
      <formula>0</formula>
    </cfRule>
    <cfRule type="containsErrors" dxfId="6" priority="6">
      <formula>ISERROR(A99)</formula>
    </cfRule>
  </conditionalFormatting>
  <conditionalFormatting sqref="AA1:AA38 AA40:AA1048576">
    <cfRule type="cellIs" dxfId="5" priority="1" operator="lessThan">
      <formula>TODAY()-15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5C91-F90A-4C88-9073-03AD7794D9E8}">
  <sheetPr filterMode="1">
    <tabColor theme="9" tint="0.39997558519241921"/>
  </sheetPr>
  <dimension ref="A1:CA90"/>
  <sheetViews>
    <sheetView zoomScale="115" zoomScaleNormal="115" workbookViewId="0">
      <pane xSplit="3" topLeftCell="D1" activePane="topRight" state="frozen"/>
      <selection activeCell="A14" sqref="A14"/>
      <selection pane="topRight" activeCell="I72" sqref="I72"/>
    </sheetView>
  </sheetViews>
  <sheetFormatPr defaultColWidth="10.5703125" defaultRowHeight="12.75"/>
  <cols>
    <col min="1" max="1" width="8.85546875" style="188" bestFit="1" customWidth="1"/>
    <col min="2" max="2" width="11.85546875" style="188" bestFit="1" customWidth="1"/>
    <col min="3" max="3" width="10.85546875" style="188" customWidth="1"/>
    <col min="4" max="4" width="11.28515625" style="188" customWidth="1"/>
    <col min="5" max="5" width="9.7109375" style="188" customWidth="1"/>
    <col min="6" max="6" width="13.28515625" style="188" customWidth="1"/>
    <col min="7" max="7" width="15.28515625" style="647" customWidth="1"/>
    <col min="8" max="8" width="8.28515625" style="188" customWidth="1"/>
    <col min="9" max="9" width="6.5703125" style="188" customWidth="1"/>
    <col min="10" max="10" width="16.140625" style="188" customWidth="1"/>
    <col min="11" max="11" width="9" style="188" customWidth="1"/>
    <col min="12" max="12" width="11.5703125" style="188" customWidth="1"/>
    <col min="13" max="13" width="10" style="188" customWidth="1"/>
    <col min="14" max="14" width="15.28515625" style="195" customWidth="1"/>
    <col min="15" max="20" width="15.28515625" style="195" hidden="1" customWidth="1"/>
    <col min="21" max="21" width="12.7109375" style="188" hidden="1" customWidth="1"/>
    <col min="22" max="22" width="11" style="188" hidden="1" customWidth="1"/>
    <col min="23" max="23" width="18.7109375" style="188" bestFit="1" customWidth="1"/>
    <col min="24" max="24" width="14" style="188" customWidth="1"/>
    <col min="25" max="26" width="14" style="195" customWidth="1"/>
    <col min="27" max="27" width="12.5703125" style="283" customWidth="1"/>
    <col min="28" max="28" width="12.5703125" style="315" customWidth="1"/>
    <col min="29" max="29" width="12.5703125" style="195" customWidth="1"/>
    <col min="30" max="30" width="13.28515625" style="195" customWidth="1"/>
    <col min="31" max="31" width="12.5703125" style="315" customWidth="1"/>
    <col min="32" max="32" width="10.28515625" style="283" customWidth="1"/>
    <col min="33" max="33" width="12.5703125" style="315" customWidth="1"/>
    <col min="34" max="34" width="12.28515625" style="195" customWidth="1"/>
    <col min="35" max="35" width="13.42578125" style="188" customWidth="1"/>
    <col min="36" max="38" width="16.7109375" style="188" customWidth="1"/>
    <col min="39" max="39" width="10.140625" style="188" customWidth="1"/>
    <col min="40" max="40" width="66" style="188" customWidth="1"/>
    <col min="41" max="41" width="13.85546875" style="188" bestFit="1" customWidth="1"/>
    <col min="42" max="46" width="13.85546875" style="188" customWidth="1"/>
    <col min="47" max="47" width="18" style="188" bestFit="1" customWidth="1"/>
    <col min="48" max="48" width="20.28515625" style="188" bestFit="1" customWidth="1"/>
    <col min="49" max="49" width="20.42578125" style="188" bestFit="1" customWidth="1"/>
    <col min="50" max="16384" width="10.5703125" style="188"/>
  </cols>
  <sheetData>
    <row r="1" spans="1:52" ht="23.25" customHeight="1">
      <c r="A1" s="6" t="s">
        <v>23</v>
      </c>
      <c r="B1" s="6" t="s">
        <v>5</v>
      </c>
      <c r="C1" s="20" t="s">
        <v>1</v>
      </c>
      <c r="D1" s="1642" t="s">
        <v>0</v>
      </c>
      <c r="E1" s="20" t="s">
        <v>3</v>
      </c>
      <c r="F1" s="20" t="s">
        <v>6</v>
      </c>
      <c r="G1" s="1146" t="s">
        <v>2</v>
      </c>
      <c r="H1" s="20" t="s">
        <v>212</v>
      </c>
      <c r="I1" s="20" t="s">
        <v>285</v>
      </c>
      <c r="J1" s="20" t="s">
        <v>11</v>
      </c>
      <c r="K1" s="20" t="s">
        <v>17169</v>
      </c>
      <c r="L1" s="20" t="s">
        <v>17365</v>
      </c>
      <c r="M1" s="20" t="s">
        <v>12</v>
      </c>
      <c r="N1" s="577" t="s">
        <v>221</v>
      </c>
      <c r="O1" s="1578" t="s">
        <v>17766</v>
      </c>
      <c r="P1" s="1579" t="s">
        <v>17767</v>
      </c>
      <c r="Q1" s="1582" t="s">
        <v>17768</v>
      </c>
      <c r="R1" s="1582" t="s">
        <v>17769</v>
      </c>
      <c r="S1" s="1580" t="s">
        <v>17770</v>
      </c>
      <c r="T1" s="1581" t="s">
        <v>17771</v>
      </c>
      <c r="U1" s="1578" t="s">
        <v>17895</v>
      </c>
      <c r="V1" s="1579" t="s">
        <v>17894</v>
      </c>
      <c r="W1" s="20" t="s">
        <v>18023</v>
      </c>
      <c r="X1" s="349" t="s">
        <v>18022</v>
      </c>
      <c r="Y1" s="20" t="s">
        <v>16</v>
      </c>
      <c r="Z1" s="20" t="s">
        <v>227</v>
      </c>
      <c r="AA1" s="349" t="s">
        <v>551</v>
      </c>
      <c r="AB1" s="349" t="s">
        <v>228</v>
      </c>
      <c r="AC1" s="350" t="s">
        <v>301</v>
      </c>
      <c r="AD1" s="350" t="s">
        <v>4</v>
      </c>
      <c r="AE1" s="349" t="s">
        <v>545</v>
      </c>
      <c r="AF1" s="349" t="s">
        <v>546</v>
      </c>
      <c r="AG1" s="350" t="s">
        <v>553</v>
      </c>
      <c r="AH1" s="351" t="s">
        <v>547</v>
      </c>
      <c r="AI1" s="350" t="s">
        <v>554</v>
      </c>
      <c r="AJ1" s="349" t="s">
        <v>548</v>
      </c>
      <c r="AK1" s="20" t="s">
        <v>8</v>
      </c>
      <c r="AL1" s="20" t="s">
        <v>255</v>
      </c>
      <c r="AM1" s="20" t="s">
        <v>18</v>
      </c>
      <c r="AN1" s="20" t="s">
        <v>542</v>
      </c>
      <c r="AO1" s="20" t="s">
        <v>543</v>
      </c>
      <c r="AP1" s="20" t="s">
        <v>19</v>
      </c>
      <c r="AQ1" s="20" t="s">
        <v>261</v>
      </c>
      <c r="AR1" s="20" t="s">
        <v>17891</v>
      </c>
      <c r="AS1" s="20" t="s">
        <v>17892</v>
      </c>
      <c r="AT1" s="20" t="s">
        <v>17893</v>
      </c>
      <c r="AU1" s="20" t="s">
        <v>17599</v>
      </c>
      <c r="AV1" s="20" t="s">
        <v>17600</v>
      </c>
      <c r="AW1" s="20" t="s">
        <v>262</v>
      </c>
      <c r="AX1" s="20" t="s">
        <v>263</v>
      </c>
      <c r="AY1" s="20" t="s">
        <v>20</v>
      </c>
      <c r="AZ1" s="20" t="s">
        <v>21</v>
      </c>
    </row>
    <row r="2" spans="1:52" s="334" customFormat="1" ht="13.5" hidden="1" customHeight="1">
      <c r="A2" s="126">
        <v>1</v>
      </c>
      <c r="B2" s="50" t="s">
        <v>24</v>
      </c>
      <c r="C2" s="545" t="s">
        <v>91</v>
      </c>
      <c r="D2" s="546">
        <v>0</v>
      </c>
      <c r="E2" s="546"/>
      <c r="F2" s="545">
        <v>79</v>
      </c>
      <c r="G2" s="548">
        <v>12</v>
      </c>
      <c r="H2" s="548"/>
      <c r="I2" s="548"/>
      <c r="J2" s="272">
        <f>F2+0.5*G2+0.3*H2</f>
        <v>85</v>
      </c>
      <c r="K2" s="642">
        <v>1</v>
      </c>
      <c r="L2" s="642">
        <v>-2</v>
      </c>
      <c r="M2" s="126" t="s">
        <v>258</v>
      </c>
      <c r="N2" s="273">
        <v>265000</v>
      </c>
      <c r="O2" s="273">
        <f>0.96*P2</f>
        <v>244800</v>
      </c>
      <c r="P2" s="273">
        <v>255000</v>
      </c>
      <c r="Q2" s="273">
        <v>255000</v>
      </c>
      <c r="R2" s="273">
        <v>265000</v>
      </c>
      <c r="S2" s="273">
        <v>255000</v>
      </c>
      <c r="T2" s="273">
        <v>265000</v>
      </c>
      <c r="U2" s="273">
        <f>0.96*V2</f>
        <v>264000</v>
      </c>
      <c r="V2" s="273">
        <v>275000</v>
      </c>
      <c r="W2" s="273">
        <f>0.96*X2</f>
        <v>264000</v>
      </c>
      <c r="X2" s="273">
        <v>275000</v>
      </c>
      <c r="Y2" s="274">
        <f t="shared" ref="Y2:Y40" si="0">1-(N2/X2)</f>
        <v>3.6363636363636376E-2</v>
      </c>
      <c r="Z2" s="275">
        <f t="shared" ref="Z2:Z40" si="1">N2/J2</f>
        <v>3117.6470588235293</v>
      </c>
      <c r="AA2" s="276">
        <f t="shared" ref="AA2:AA39" si="2">W2/J2</f>
        <v>3105.8823529411766</v>
      </c>
      <c r="AB2" s="276">
        <f t="shared" ref="AB2:AB39" si="3">X2/J2</f>
        <v>3235.294117647059</v>
      </c>
      <c r="AC2" s="128">
        <v>45715</v>
      </c>
      <c r="AD2" s="103">
        <v>45748</v>
      </c>
      <c r="AE2" s="575">
        <v>53000</v>
      </c>
      <c r="AF2" s="575"/>
      <c r="AG2" s="103"/>
      <c r="AH2" s="313"/>
      <c r="AI2" s="103"/>
      <c r="AJ2" s="575">
        <v>212000</v>
      </c>
      <c r="AK2" s="126" t="s">
        <v>17320</v>
      </c>
      <c r="AL2" s="126"/>
      <c r="AM2" s="126"/>
      <c r="AN2" s="126"/>
      <c r="AO2" s="126"/>
      <c r="AP2" s="132" t="s">
        <v>17903</v>
      </c>
      <c r="AQ2" s="132" t="s">
        <v>265</v>
      </c>
      <c r="AR2" s="132"/>
      <c r="AS2" s="132"/>
      <c r="AT2" s="132"/>
      <c r="AU2" s="132"/>
      <c r="AV2" s="132"/>
      <c r="AW2" s="132"/>
      <c r="AX2" s="132"/>
      <c r="AY2" s="276"/>
      <c r="AZ2" s="276"/>
    </row>
    <row r="3" spans="1:52" s="334" customFormat="1" ht="14.45" hidden="1" customHeight="1">
      <c r="A3" s="126">
        <v>2</v>
      </c>
      <c r="B3" s="50" t="s">
        <v>25</v>
      </c>
      <c r="C3" s="545" t="s">
        <v>89</v>
      </c>
      <c r="D3" s="546">
        <v>0</v>
      </c>
      <c r="E3" s="546"/>
      <c r="F3" s="545">
        <v>125</v>
      </c>
      <c r="G3" s="548">
        <v>39.869999999999997</v>
      </c>
      <c r="H3" s="548"/>
      <c r="I3" s="548"/>
      <c r="J3" s="272">
        <f t="shared" ref="J3:J40" si="4">F3+0.5*G3+0.3*H3</f>
        <v>144.935</v>
      </c>
      <c r="K3" s="642">
        <v>2</v>
      </c>
      <c r="L3" s="642">
        <v>-2</v>
      </c>
      <c r="M3" s="126" t="s">
        <v>258</v>
      </c>
      <c r="N3" s="276">
        <v>309120</v>
      </c>
      <c r="O3" s="273">
        <f>0.96*P3</f>
        <v>338880</v>
      </c>
      <c r="P3" s="273">
        <v>353000</v>
      </c>
      <c r="Q3" s="273">
        <v>310000</v>
      </c>
      <c r="R3" s="273">
        <v>322000</v>
      </c>
      <c r="S3" s="273">
        <v>310000</v>
      </c>
      <c r="T3" s="273">
        <v>322000</v>
      </c>
      <c r="U3" s="273">
        <v>310000</v>
      </c>
      <c r="V3" s="273">
        <v>322000</v>
      </c>
      <c r="W3" s="273">
        <v>310000</v>
      </c>
      <c r="X3" s="273">
        <v>322000</v>
      </c>
      <c r="Y3" s="274">
        <f t="shared" si="0"/>
        <v>4.0000000000000036E-2</v>
      </c>
      <c r="Z3" s="275">
        <f t="shared" si="1"/>
        <v>2132.818159864767</v>
      </c>
      <c r="AA3" s="276">
        <f t="shared" si="2"/>
        <v>2138.8898471728708</v>
      </c>
      <c r="AB3" s="276">
        <f t="shared" si="3"/>
        <v>2221.6855831924654</v>
      </c>
      <c r="AC3" s="128">
        <v>45699</v>
      </c>
      <c r="AD3" s="103">
        <v>45758</v>
      </c>
      <c r="AE3" s="575">
        <f>10000+51824</f>
        <v>61824</v>
      </c>
      <c r="AF3" s="575"/>
      <c r="AG3" s="103"/>
      <c r="AH3" s="313"/>
      <c r="AI3" s="103"/>
      <c r="AJ3" s="575">
        <f>80%*N3</f>
        <v>247296</v>
      </c>
      <c r="AK3" s="126" t="s">
        <v>17647</v>
      </c>
      <c r="AL3" s="126"/>
      <c r="AM3" s="126"/>
      <c r="AN3" s="126"/>
      <c r="AO3" s="126"/>
      <c r="AP3" s="132" t="s">
        <v>17863</v>
      </c>
      <c r="AQ3" s="132" t="s">
        <v>565</v>
      </c>
      <c r="AR3" s="132"/>
      <c r="AS3" s="132"/>
      <c r="AT3" s="132"/>
      <c r="AU3" s="132"/>
      <c r="AV3" s="132"/>
      <c r="AW3" s="132"/>
      <c r="AX3" s="132"/>
      <c r="AY3" s="276"/>
      <c r="AZ3" s="276"/>
    </row>
    <row r="4" spans="1:52" s="334" customFormat="1" ht="12" hidden="1" customHeight="1">
      <c r="A4" s="126">
        <v>3</v>
      </c>
      <c r="B4" s="8" t="s">
        <v>26</v>
      </c>
      <c r="C4" s="545" t="s">
        <v>89</v>
      </c>
      <c r="D4" s="546">
        <v>0</v>
      </c>
      <c r="E4" s="546"/>
      <c r="F4" s="545">
        <v>111</v>
      </c>
      <c r="G4" s="548">
        <v>16</v>
      </c>
      <c r="H4" s="548"/>
      <c r="I4" s="548"/>
      <c r="J4" s="272">
        <f t="shared" si="4"/>
        <v>119</v>
      </c>
      <c r="K4" s="642">
        <v>1</v>
      </c>
      <c r="L4" s="642">
        <v>-1</v>
      </c>
      <c r="M4" s="126" t="s">
        <v>258</v>
      </c>
      <c r="N4" s="276">
        <v>319000</v>
      </c>
      <c r="O4" s="273">
        <f>0.96*P4</f>
        <v>309120</v>
      </c>
      <c r="P4" s="273">
        <v>322000</v>
      </c>
      <c r="Q4" s="273">
        <v>295000</v>
      </c>
      <c r="R4" s="273">
        <v>307000</v>
      </c>
      <c r="S4" s="273">
        <f>0.96*T4</f>
        <v>306240</v>
      </c>
      <c r="T4" s="1507">
        <v>319000</v>
      </c>
      <c r="U4" s="273">
        <f>0.96*V4</f>
        <v>306240</v>
      </c>
      <c r="V4" s="1507">
        <v>319000</v>
      </c>
      <c r="W4" s="273">
        <f>0.96*X4</f>
        <v>306240</v>
      </c>
      <c r="X4" s="1507">
        <v>319000</v>
      </c>
      <c r="Y4" s="274">
        <f t="shared" si="0"/>
        <v>0</v>
      </c>
      <c r="Z4" s="275">
        <f t="shared" si="1"/>
        <v>2680.6722689075632</v>
      </c>
      <c r="AA4" s="276">
        <f>W4/J4</f>
        <v>2573.4453781512607</v>
      </c>
      <c r="AB4" s="276">
        <f>X4/J4</f>
        <v>2680.6722689075632</v>
      </c>
      <c r="AC4" s="128">
        <v>45824</v>
      </c>
      <c r="AD4" s="103">
        <v>45839</v>
      </c>
      <c r="AE4" s="575">
        <f>20%*N4</f>
        <v>63800</v>
      </c>
      <c r="AF4" s="575"/>
      <c r="AG4" s="103"/>
      <c r="AH4" s="313"/>
      <c r="AI4" s="103"/>
      <c r="AJ4" s="575">
        <f>80%*N4</f>
        <v>255200</v>
      </c>
      <c r="AK4" s="126" t="s">
        <v>17320</v>
      </c>
      <c r="AL4" s="126"/>
      <c r="AM4" s="126"/>
      <c r="AN4" s="126"/>
      <c r="AO4" s="126"/>
      <c r="AP4" s="132" t="s">
        <v>18032</v>
      </c>
      <c r="AQ4" s="132" t="s">
        <v>565</v>
      </c>
      <c r="AR4" s="132"/>
      <c r="AS4" s="132"/>
      <c r="AT4" s="132"/>
      <c r="AU4" s="132"/>
      <c r="AV4" s="132"/>
      <c r="AW4" s="132"/>
      <c r="AX4" s="132"/>
      <c r="AY4" s="276"/>
      <c r="AZ4" s="276"/>
    </row>
    <row r="5" spans="1:52" s="334" customFormat="1" ht="13.5" customHeight="1">
      <c r="A5" s="126">
        <v>4</v>
      </c>
      <c r="B5" s="8" t="s">
        <v>27</v>
      </c>
      <c r="C5" s="545" t="s">
        <v>91</v>
      </c>
      <c r="D5" s="546">
        <v>0</v>
      </c>
      <c r="E5" s="546"/>
      <c r="F5" s="545">
        <v>74</v>
      </c>
      <c r="G5" s="548">
        <v>11.45</v>
      </c>
      <c r="H5" s="548"/>
      <c r="I5" s="548"/>
      <c r="J5" s="272">
        <f t="shared" si="4"/>
        <v>79.724999999999994</v>
      </c>
      <c r="K5" s="642">
        <v>1</v>
      </c>
      <c r="L5" s="642">
        <v>-2</v>
      </c>
      <c r="M5" s="126" t="s">
        <v>258</v>
      </c>
      <c r="N5" s="273">
        <v>264000</v>
      </c>
      <c r="O5" s="273">
        <f t="shared" ref="O5:O10" si="5">0.96*P5</f>
        <v>229440</v>
      </c>
      <c r="P5" s="273">
        <v>239000</v>
      </c>
      <c r="Q5" s="273">
        <v>245000</v>
      </c>
      <c r="R5" s="273">
        <v>255000</v>
      </c>
      <c r="S5" s="273">
        <v>245000</v>
      </c>
      <c r="T5" s="273">
        <v>255000</v>
      </c>
      <c r="U5" s="273">
        <f>0.96*V5</f>
        <v>254400</v>
      </c>
      <c r="V5" s="273">
        <v>265000</v>
      </c>
      <c r="W5" s="273">
        <f>0.96*X5</f>
        <v>264000</v>
      </c>
      <c r="X5" s="273">
        <v>275000</v>
      </c>
      <c r="Y5" s="274">
        <f t="shared" si="0"/>
        <v>4.0000000000000036E-2</v>
      </c>
      <c r="Z5" s="275">
        <f t="shared" si="1"/>
        <v>3311.3828786453437</v>
      </c>
      <c r="AA5" s="276">
        <f>W5/J5</f>
        <v>3311.3828786453437</v>
      </c>
      <c r="AB5" s="276">
        <f t="shared" si="3"/>
        <v>3449.3571652555661</v>
      </c>
      <c r="AC5" s="128"/>
      <c r="AD5" s="103">
        <v>45972</v>
      </c>
      <c r="AE5" s="575">
        <v>52800</v>
      </c>
      <c r="AF5" s="575"/>
      <c r="AG5" s="103"/>
      <c r="AH5" s="313"/>
      <c r="AI5" s="103"/>
      <c r="AJ5" s="575">
        <v>211200</v>
      </c>
      <c r="AK5" s="126" t="s">
        <v>17320</v>
      </c>
      <c r="AL5" s="126"/>
      <c r="AM5" s="126"/>
      <c r="AN5" s="126"/>
      <c r="AO5" s="126"/>
      <c r="AP5" s="132" t="s">
        <v>18387</v>
      </c>
      <c r="AQ5" s="132" t="s">
        <v>265</v>
      </c>
      <c r="AR5" s="132"/>
      <c r="AS5" s="132"/>
      <c r="AT5" s="132"/>
      <c r="AU5" s="132"/>
      <c r="AV5" s="132"/>
      <c r="AW5" s="132"/>
      <c r="AX5" s="132"/>
      <c r="AY5" s="276"/>
      <c r="AZ5" s="276"/>
    </row>
    <row r="6" spans="1:52" s="334" customFormat="1" ht="13.5" hidden="1" customHeight="1">
      <c r="A6" s="126">
        <v>5</v>
      </c>
      <c r="B6" s="8" t="s">
        <v>28</v>
      </c>
      <c r="C6" s="545" t="s">
        <v>91</v>
      </c>
      <c r="D6" s="546">
        <v>0</v>
      </c>
      <c r="E6" s="546"/>
      <c r="F6" s="545">
        <v>74</v>
      </c>
      <c r="G6" s="548">
        <v>11</v>
      </c>
      <c r="H6" s="548"/>
      <c r="I6" s="548"/>
      <c r="J6" s="272">
        <f t="shared" si="4"/>
        <v>79.5</v>
      </c>
      <c r="K6" s="642">
        <v>1</v>
      </c>
      <c r="L6" s="642">
        <v>-2</v>
      </c>
      <c r="M6" s="126" t="s">
        <v>258</v>
      </c>
      <c r="N6" s="273">
        <v>256000</v>
      </c>
      <c r="O6" s="1575">
        <f t="shared" si="5"/>
        <v>239040</v>
      </c>
      <c r="P6" s="1575">
        <v>249000</v>
      </c>
      <c r="Q6" s="1573">
        <v>250000</v>
      </c>
      <c r="R6" s="1573">
        <v>260000</v>
      </c>
      <c r="S6" s="1576">
        <v>250000</v>
      </c>
      <c r="T6" s="1576">
        <f>S6*1.04</f>
        <v>260000</v>
      </c>
      <c r="U6" s="273">
        <v>250000</v>
      </c>
      <c r="V6" s="273">
        <f>U6*1.04</f>
        <v>260000</v>
      </c>
      <c r="W6" s="273">
        <v>250000</v>
      </c>
      <c r="X6" s="273">
        <f>W6*1.04</f>
        <v>260000</v>
      </c>
      <c r="Y6" s="274">
        <f t="shared" si="0"/>
        <v>1.538461538461533E-2</v>
      </c>
      <c r="Z6" s="275">
        <f t="shared" si="1"/>
        <v>3220.1257861635222</v>
      </c>
      <c r="AA6" s="276">
        <f t="shared" si="2"/>
        <v>3144.6540880503144</v>
      </c>
      <c r="AB6" s="276">
        <f t="shared" si="3"/>
        <v>3270.4402515723273</v>
      </c>
      <c r="AC6" s="128">
        <v>45701</v>
      </c>
      <c r="AD6" s="103">
        <v>45716</v>
      </c>
      <c r="AE6" s="575">
        <v>51200</v>
      </c>
      <c r="AF6" s="575"/>
      <c r="AG6" s="103"/>
      <c r="AH6" s="313"/>
      <c r="AI6" s="103"/>
      <c r="AJ6" s="575">
        <v>204800</v>
      </c>
      <c r="AK6" s="126" t="s">
        <v>17320</v>
      </c>
      <c r="AL6" s="126"/>
      <c r="AM6" s="126"/>
      <c r="AN6" s="126"/>
      <c r="AO6" s="126"/>
      <c r="AP6" s="132" t="s">
        <v>17864</v>
      </c>
      <c r="AQ6" s="132" t="s">
        <v>17693</v>
      </c>
      <c r="AR6" s="132"/>
      <c r="AS6" s="132"/>
      <c r="AT6" s="132"/>
      <c r="AU6" s="132"/>
      <c r="AV6" s="132"/>
      <c r="AW6" s="132"/>
      <c r="AX6" s="132"/>
      <c r="AY6" s="276"/>
      <c r="AZ6" s="276"/>
    </row>
    <row r="7" spans="1:52" s="334" customFormat="1" ht="13.5" hidden="1" customHeight="1">
      <c r="A7" s="126">
        <v>6</v>
      </c>
      <c r="B7" s="8" t="s">
        <v>29</v>
      </c>
      <c r="C7" s="545" t="s">
        <v>91</v>
      </c>
      <c r="D7" s="546">
        <v>1</v>
      </c>
      <c r="E7" s="546"/>
      <c r="F7" s="545">
        <v>79</v>
      </c>
      <c r="G7" s="548">
        <v>12</v>
      </c>
      <c r="H7" s="548"/>
      <c r="I7" s="548"/>
      <c r="J7" s="272">
        <f t="shared" si="4"/>
        <v>85</v>
      </c>
      <c r="K7" s="642">
        <v>1</v>
      </c>
      <c r="L7" s="642">
        <v>-2</v>
      </c>
      <c r="M7" s="126" t="s">
        <v>258</v>
      </c>
      <c r="N7" s="273">
        <v>264960</v>
      </c>
      <c r="O7" s="1575">
        <f t="shared" si="5"/>
        <v>249600</v>
      </c>
      <c r="P7" s="1575">
        <v>260000</v>
      </c>
      <c r="Q7" s="1573">
        <v>265000</v>
      </c>
      <c r="R7" s="1573">
        <v>276000</v>
      </c>
      <c r="S7" s="1576">
        <v>265000</v>
      </c>
      <c r="T7" s="1576">
        <v>276000</v>
      </c>
      <c r="U7" s="273">
        <v>265000</v>
      </c>
      <c r="V7" s="273">
        <v>276000</v>
      </c>
      <c r="W7" s="273">
        <v>265000</v>
      </c>
      <c r="X7" s="273">
        <v>276000</v>
      </c>
      <c r="Y7" s="274">
        <f t="shared" si="0"/>
        <v>4.0000000000000036E-2</v>
      </c>
      <c r="Z7" s="275">
        <f t="shared" si="1"/>
        <v>3117.1764705882351</v>
      </c>
      <c r="AA7" s="276">
        <f t="shared" si="2"/>
        <v>3117.6470588235293</v>
      </c>
      <c r="AB7" s="276">
        <f t="shared" si="3"/>
        <v>3247.0588235294117</v>
      </c>
      <c r="AC7" s="128"/>
      <c r="AD7" s="128">
        <v>45531</v>
      </c>
      <c r="AE7" s="276">
        <v>52992</v>
      </c>
      <c r="AF7" s="276"/>
      <c r="AG7" s="128"/>
      <c r="AH7" s="275"/>
      <c r="AI7" s="128"/>
      <c r="AJ7" s="276">
        <v>211968</v>
      </c>
      <c r="AK7" s="126" t="s">
        <v>17320</v>
      </c>
      <c r="AL7" s="126"/>
      <c r="AM7" s="126"/>
      <c r="AN7" s="126"/>
      <c r="AO7" s="126"/>
      <c r="AP7" s="126" t="s">
        <v>17500</v>
      </c>
      <c r="AQ7" s="126" t="s">
        <v>265</v>
      </c>
      <c r="AR7" s="126"/>
      <c r="AS7" s="126"/>
      <c r="AT7" s="126"/>
      <c r="AU7" s="126"/>
      <c r="AV7" s="126"/>
      <c r="AW7" s="126"/>
      <c r="AX7" s="126"/>
      <c r="AY7" s="276"/>
      <c r="AZ7" s="276"/>
    </row>
    <row r="8" spans="1:52" s="334" customFormat="1" ht="12" hidden="1" customHeight="1">
      <c r="A8" s="126">
        <v>7</v>
      </c>
      <c r="B8" s="8" t="s">
        <v>30</v>
      </c>
      <c r="C8" s="545" t="s">
        <v>89</v>
      </c>
      <c r="D8" s="546">
        <v>1</v>
      </c>
      <c r="E8" s="546"/>
      <c r="F8" s="545">
        <v>125</v>
      </c>
      <c r="G8" s="549">
        <v>40</v>
      </c>
      <c r="H8" s="548"/>
      <c r="I8" s="548"/>
      <c r="J8" s="272">
        <f t="shared" si="4"/>
        <v>145</v>
      </c>
      <c r="K8" s="642">
        <v>2</v>
      </c>
      <c r="L8" s="642">
        <v>-2</v>
      </c>
      <c r="M8" s="126" t="s">
        <v>258</v>
      </c>
      <c r="N8" s="273">
        <v>329280</v>
      </c>
      <c r="O8" s="1575">
        <f t="shared" si="5"/>
        <v>354240</v>
      </c>
      <c r="P8" s="1575">
        <v>369000</v>
      </c>
      <c r="Q8" s="1573">
        <v>330000</v>
      </c>
      <c r="R8" s="1573">
        <v>343000</v>
      </c>
      <c r="S8" s="1576">
        <v>330000</v>
      </c>
      <c r="T8" s="1576">
        <v>343000</v>
      </c>
      <c r="U8" s="273">
        <v>330000</v>
      </c>
      <c r="V8" s="273">
        <v>343000</v>
      </c>
      <c r="W8" s="273">
        <v>330000</v>
      </c>
      <c r="X8" s="273">
        <v>343000</v>
      </c>
      <c r="Y8" s="274">
        <f t="shared" si="0"/>
        <v>4.0000000000000036E-2</v>
      </c>
      <c r="Z8" s="275">
        <f t="shared" si="1"/>
        <v>2270.8965517241381</v>
      </c>
      <c r="AA8" s="276">
        <f t="shared" si="2"/>
        <v>2275.8620689655172</v>
      </c>
      <c r="AB8" s="276">
        <f t="shared" si="3"/>
        <v>2365.5172413793102</v>
      </c>
      <c r="AC8" s="128"/>
      <c r="AD8" s="128">
        <v>45554</v>
      </c>
      <c r="AE8" s="276">
        <v>65856</v>
      </c>
      <c r="AF8" s="276"/>
      <c r="AG8" s="128"/>
      <c r="AH8" s="275"/>
      <c r="AI8" s="128"/>
      <c r="AJ8" s="276">
        <v>263424</v>
      </c>
      <c r="AK8" s="126" t="s">
        <v>17320</v>
      </c>
      <c r="AL8" s="126"/>
      <c r="AM8" s="126"/>
      <c r="AN8" s="126"/>
      <c r="AO8" s="126"/>
      <c r="AP8" s="126" t="s">
        <v>17637</v>
      </c>
      <c r="AQ8" s="126" t="s">
        <v>514</v>
      </c>
      <c r="AR8" s="126"/>
      <c r="AS8" s="126"/>
      <c r="AT8" s="126"/>
      <c r="AU8" s="126"/>
      <c r="AV8" s="126"/>
      <c r="AW8" s="126"/>
      <c r="AX8" s="126"/>
      <c r="AY8" s="276"/>
      <c r="AZ8" s="276"/>
    </row>
    <row r="9" spans="1:52" s="334" customFormat="1" ht="11.45" hidden="1" customHeight="1">
      <c r="A9" s="126">
        <v>8</v>
      </c>
      <c r="B9" s="8" t="s">
        <v>31</v>
      </c>
      <c r="C9" s="545" t="s">
        <v>89</v>
      </c>
      <c r="D9" s="546">
        <v>1</v>
      </c>
      <c r="E9" s="546"/>
      <c r="F9" s="545">
        <v>111</v>
      </c>
      <c r="G9" s="549">
        <v>17</v>
      </c>
      <c r="H9" s="548"/>
      <c r="I9" s="548"/>
      <c r="J9" s="272">
        <f t="shared" si="4"/>
        <v>119.5</v>
      </c>
      <c r="K9" s="642">
        <v>1</v>
      </c>
      <c r="L9" s="642">
        <v>-1</v>
      </c>
      <c r="M9" s="126" t="s">
        <v>258</v>
      </c>
      <c r="N9" s="273">
        <v>317000</v>
      </c>
      <c r="O9" s="1575">
        <f t="shared" si="5"/>
        <v>324480</v>
      </c>
      <c r="P9" s="1575">
        <v>338000</v>
      </c>
      <c r="Q9" s="1573">
        <v>305000</v>
      </c>
      <c r="R9" s="1573">
        <v>317000</v>
      </c>
      <c r="S9" s="1576">
        <v>305000</v>
      </c>
      <c r="T9" s="1576">
        <v>317000</v>
      </c>
      <c r="U9" s="273">
        <v>305000</v>
      </c>
      <c r="V9" s="273">
        <v>317000</v>
      </c>
      <c r="W9" s="273">
        <v>305000</v>
      </c>
      <c r="X9" s="273">
        <v>317000</v>
      </c>
      <c r="Y9" s="274">
        <f t="shared" si="0"/>
        <v>0</v>
      </c>
      <c r="Z9" s="275">
        <f t="shared" si="1"/>
        <v>2652.7196652719667</v>
      </c>
      <c r="AA9" s="276">
        <f t="shared" si="2"/>
        <v>2552.3012552301257</v>
      </c>
      <c r="AB9" s="276">
        <f t="shared" si="3"/>
        <v>2652.7196652719667</v>
      </c>
      <c r="AC9" s="128"/>
      <c r="AD9" s="113">
        <v>45604</v>
      </c>
      <c r="AE9" s="751">
        <f>15%*N9</f>
        <v>47550</v>
      </c>
      <c r="AF9" s="751"/>
      <c r="AG9" s="113"/>
      <c r="AH9" s="325"/>
      <c r="AI9" s="113"/>
      <c r="AJ9" s="751">
        <f>85%*N9</f>
        <v>269450</v>
      </c>
      <c r="AK9" s="126" t="s">
        <v>17320</v>
      </c>
      <c r="AL9" s="126"/>
      <c r="AM9" s="126"/>
      <c r="AN9" s="126"/>
      <c r="AO9" s="126"/>
      <c r="AP9" s="112" t="s">
        <v>17712</v>
      </c>
      <c r="AQ9" s="132" t="s">
        <v>265</v>
      </c>
      <c r="AR9" s="132"/>
      <c r="AS9" s="132"/>
      <c r="AT9" s="132"/>
      <c r="AU9" s="132"/>
      <c r="AV9" s="132"/>
      <c r="AW9" s="112"/>
      <c r="AX9" s="112"/>
      <c r="AY9" s="276"/>
      <c r="AZ9" s="276"/>
    </row>
    <row r="10" spans="1:52" s="334" customFormat="1" ht="21" hidden="1" customHeight="1">
      <c r="A10" s="126">
        <v>9</v>
      </c>
      <c r="B10" s="8" t="s">
        <v>32</v>
      </c>
      <c r="C10" s="545" t="s">
        <v>89</v>
      </c>
      <c r="D10" s="546">
        <v>1</v>
      </c>
      <c r="E10" s="546"/>
      <c r="F10" s="545">
        <v>111</v>
      </c>
      <c r="G10" s="549">
        <v>16.95</v>
      </c>
      <c r="H10" s="548"/>
      <c r="I10" s="548"/>
      <c r="J10" s="272">
        <f t="shared" si="4"/>
        <v>119.47499999999999</v>
      </c>
      <c r="K10" s="642">
        <v>1</v>
      </c>
      <c r="L10" s="642">
        <v>-1</v>
      </c>
      <c r="M10" s="126" t="s">
        <v>258</v>
      </c>
      <c r="N10" s="273">
        <v>330000</v>
      </c>
      <c r="O10" s="1575">
        <f t="shared" si="5"/>
        <v>324480</v>
      </c>
      <c r="P10" s="1575">
        <v>338000</v>
      </c>
      <c r="Q10" s="1573">
        <v>310000</v>
      </c>
      <c r="R10" s="1573">
        <v>322000</v>
      </c>
      <c r="S10" s="1576">
        <f>0.96*T10</f>
        <v>321600</v>
      </c>
      <c r="T10" s="1577">
        <v>335000</v>
      </c>
      <c r="U10" s="273">
        <f>0.96*V10</f>
        <v>321600</v>
      </c>
      <c r="V10" s="1507">
        <v>335000</v>
      </c>
      <c r="W10" s="273">
        <f>0.96*X10</f>
        <v>321600</v>
      </c>
      <c r="X10" s="1507">
        <v>335000</v>
      </c>
      <c r="Y10" s="274">
        <f t="shared" si="0"/>
        <v>1.4925373134328401E-2</v>
      </c>
      <c r="Z10" s="275">
        <f t="shared" si="1"/>
        <v>2762.0841180163216</v>
      </c>
      <c r="AA10" s="276">
        <f t="shared" si="2"/>
        <v>2691.7765222849971</v>
      </c>
      <c r="AB10" s="276">
        <f t="shared" si="3"/>
        <v>2803.9338773802051</v>
      </c>
      <c r="AC10" s="128">
        <v>45715</v>
      </c>
      <c r="AD10" s="103">
        <v>45734</v>
      </c>
      <c r="AE10" s="575">
        <v>66000</v>
      </c>
      <c r="AF10" s="575"/>
      <c r="AG10" s="103"/>
      <c r="AH10" s="313"/>
      <c r="AI10" s="103"/>
      <c r="AJ10" s="575">
        <v>264000</v>
      </c>
      <c r="AK10" s="126" t="s">
        <v>17320</v>
      </c>
      <c r="AL10" s="126"/>
      <c r="AM10" s="126"/>
      <c r="AN10" s="126"/>
      <c r="AO10" s="126"/>
      <c r="AP10" s="132" t="s">
        <v>17884</v>
      </c>
      <c r="AQ10" s="132" t="s">
        <v>565</v>
      </c>
      <c r="AR10" s="132"/>
      <c r="AS10" s="132"/>
      <c r="AT10" s="132"/>
      <c r="AU10" s="132"/>
      <c r="AV10" s="132"/>
      <c r="AW10" s="132"/>
      <c r="AX10" s="132"/>
      <c r="AY10" s="276"/>
      <c r="AZ10" s="276"/>
    </row>
    <row r="11" spans="1:52" s="334" customFormat="1" ht="13.5" hidden="1" customHeight="1">
      <c r="A11" s="126">
        <v>10</v>
      </c>
      <c r="B11" s="8" t="s">
        <v>33</v>
      </c>
      <c r="C11" s="545" t="s">
        <v>91</v>
      </c>
      <c r="D11" s="546">
        <v>1</v>
      </c>
      <c r="E11" s="546"/>
      <c r="F11" s="545">
        <v>79</v>
      </c>
      <c r="G11" s="549">
        <v>11</v>
      </c>
      <c r="H11" s="548"/>
      <c r="I11" s="548"/>
      <c r="J11" s="272">
        <f t="shared" si="4"/>
        <v>84.5</v>
      </c>
      <c r="K11" s="642">
        <v>1</v>
      </c>
      <c r="L11" s="642">
        <v>-2</v>
      </c>
      <c r="M11" s="126" t="s">
        <v>258</v>
      </c>
      <c r="N11" s="273">
        <v>269760</v>
      </c>
      <c r="O11" s="1575">
        <f>0.96*P11</f>
        <v>254400</v>
      </c>
      <c r="P11" s="1575">
        <v>265000</v>
      </c>
      <c r="Q11" s="1573">
        <v>270000</v>
      </c>
      <c r="R11" s="1573">
        <v>281000</v>
      </c>
      <c r="S11" s="1576">
        <v>270000</v>
      </c>
      <c r="T11" s="1576">
        <v>281000</v>
      </c>
      <c r="U11" s="273">
        <v>270000</v>
      </c>
      <c r="V11" s="273">
        <v>281000</v>
      </c>
      <c r="W11" s="273">
        <v>270000</v>
      </c>
      <c r="X11" s="273">
        <v>281000</v>
      </c>
      <c r="Y11" s="274">
        <f t="shared" si="0"/>
        <v>4.0000000000000036E-2</v>
      </c>
      <c r="Z11" s="275">
        <f t="shared" si="1"/>
        <v>3192.4260355029587</v>
      </c>
      <c r="AA11" s="276">
        <f t="shared" si="2"/>
        <v>3195.2662721893489</v>
      </c>
      <c r="AB11" s="276">
        <f t="shared" si="3"/>
        <v>3325.4437869822486</v>
      </c>
      <c r="AC11" s="128"/>
      <c r="AD11" s="103">
        <v>45498</v>
      </c>
      <c r="AE11" s="575">
        <v>53952</v>
      </c>
      <c r="AF11" s="575"/>
      <c r="AG11" s="103"/>
      <c r="AH11" s="313"/>
      <c r="AI11" s="103"/>
      <c r="AJ11" s="575">
        <v>215808</v>
      </c>
      <c r="AK11" s="126" t="s">
        <v>17320</v>
      </c>
      <c r="AL11" s="126"/>
      <c r="AM11" s="550"/>
      <c r="AN11" s="126"/>
      <c r="AO11" s="126"/>
      <c r="AP11" s="132" t="s">
        <v>17499</v>
      </c>
      <c r="AQ11" s="132" t="s">
        <v>265</v>
      </c>
      <c r="AR11" s="132"/>
      <c r="AS11" s="132"/>
      <c r="AT11" s="132"/>
      <c r="AU11" s="132"/>
      <c r="AV11" s="132"/>
      <c r="AW11" s="132"/>
      <c r="AX11" s="132"/>
      <c r="AY11" s="276"/>
      <c r="AZ11" s="276"/>
    </row>
    <row r="12" spans="1:52" s="334" customFormat="1" ht="13.5" hidden="1" customHeight="1">
      <c r="A12" s="126">
        <v>11</v>
      </c>
      <c r="B12" s="8" t="s">
        <v>35</v>
      </c>
      <c r="C12" s="545" t="s">
        <v>91</v>
      </c>
      <c r="D12" s="546">
        <v>1</v>
      </c>
      <c r="E12" s="546"/>
      <c r="F12" s="545">
        <v>74</v>
      </c>
      <c r="G12" s="549">
        <v>11.34</v>
      </c>
      <c r="H12" s="548"/>
      <c r="I12" s="548"/>
      <c r="J12" s="272">
        <f t="shared" si="4"/>
        <v>79.67</v>
      </c>
      <c r="K12" s="642">
        <v>1</v>
      </c>
      <c r="L12" s="642">
        <v>-1</v>
      </c>
      <c r="M12" s="126" t="s">
        <v>258</v>
      </c>
      <c r="N12" s="273">
        <v>280000</v>
      </c>
      <c r="O12" s="273">
        <f>0.96*P12</f>
        <v>244800</v>
      </c>
      <c r="P12" s="273">
        <v>255000</v>
      </c>
      <c r="Q12" s="273">
        <v>260000</v>
      </c>
      <c r="R12" s="273">
        <v>270000</v>
      </c>
      <c r="S12" s="273">
        <f>0.96*T12</f>
        <v>264960</v>
      </c>
      <c r="T12" s="1507">
        <v>276000</v>
      </c>
      <c r="U12" s="273">
        <f>0.96*V12</f>
        <v>275520</v>
      </c>
      <c r="V12" s="1507">
        <v>287000</v>
      </c>
      <c r="W12" s="273">
        <f>0.96*X12</f>
        <v>275520</v>
      </c>
      <c r="X12" s="1507">
        <v>287000</v>
      </c>
      <c r="Y12" s="274">
        <f t="shared" si="0"/>
        <v>2.4390243902439046E-2</v>
      </c>
      <c r="Z12" s="275">
        <f t="shared" si="1"/>
        <v>3514.4973013681433</v>
      </c>
      <c r="AA12" s="276">
        <f t="shared" si="2"/>
        <v>3458.2653445462533</v>
      </c>
      <c r="AB12" s="276">
        <f t="shared" si="3"/>
        <v>3602.3597339023472</v>
      </c>
      <c r="AC12" s="128"/>
      <c r="AD12" s="103">
        <v>45813</v>
      </c>
      <c r="AE12" s="575">
        <v>56000</v>
      </c>
      <c r="AF12" s="575">
        <v>28000</v>
      </c>
      <c r="AG12" s="103">
        <f>180+AD12</f>
        <v>45993</v>
      </c>
      <c r="AH12" s="313"/>
      <c r="AI12" s="103"/>
      <c r="AJ12" s="575">
        <f>70%*N12</f>
        <v>196000</v>
      </c>
      <c r="AK12" s="126" t="s">
        <v>17320</v>
      </c>
      <c r="AL12" s="126"/>
      <c r="AM12" s="550"/>
      <c r="AN12" s="126"/>
      <c r="AO12" s="126"/>
      <c r="AP12" s="132" t="s">
        <v>18027</v>
      </c>
      <c r="AQ12" s="132" t="s">
        <v>265</v>
      </c>
      <c r="AR12" s="132"/>
      <c r="AS12" s="132"/>
      <c r="AT12" s="132"/>
      <c r="AU12" s="1428"/>
      <c r="AV12" s="132"/>
      <c r="AW12" s="132"/>
      <c r="AX12" s="132"/>
      <c r="AY12" s="276"/>
      <c r="AZ12" s="276"/>
    </row>
    <row r="13" spans="1:52" s="334" customFormat="1" ht="13.5" hidden="1" customHeight="1">
      <c r="A13" s="126">
        <v>12</v>
      </c>
      <c r="B13" s="8" t="s">
        <v>36</v>
      </c>
      <c r="C13" s="545" t="s">
        <v>91</v>
      </c>
      <c r="D13" s="546">
        <v>2</v>
      </c>
      <c r="E13" s="546"/>
      <c r="F13" s="545">
        <v>79</v>
      </c>
      <c r="G13" s="1311">
        <v>12</v>
      </c>
      <c r="H13" s="548"/>
      <c r="I13" s="548"/>
      <c r="J13" s="272">
        <f t="shared" si="4"/>
        <v>85</v>
      </c>
      <c r="K13" s="642">
        <v>1</v>
      </c>
      <c r="L13" s="642">
        <v>-1</v>
      </c>
      <c r="M13" s="126" t="s">
        <v>258</v>
      </c>
      <c r="N13" s="273">
        <v>280000</v>
      </c>
      <c r="O13" s="1575">
        <f>0.96*P13</f>
        <v>254400</v>
      </c>
      <c r="P13" s="1575">
        <v>265000</v>
      </c>
      <c r="Q13" s="1573">
        <v>270000</v>
      </c>
      <c r="R13" s="1573">
        <v>281000</v>
      </c>
      <c r="S13" s="1576">
        <v>270000</v>
      </c>
      <c r="T13" s="1576">
        <v>281000</v>
      </c>
      <c r="U13" s="273">
        <v>270000</v>
      </c>
      <c r="V13" s="273">
        <v>281000</v>
      </c>
      <c r="W13" s="273">
        <v>270000</v>
      </c>
      <c r="X13" s="273">
        <v>281000</v>
      </c>
      <c r="Y13" s="274">
        <f t="shared" si="0"/>
        <v>3.558718861209953E-3</v>
      </c>
      <c r="Z13" s="275">
        <f t="shared" si="1"/>
        <v>3294.1176470588234</v>
      </c>
      <c r="AA13" s="276">
        <f t="shared" si="2"/>
        <v>3176.4705882352941</v>
      </c>
      <c r="AB13" s="276">
        <f t="shared" si="3"/>
        <v>3305.8823529411766</v>
      </c>
      <c r="AC13" s="128"/>
      <c r="AD13" s="103">
        <v>45559</v>
      </c>
      <c r="AE13" s="575">
        <v>28000</v>
      </c>
      <c r="AF13" s="575">
        <v>28000</v>
      </c>
      <c r="AG13" s="103"/>
      <c r="AH13" s="313"/>
      <c r="AI13" s="103"/>
      <c r="AJ13" s="575">
        <v>224000</v>
      </c>
      <c r="AK13" s="126" t="s">
        <v>17320</v>
      </c>
      <c r="AL13" s="126"/>
      <c r="AM13" s="126"/>
      <c r="AN13" s="126"/>
      <c r="AO13" s="126"/>
      <c r="AP13" s="112" t="s">
        <v>17674</v>
      </c>
      <c r="AQ13" s="132" t="s">
        <v>265</v>
      </c>
      <c r="AR13" s="132"/>
      <c r="AS13" s="132"/>
      <c r="AT13" s="132"/>
      <c r="AU13" s="132"/>
      <c r="AV13" s="132"/>
      <c r="AW13" s="132"/>
      <c r="AX13" s="132"/>
      <c r="AY13" s="276"/>
      <c r="AZ13" s="276"/>
    </row>
    <row r="14" spans="1:52" s="334" customFormat="1" ht="15" hidden="1" customHeight="1">
      <c r="A14" s="126">
        <v>13</v>
      </c>
      <c r="B14" s="8" t="s">
        <v>37</v>
      </c>
      <c r="C14" s="545" t="s">
        <v>89</v>
      </c>
      <c r="D14" s="546">
        <v>2</v>
      </c>
      <c r="E14" s="546"/>
      <c r="F14" s="545">
        <v>125</v>
      </c>
      <c r="G14" s="549">
        <v>40</v>
      </c>
      <c r="H14" s="548"/>
      <c r="I14" s="548"/>
      <c r="J14" s="272">
        <f t="shared" si="4"/>
        <v>145</v>
      </c>
      <c r="K14" s="642">
        <v>2</v>
      </c>
      <c r="L14" s="642">
        <v>-1</v>
      </c>
      <c r="M14" s="126" t="s">
        <v>258</v>
      </c>
      <c r="N14" s="273">
        <v>339840</v>
      </c>
      <c r="O14" s="1575">
        <f>0.96*P14</f>
        <v>359040</v>
      </c>
      <c r="P14" s="1575">
        <v>374000</v>
      </c>
      <c r="Q14" s="1573">
        <v>340000</v>
      </c>
      <c r="R14" s="1573">
        <v>354000</v>
      </c>
      <c r="S14" s="1576">
        <v>340000</v>
      </c>
      <c r="T14" s="1576">
        <v>354000</v>
      </c>
      <c r="U14" s="273">
        <v>340000</v>
      </c>
      <c r="V14" s="273">
        <v>354000</v>
      </c>
      <c r="W14" s="273">
        <v>340000</v>
      </c>
      <c r="X14" s="273">
        <v>354000</v>
      </c>
      <c r="Y14" s="274">
        <f t="shared" si="0"/>
        <v>4.0000000000000036E-2</v>
      </c>
      <c r="Z14" s="275">
        <f t="shared" si="1"/>
        <v>2343.7241379310344</v>
      </c>
      <c r="AA14" s="276">
        <f t="shared" si="2"/>
        <v>2344.8275862068967</v>
      </c>
      <c r="AB14" s="276">
        <f t="shared" si="3"/>
        <v>2441.3793103448274</v>
      </c>
      <c r="AC14" s="103">
        <v>45608</v>
      </c>
      <c r="AD14" s="103">
        <v>45679</v>
      </c>
      <c r="AE14" s="575">
        <v>67968</v>
      </c>
      <c r="AF14" s="575"/>
      <c r="AG14" s="103"/>
      <c r="AH14" s="313"/>
      <c r="AI14" s="103"/>
      <c r="AJ14" s="575">
        <v>271872</v>
      </c>
      <c r="AK14" s="126" t="s">
        <v>17320</v>
      </c>
      <c r="AL14" s="126"/>
      <c r="AM14" s="126"/>
      <c r="AN14" s="126"/>
      <c r="AO14" s="126"/>
      <c r="AP14" s="132" t="s">
        <v>17839</v>
      </c>
      <c r="AQ14" s="132" t="s">
        <v>265</v>
      </c>
      <c r="AR14" s="132"/>
      <c r="AS14" s="132"/>
      <c r="AT14" s="132"/>
      <c r="AU14" s="132"/>
      <c r="AV14" s="132"/>
      <c r="AW14" s="132"/>
      <c r="AX14" s="132"/>
      <c r="AY14" s="276"/>
      <c r="AZ14" s="276"/>
    </row>
    <row r="15" spans="1:52" s="334" customFormat="1" ht="15" hidden="1" customHeight="1">
      <c r="A15" s="126">
        <v>14</v>
      </c>
      <c r="B15" s="8" t="s">
        <v>38</v>
      </c>
      <c r="C15" s="545" t="s">
        <v>89</v>
      </c>
      <c r="D15" s="546">
        <v>2</v>
      </c>
      <c r="E15" s="546"/>
      <c r="F15" s="545">
        <v>111</v>
      </c>
      <c r="G15" s="549">
        <v>17</v>
      </c>
      <c r="H15" s="548"/>
      <c r="I15" s="548"/>
      <c r="J15" s="272">
        <f t="shared" si="4"/>
        <v>119.5</v>
      </c>
      <c r="K15" s="642">
        <v>2</v>
      </c>
      <c r="L15" s="642">
        <v>-1</v>
      </c>
      <c r="M15" s="126" t="s">
        <v>258</v>
      </c>
      <c r="N15" s="273">
        <v>328000</v>
      </c>
      <c r="O15" s="1575">
        <f>0.96*P15</f>
        <v>329280</v>
      </c>
      <c r="P15" s="1575">
        <v>343000</v>
      </c>
      <c r="Q15" s="1573">
        <v>315000</v>
      </c>
      <c r="R15" s="1573">
        <v>328000</v>
      </c>
      <c r="S15" s="1576">
        <v>315000</v>
      </c>
      <c r="T15" s="1576">
        <v>328000</v>
      </c>
      <c r="U15" s="273">
        <v>315000</v>
      </c>
      <c r="V15" s="273">
        <v>328000</v>
      </c>
      <c r="W15" s="273">
        <v>315000</v>
      </c>
      <c r="X15" s="273">
        <v>328000</v>
      </c>
      <c r="Y15" s="274">
        <f t="shared" si="0"/>
        <v>0</v>
      </c>
      <c r="Z15" s="275">
        <f t="shared" si="1"/>
        <v>2744.7698744769873</v>
      </c>
      <c r="AA15" s="276">
        <f t="shared" si="2"/>
        <v>2635.9832635983262</v>
      </c>
      <c r="AB15" s="276">
        <f t="shared" si="3"/>
        <v>2744.7698744769873</v>
      </c>
      <c r="AC15" s="128"/>
      <c r="AD15" s="103">
        <v>45615</v>
      </c>
      <c r="AE15" s="575">
        <v>65600</v>
      </c>
      <c r="AF15" s="575"/>
      <c r="AG15" s="103"/>
      <c r="AH15" s="313"/>
      <c r="AI15" s="103"/>
      <c r="AJ15" s="575">
        <v>262400</v>
      </c>
      <c r="AK15" s="126" t="s">
        <v>17320</v>
      </c>
      <c r="AL15" s="126"/>
      <c r="AM15" s="550"/>
      <c r="AN15" s="126"/>
      <c r="AO15" s="126"/>
      <c r="AP15" s="132" t="s">
        <v>17725</v>
      </c>
      <c r="AQ15" s="132" t="s">
        <v>17721</v>
      </c>
      <c r="AR15" s="132"/>
      <c r="AS15" s="132"/>
      <c r="AT15" s="132"/>
      <c r="AU15" s="132"/>
      <c r="AV15" s="132"/>
      <c r="AW15" s="132"/>
      <c r="AX15" s="132"/>
      <c r="AY15" s="276"/>
      <c r="AZ15" s="276"/>
    </row>
    <row r="16" spans="1:52" s="334" customFormat="1" ht="13.5" hidden="1" customHeight="1">
      <c r="A16" s="126">
        <v>15</v>
      </c>
      <c r="B16" s="8" t="s">
        <v>39</v>
      </c>
      <c r="C16" s="545" t="s">
        <v>91</v>
      </c>
      <c r="D16" s="546">
        <v>2</v>
      </c>
      <c r="E16" s="546"/>
      <c r="F16" s="545">
        <v>74</v>
      </c>
      <c r="G16" s="549">
        <v>11</v>
      </c>
      <c r="H16" s="548"/>
      <c r="I16" s="548"/>
      <c r="J16" s="272">
        <f t="shared" si="4"/>
        <v>79.5</v>
      </c>
      <c r="K16" s="642">
        <v>1</v>
      </c>
      <c r="L16" s="642">
        <v>-1</v>
      </c>
      <c r="M16" s="126" t="s">
        <v>258</v>
      </c>
      <c r="N16" s="273">
        <v>259200</v>
      </c>
      <c r="O16" s="1575">
        <f t="shared" ref="O16:O36" si="6">0.96*P16</f>
        <v>240000</v>
      </c>
      <c r="P16" s="1575">
        <v>250000</v>
      </c>
      <c r="Q16" s="1573">
        <v>260000</v>
      </c>
      <c r="R16" s="1573">
        <v>270000</v>
      </c>
      <c r="S16" s="1576">
        <v>260000</v>
      </c>
      <c r="T16" s="1576">
        <v>270000</v>
      </c>
      <c r="U16" s="273">
        <v>260000</v>
      </c>
      <c r="V16" s="273">
        <v>270000</v>
      </c>
      <c r="W16" s="273">
        <v>260000</v>
      </c>
      <c r="X16" s="273">
        <v>270000</v>
      </c>
      <c r="Y16" s="274">
        <f t="shared" si="0"/>
        <v>4.0000000000000036E-2</v>
      </c>
      <c r="Z16" s="275">
        <f t="shared" si="1"/>
        <v>3260.3773584905662</v>
      </c>
      <c r="AA16" s="276">
        <f t="shared" si="2"/>
        <v>3270.4402515723273</v>
      </c>
      <c r="AB16" s="276">
        <f t="shared" si="3"/>
        <v>3396.2264150943397</v>
      </c>
      <c r="AC16" s="128"/>
      <c r="AD16" s="103">
        <v>45492</v>
      </c>
      <c r="AE16" s="575">
        <v>51840</v>
      </c>
      <c r="AF16" s="575"/>
      <c r="AG16" s="103"/>
      <c r="AH16" s="313"/>
      <c r="AI16" s="103"/>
      <c r="AJ16" s="575">
        <v>207360</v>
      </c>
      <c r="AK16" s="126" t="s">
        <v>17320</v>
      </c>
      <c r="AL16" s="126"/>
      <c r="AM16" s="550"/>
      <c r="AN16" s="126"/>
      <c r="AO16" s="126"/>
      <c r="AP16" s="132" t="s">
        <v>17536</v>
      </c>
      <c r="AQ16" s="132" t="s">
        <v>265</v>
      </c>
      <c r="AR16" s="132"/>
      <c r="AS16" s="132"/>
      <c r="AT16" s="132"/>
      <c r="AU16" s="132"/>
      <c r="AV16" s="132"/>
      <c r="AW16" s="132"/>
      <c r="AX16" s="132"/>
      <c r="AY16" s="276"/>
      <c r="AZ16" s="276"/>
    </row>
    <row r="17" spans="1:52" s="334" customFormat="1" ht="13.5" hidden="1" customHeight="1">
      <c r="A17" s="126">
        <v>16</v>
      </c>
      <c r="B17" s="8" t="s">
        <v>40</v>
      </c>
      <c r="C17" s="545" t="s">
        <v>91</v>
      </c>
      <c r="D17" s="546">
        <v>2</v>
      </c>
      <c r="E17" s="546"/>
      <c r="F17" s="545">
        <v>78</v>
      </c>
      <c r="G17" s="549">
        <v>11</v>
      </c>
      <c r="H17" s="548"/>
      <c r="I17" s="548"/>
      <c r="J17" s="272">
        <f t="shared" si="4"/>
        <v>83.5</v>
      </c>
      <c r="K17" s="642">
        <v>1</v>
      </c>
      <c r="L17" s="642">
        <v>-1</v>
      </c>
      <c r="M17" s="126" t="s">
        <v>258</v>
      </c>
      <c r="N17" s="273">
        <v>275000</v>
      </c>
      <c r="O17" s="1575">
        <f t="shared" si="6"/>
        <v>244800</v>
      </c>
      <c r="P17" s="1575">
        <v>255000</v>
      </c>
      <c r="Q17" s="1573">
        <v>265000</v>
      </c>
      <c r="R17" s="1573">
        <v>276000</v>
      </c>
      <c r="S17" s="1576">
        <v>265000</v>
      </c>
      <c r="T17" s="1576">
        <v>276000</v>
      </c>
      <c r="U17" s="273">
        <v>265000</v>
      </c>
      <c r="V17" s="273">
        <v>276000</v>
      </c>
      <c r="W17" s="273">
        <v>265000</v>
      </c>
      <c r="X17" s="273">
        <v>276000</v>
      </c>
      <c r="Y17" s="274">
        <f t="shared" si="0"/>
        <v>3.6231884057971175E-3</v>
      </c>
      <c r="Z17" s="275">
        <f t="shared" si="1"/>
        <v>3293.4131736526947</v>
      </c>
      <c r="AA17" s="276">
        <f t="shared" si="2"/>
        <v>3173.6526946107783</v>
      </c>
      <c r="AB17" s="276">
        <f t="shared" si="3"/>
        <v>3305.3892215568862</v>
      </c>
      <c r="AC17" s="128"/>
      <c r="AD17" s="103">
        <v>45737</v>
      </c>
      <c r="AE17" s="575">
        <v>13750</v>
      </c>
      <c r="AF17" s="575">
        <v>41250</v>
      </c>
      <c r="AG17" s="103"/>
      <c r="AH17" s="313"/>
      <c r="AI17" s="103"/>
      <c r="AJ17" s="575">
        <v>220000</v>
      </c>
      <c r="AK17" s="126" t="s">
        <v>17320</v>
      </c>
      <c r="AL17" s="126"/>
      <c r="AM17" s="126"/>
      <c r="AN17" s="126"/>
      <c r="AO17" s="126"/>
      <c r="AP17" s="126" t="s">
        <v>17644</v>
      </c>
      <c r="AQ17" s="132" t="s">
        <v>265</v>
      </c>
      <c r="AR17" s="132"/>
      <c r="AS17" s="132"/>
      <c r="AT17" s="132"/>
      <c r="AU17" s="132"/>
      <c r="AV17" s="132"/>
      <c r="AW17" s="132"/>
      <c r="AX17" s="132"/>
      <c r="AY17" s="276"/>
      <c r="AZ17" s="276"/>
    </row>
    <row r="18" spans="1:52" s="334" customFormat="1" ht="13.5" hidden="1" customHeight="1">
      <c r="A18" s="126">
        <v>17</v>
      </c>
      <c r="B18" s="8" t="s">
        <v>41</v>
      </c>
      <c r="C18" s="545" t="s">
        <v>91</v>
      </c>
      <c r="D18" s="546">
        <v>2</v>
      </c>
      <c r="E18" s="546"/>
      <c r="F18" s="545">
        <v>78</v>
      </c>
      <c r="G18" s="549">
        <v>11</v>
      </c>
      <c r="H18" s="548"/>
      <c r="I18" s="548"/>
      <c r="J18" s="272">
        <f t="shared" si="4"/>
        <v>83.5</v>
      </c>
      <c r="K18" s="642">
        <v>1</v>
      </c>
      <c r="L18" s="642">
        <v>-2</v>
      </c>
      <c r="M18" s="126" t="s">
        <v>258</v>
      </c>
      <c r="N18" s="273">
        <v>295000</v>
      </c>
      <c r="O18" s="273">
        <f t="shared" si="6"/>
        <v>254400</v>
      </c>
      <c r="P18" s="273">
        <v>265000</v>
      </c>
      <c r="Q18" s="273">
        <v>270000</v>
      </c>
      <c r="R18" s="273">
        <v>281000</v>
      </c>
      <c r="S18" s="273">
        <f>0.96*T18</f>
        <v>274560</v>
      </c>
      <c r="T18" s="1507">
        <v>286000</v>
      </c>
      <c r="U18" s="273">
        <f>0.96*V18</f>
        <v>285120</v>
      </c>
      <c r="V18" s="1507">
        <v>297000</v>
      </c>
      <c r="W18" s="273">
        <f>0.96*X18</f>
        <v>285120</v>
      </c>
      <c r="X18" s="1507">
        <v>297000</v>
      </c>
      <c r="Y18" s="274">
        <f t="shared" si="0"/>
        <v>6.7340067340067034E-3</v>
      </c>
      <c r="Z18" s="275">
        <f t="shared" si="1"/>
        <v>3532.934131736527</v>
      </c>
      <c r="AA18" s="276">
        <f t="shared" si="2"/>
        <v>3414.6107784431138</v>
      </c>
      <c r="AB18" s="276">
        <f t="shared" si="3"/>
        <v>3556.8862275449101</v>
      </c>
      <c r="AC18" s="128"/>
      <c r="AD18" s="103">
        <v>45853</v>
      </c>
      <c r="AE18" s="575">
        <f>20%*295000</f>
        <v>59000</v>
      </c>
      <c r="AF18" s="575"/>
      <c r="AG18" s="103"/>
      <c r="AH18" s="313"/>
      <c r="AI18" s="103"/>
      <c r="AJ18" s="575">
        <f>80%*295000</f>
        <v>236000</v>
      </c>
      <c r="AK18" s="126" t="s">
        <v>17320</v>
      </c>
      <c r="AL18" s="126"/>
      <c r="AM18" s="126"/>
      <c r="AN18" s="126"/>
      <c r="AO18" s="126"/>
      <c r="AP18" s="126" t="s">
        <v>18053</v>
      </c>
      <c r="AQ18" s="132" t="s">
        <v>565</v>
      </c>
      <c r="AR18" s="132"/>
      <c r="AS18" s="132"/>
      <c r="AT18" s="132"/>
      <c r="AU18" s="132"/>
      <c r="AV18" s="132"/>
      <c r="AW18" s="132"/>
      <c r="AX18" s="132"/>
      <c r="AY18" s="276"/>
      <c r="AZ18" s="276"/>
    </row>
    <row r="19" spans="1:52" s="334" customFormat="1" ht="13.5" hidden="1" customHeight="1">
      <c r="A19" s="126">
        <v>18</v>
      </c>
      <c r="B19" s="8" t="s">
        <v>42</v>
      </c>
      <c r="C19" s="545" t="s">
        <v>91</v>
      </c>
      <c r="D19" s="546">
        <v>2</v>
      </c>
      <c r="E19" s="546"/>
      <c r="F19" s="545">
        <v>74</v>
      </c>
      <c r="G19" s="549">
        <v>11.34</v>
      </c>
      <c r="H19" s="548"/>
      <c r="I19" s="548"/>
      <c r="J19" s="272">
        <f t="shared" si="4"/>
        <v>79.67</v>
      </c>
      <c r="K19" s="642">
        <v>1</v>
      </c>
      <c r="L19" s="642">
        <v>-2</v>
      </c>
      <c r="M19" s="126" t="s">
        <v>258</v>
      </c>
      <c r="N19" s="273">
        <v>264960</v>
      </c>
      <c r="O19" s="1575">
        <f t="shared" si="6"/>
        <v>249600</v>
      </c>
      <c r="P19" s="1575">
        <v>260000</v>
      </c>
      <c r="Q19" s="1573">
        <v>265000</v>
      </c>
      <c r="R19" s="1573">
        <v>276000</v>
      </c>
      <c r="S19" s="1576">
        <v>265000</v>
      </c>
      <c r="T19" s="1576">
        <v>276000</v>
      </c>
      <c r="U19" s="273">
        <v>265000</v>
      </c>
      <c r="V19" s="273">
        <v>276000</v>
      </c>
      <c r="W19" s="273">
        <v>265000</v>
      </c>
      <c r="X19" s="273">
        <v>276000</v>
      </c>
      <c r="Y19" s="274">
        <f t="shared" si="0"/>
        <v>4.0000000000000036E-2</v>
      </c>
      <c r="Z19" s="275">
        <f t="shared" si="1"/>
        <v>3325.7185891803688</v>
      </c>
      <c r="AA19" s="276">
        <f t="shared" si="2"/>
        <v>3326.2206602234214</v>
      </c>
      <c r="AB19" s="276">
        <f t="shared" si="3"/>
        <v>3464.2901970628845</v>
      </c>
      <c r="AC19" s="128"/>
      <c r="AD19" s="103">
        <v>45531</v>
      </c>
      <c r="AE19" s="575">
        <f>20%*N19</f>
        <v>52992</v>
      </c>
      <c r="AF19" s="575"/>
      <c r="AG19" s="103"/>
      <c r="AH19" s="313"/>
      <c r="AI19" s="103"/>
      <c r="AJ19" s="575">
        <f>80%*N19</f>
        <v>211968</v>
      </c>
      <c r="AK19" s="126" t="s">
        <v>17320</v>
      </c>
      <c r="AL19" s="126"/>
      <c r="AM19" s="126"/>
      <c r="AN19" s="126"/>
      <c r="AO19" s="126"/>
      <c r="AP19" s="112" t="s">
        <v>17537</v>
      </c>
      <c r="AQ19" s="132" t="s">
        <v>265</v>
      </c>
      <c r="AR19" s="132"/>
      <c r="AS19" s="132"/>
      <c r="AT19" s="132"/>
      <c r="AU19" s="132"/>
      <c r="AV19" s="132"/>
      <c r="AW19" s="132"/>
      <c r="AX19" s="132"/>
      <c r="AY19" s="276"/>
      <c r="AZ19" s="276"/>
    </row>
    <row r="20" spans="1:52" s="334" customFormat="1" ht="13.5" hidden="1" customHeight="1">
      <c r="A20" s="126">
        <v>19</v>
      </c>
      <c r="B20" s="8" t="s">
        <v>43</v>
      </c>
      <c r="C20" s="545" t="s">
        <v>91</v>
      </c>
      <c r="D20" s="546">
        <v>3</v>
      </c>
      <c r="E20" s="546"/>
      <c r="F20" s="545">
        <v>79</v>
      </c>
      <c r="G20" s="1311">
        <v>12</v>
      </c>
      <c r="H20" s="548"/>
      <c r="I20" s="548"/>
      <c r="J20" s="272">
        <f t="shared" si="4"/>
        <v>85</v>
      </c>
      <c r="K20" s="642">
        <v>1</v>
      </c>
      <c r="L20" s="642">
        <v>-2</v>
      </c>
      <c r="M20" s="126" t="s">
        <v>258</v>
      </c>
      <c r="N20" s="273">
        <v>286000</v>
      </c>
      <c r="O20" s="1575">
        <f t="shared" si="6"/>
        <v>259200</v>
      </c>
      <c r="P20" s="1575">
        <v>270000</v>
      </c>
      <c r="Q20" s="1573">
        <v>275000</v>
      </c>
      <c r="R20" s="1573">
        <v>286000</v>
      </c>
      <c r="S20" s="1576">
        <v>275000</v>
      </c>
      <c r="T20" s="1576">
        <f>S20*1.04</f>
        <v>286000</v>
      </c>
      <c r="U20" s="273">
        <v>275000</v>
      </c>
      <c r="V20" s="273">
        <f>U20*1.04</f>
        <v>286000</v>
      </c>
      <c r="W20" s="273">
        <v>275000</v>
      </c>
      <c r="X20" s="273">
        <f>W20*1.04</f>
        <v>286000</v>
      </c>
      <c r="Y20" s="274">
        <f t="shared" si="0"/>
        <v>0</v>
      </c>
      <c r="Z20" s="275">
        <f t="shared" si="1"/>
        <v>3364.705882352941</v>
      </c>
      <c r="AA20" s="276">
        <f t="shared" si="2"/>
        <v>3235.294117647059</v>
      </c>
      <c r="AB20" s="276">
        <f t="shared" si="3"/>
        <v>3364.705882352941</v>
      </c>
      <c r="AC20" s="103"/>
      <c r="AD20" s="103">
        <v>45581</v>
      </c>
      <c r="AE20" s="575">
        <v>28600</v>
      </c>
      <c r="AF20" s="575">
        <v>28600</v>
      </c>
      <c r="AG20" s="103">
        <f>AD20+182</f>
        <v>45763</v>
      </c>
      <c r="AH20" s="313"/>
      <c r="AI20" s="103"/>
      <c r="AJ20" s="575">
        <v>228800</v>
      </c>
      <c r="AK20" s="126" t="s">
        <v>17320</v>
      </c>
      <c r="AL20" s="126"/>
      <c r="AM20" s="126"/>
      <c r="AN20" s="126"/>
      <c r="AO20" s="126"/>
      <c r="AP20" s="112" t="s">
        <v>17685</v>
      </c>
      <c r="AQ20" s="132" t="s">
        <v>265</v>
      </c>
      <c r="AR20" s="132"/>
      <c r="AS20" s="132"/>
      <c r="AT20" s="132"/>
      <c r="AU20" s="132"/>
      <c r="AV20" s="132"/>
      <c r="AW20" s="132"/>
      <c r="AX20" s="132"/>
      <c r="AY20" s="276"/>
      <c r="AZ20" s="276"/>
    </row>
    <row r="21" spans="1:52" s="334" customFormat="1" ht="13.5" hidden="1" customHeight="1">
      <c r="A21" s="126">
        <v>20</v>
      </c>
      <c r="B21" s="8" t="s">
        <v>44</v>
      </c>
      <c r="C21" s="545" t="s">
        <v>89</v>
      </c>
      <c r="D21" s="546">
        <v>3</v>
      </c>
      <c r="E21" s="546"/>
      <c r="F21" s="545">
        <v>125</v>
      </c>
      <c r="G21" s="549">
        <v>40</v>
      </c>
      <c r="H21" s="548"/>
      <c r="I21" s="548"/>
      <c r="J21" s="272">
        <f t="shared" si="4"/>
        <v>145</v>
      </c>
      <c r="K21" s="642">
        <v>2</v>
      </c>
      <c r="L21" s="642">
        <v>-1</v>
      </c>
      <c r="M21" s="126" t="s">
        <v>258</v>
      </c>
      <c r="N21" s="273">
        <v>368640</v>
      </c>
      <c r="O21" s="1575">
        <f t="shared" si="6"/>
        <v>363840</v>
      </c>
      <c r="P21" s="1575">
        <v>379000</v>
      </c>
      <c r="Q21" s="1573">
        <v>355000</v>
      </c>
      <c r="R21" s="1573">
        <v>369000</v>
      </c>
      <c r="S21" s="1576">
        <f>0.96*T21</f>
        <v>368640</v>
      </c>
      <c r="T21" s="1577">
        <v>384000</v>
      </c>
      <c r="U21" s="273">
        <f>0.96*V21</f>
        <v>368640</v>
      </c>
      <c r="V21" s="1507">
        <v>384000</v>
      </c>
      <c r="W21" s="273">
        <f>0.96*X21</f>
        <v>368640</v>
      </c>
      <c r="X21" s="1507">
        <v>384000</v>
      </c>
      <c r="Y21" s="274">
        <f t="shared" si="0"/>
        <v>4.0000000000000036E-2</v>
      </c>
      <c r="Z21" s="275">
        <f t="shared" si="1"/>
        <v>2542.344827586207</v>
      </c>
      <c r="AA21" s="276">
        <f t="shared" si="2"/>
        <v>2542.344827586207</v>
      </c>
      <c r="AB21" s="276">
        <f t="shared" si="3"/>
        <v>2648.2758620689656</v>
      </c>
      <c r="AC21" s="128"/>
      <c r="AD21" s="103">
        <v>45686</v>
      </c>
      <c r="AE21" s="575">
        <v>73728</v>
      </c>
      <c r="AF21" s="575"/>
      <c r="AG21" s="103"/>
      <c r="AH21" s="313"/>
      <c r="AI21" s="103"/>
      <c r="AJ21" s="575">
        <v>294912</v>
      </c>
      <c r="AK21" s="126" t="s">
        <v>17320</v>
      </c>
      <c r="AL21" s="126"/>
      <c r="AM21" s="550"/>
      <c r="AN21" s="126"/>
      <c r="AO21" s="126"/>
      <c r="AP21" s="132" t="s">
        <v>17854</v>
      </c>
      <c r="AQ21" s="132" t="s">
        <v>730</v>
      </c>
      <c r="AR21" s="132"/>
      <c r="AS21" s="132"/>
      <c r="AT21" s="132"/>
      <c r="AU21" s="132"/>
      <c r="AV21" s="132"/>
      <c r="AW21" s="132"/>
      <c r="AX21" s="132"/>
      <c r="AY21" s="276"/>
      <c r="AZ21" s="276"/>
    </row>
    <row r="22" spans="1:52" s="334" customFormat="1" ht="13.15" hidden="1" customHeight="1">
      <c r="A22" s="126">
        <v>21</v>
      </c>
      <c r="B22" s="8" t="s">
        <v>45</v>
      </c>
      <c r="C22" s="545" t="s">
        <v>89</v>
      </c>
      <c r="D22" s="546">
        <v>3</v>
      </c>
      <c r="E22" s="546"/>
      <c r="F22" s="545">
        <v>111</v>
      </c>
      <c r="G22" s="549">
        <v>17</v>
      </c>
      <c r="H22" s="548"/>
      <c r="I22" s="548"/>
      <c r="J22" s="272">
        <f t="shared" si="4"/>
        <v>119.5</v>
      </c>
      <c r="K22" s="642">
        <v>2</v>
      </c>
      <c r="L22" s="642">
        <v>-1</v>
      </c>
      <c r="M22" s="126" t="s">
        <v>258</v>
      </c>
      <c r="N22" s="273">
        <v>324480</v>
      </c>
      <c r="O22" s="1575">
        <f t="shared" si="6"/>
        <v>334080</v>
      </c>
      <c r="P22" s="1575">
        <v>348000</v>
      </c>
      <c r="Q22" s="1573">
        <v>325000</v>
      </c>
      <c r="R22" s="1573">
        <v>338000</v>
      </c>
      <c r="S22" s="1576">
        <v>325000</v>
      </c>
      <c r="T22" s="1576">
        <f>S22*1.04</f>
        <v>338000</v>
      </c>
      <c r="U22" s="273">
        <v>325000</v>
      </c>
      <c r="V22" s="273">
        <f>U22*1.04</f>
        <v>338000</v>
      </c>
      <c r="W22" s="273">
        <v>325000</v>
      </c>
      <c r="X22" s="273">
        <f>W22*1.04</f>
        <v>338000</v>
      </c>
      <c r="Y22" s="274">
        <f t="shared" si="0"/>
        <v>4.0000000000000036E-2</v>
      </c>
      <c r="Z22" s="275">
        <f t="shared" si="1"/>
        <v>2715.3138075313809</v>
      </c>
      <c r="AA22" s="276">
        <f t="shared" si="2"/>
        <v>2719.6652719665271</v>
      </c>
      <c r="AB22" s="276">
        <f t="shared" si="3"/>
        <v>2828.4518828451883</v>
      </c>
      <c r="AC22" s="128"/>
      <c r="AD22" s="103">
        <v>45656</v>
      </c>
      <c r="AE22" s="575">
        <v>64896</v>
      </c>
      <c r="AF22" s="575"/>
      <c r="AG22" s="103"/>
      <c r="AH22" s="313"/>
      <c r="AI22" s="103"/>
      <c r="AJ22" s="575">
        <v>259584</v>
      </c>
      <c r="AK22" s="126" t="s">
        <v>17320</v>
      </c>
      <c r="AL22" s="126"/>
      <c r="AM22" s="550"/>
      <c r="AN22" s="126"/>
      <c r="AO22" s="126"/>
      <c r="AP22" s="126" t="s">
        <v>17814</v>
      </c>
      <c r="AQ22" s="132" t="s">
        <v>265</v>
      </c>
      <c r="AR22" s="132"/>
      <c r="AS22" s="132"/>
      <c r="AT22" s="132"/>
      <c r="AU22" s="132"/>
      <c r="AV22" s="132"/>
      <c r="AW22" s="132"/>
      <c r="AX22" s="132"/>
      <c r="AY22" s="276"/>
      <c r="AZ22" s="276"/>
    </row>
    <row r="23" spans="1:52" s="334" customFormat="1" ht="13.5" hidden="1" customHeight="1">
      <c r="A23" s="126">
        <v>22</v>
      </c>
      <c r="B23" s="8" t="s">
        <v>47</v>
      </c>
      <c r="C23" s="545" t="s">
        <v>91</v>
      </c>
      <c r="D23" s="546">
        <v>3</v>
      </c>
      <c r="E23" s="546"/>
      <c r="F23" s="545">
        <v>74</v>
      </c>
      <c r="G23" s="549">
        <v>11</v>
      </c>
      <c r="H23" s="548"/>
      <c r="I23" s="548"/>
      <c r="J23" s="272">
        <f t="shared" si="4"/>
        <v>79.5</v>
      </c>
      <c r="K23" s="642">
        <v>1</v>
      </c>
      <c r="L23" s="642">
        <v>-2</v>
      </c>
      <c r="M23" s="126" t="s">
        <v>258</v>
      </c>
      <c r="N23" s="273">
        <v>290000</v>
      </c>
      <c r="O23" s="273">
        <f t="shared" si="6"/>
        <v>244800</v>
      </c>
      <c r="P23" s="273">
        <v>255000</v>
      </c>
      <c r="Q23" s="273">
        <v>265000</v>
      </c>
      <c r="R23" s="273">
        <v>276000</v>
      </c>
      <c r="S23" s="273">
        <f>0.96*T23</f>
        <v>270720</v>
      </c>
      <c r="T23" s="1507">
        <v>282000</v>
      </c>
      <c r="U23" s="273">
        <f>0.96*V23</f>
        <v>281280</v>
      </c>
      <c r="V23" s="1507">
        <v>293000</v>
      </c>
      <c r="W23" s="273">
        <f>0.96*X23</f>
        <v>281280</v>
      </c>
      <c r="X23" s="1507">
        <v>293000</v>
      </c>
      <c r="Y23" s="274">
        <f t="shared" si="0"/>
        <v>1.0238907849829393E-2</v>
      </c>
      <c r="Z23" s="275">
        <f t="shared" si="1"/>
        <v>3647.7987421383646</v>
      </c>
      <c r="AA23" s="276">
        <f t="shared" si="2"/>
        <v>3538.1132075471696</v>
      </c>
      <c r="AB23" s="276">
        <f t="shared" si="3"/>
        <v>3685.5345911949685</v>
      </c>
      <c r="AC23" s="128"/>
      <c r="AD23" s="103">
        <v>45901</v>
      </c>
      <c r="AE23" s="575">
        <v>58000</v>
      </c>
      <c r="AF23" s="575"/>
      <c r="AG23" s="103"/>
      <c r="AH23" s="313"/>
      <c r="AI23" s="103"/>
      <c r="AJ23" s="575">
        <v>232000</v>
      </c>
      <c r="AK23" s="126" t="s">
        <v>17320</v>
      </c>
      <c r="AL23" s="126"/>
      <c r="AM23" s="126"/>
      <c r="AN23" s="126"/>
      <c r="AO23" s="126"/>
      <c r="AP23" s="1785" t="s">
        <v>18064</v>
      </c>
      <c r="AQ23" s="132" t="s">
        <v>565</v>
      </c>
      <c r="AR23" s="132"/>
      <c r="AS23" s="132"/>
      <c r="AT23" s="132"/>
      <c r="AU23" s="132"/>
      <c r="AV23" s="132"/>
      <c r="AW23" s="132"/>
      <c r="AX23" s="132"/>
      <c r="AY23" s="276"/>
      <c r="AZ23" s="276"/>
    </row>
    <row r="24" spans="1:52" s="334" customFormat="1" ht="13.5" hidden="1" customHeight="1">
      <c r="A24" s="126">
        <v>23</v>
      </c>
      <c r="B24" s="8" t="s">
        <v>49</v>
      </c>
      <c r="C24" s="545" t="s">
        <v>91</v>
      </c>
      <c r="D24" s="546">
        <v>3</v>
      </c>
      <c r="E24" s="546"/>
      <c r="F24" s="545">
        <v>78</v>
      </c>
      <c r="G24" s="549">
        <v>11</v>
      </c>
      <c r="H24" s="548"/>
      <c r="I24" s="548"/>
      <c r="J24" s="272">
        <f t="shared" si="4"/>
        <v>83.5</v>
      </c>
      <c r="K24" s="642">
        <v>1</v>
      </c>
      <c r="L24" s="642">
        <v>-2</v>
      </c>
      <c r="M24" s="126" t="s">
        <v>258</v>
      </c>
      <c r="N24" s="273">
        <v>298000</v>
      </c>
      <c r="O24" s="273">
        <f t="shared" si="6"/>
        <v>249600</v>
      </c>
      <c r="P24" s="273">
        <v>260000</v>
      </c>
      <c r="Q24" s="273">
        <v>270000</v>
      </c>
      <c r="R24" s="273">
        <v>281000</v>
      </c>
      <c r="S24" s="273">
        <f>0.96*T24</f>
        <v>275520</v>
      </c>
      <c r="T24" s="1507">
        <v>287000</v>
      </c>
      <c r="U24" s="273">
        <f>0.96*V24</f>
        <v>286080</v>
      </c>
      <c r="V24" s="1507">
        <v>298000</v>
      </c>
      <c r="W24" s="273">
        <f>0.96*X24</f>
        <v>286080</v>
      </c>
      <c r="X24" s="1507">
        <v>298000</v>
      </c>
      <c r="Y24" s="274">
        <f t="shared" si="0"/>
        <v>0</v>
      </c>
      <c r="Z24" s="275">
        <f t="shared" si="1"/>
        <v>3568.8622754491016</v>
      </c>
      <c r="AA24" s="276">
        <f t="shared" si="2"/>
        <v>3426.1077844311376</v>
      </c>
      <c r="AB24" s="276">
        <f>X24/J24</f>
        <v>3568.8622754491016</v>
      </c>
      <c r="AC24" s="128">
        <v>45824</v>
      </c>
      <c r="AD24" s="103">
        <v>45839</v>
      </c>
      <c r="AE24" s="575">
        <f>20%*N24</f>
        <v>59600</v>
      </c>
      <c r="AF24" s="575"/>
      <c r="AG24" s="103"/>
      <c r="AH24" s="313"/>
      <c r="AI24" s="103"/>
      <c r="AJ24" s="575">
        <f>80%*N24</f>
        <v>238400</v>
      </c>
      <c r="AK24" s="126" t="s">
        <v>17320</v>
      </c>
      <c r="AL24" s="126"/>
      <c r="AM24" s="126"/>
      <c r="AN24" s="126"/>
      <c r="AO24" s="126"/>
      <c r="AP24" s="126" t="s">
        <v>18033</v>
      </c>
      <c r="AQ24" s="132" t="s">
        <v>565</v>
      </c>
      <c r="AR24" s="132"/>
      <c r="AS24" s="132"/>
      <c r="AT24" s="132"/>
      <c r="AU24" s="132"/>
      <c r="AV24" s="132"/>
      <c r="AW24" s="132"/>
      <c r="AX24" s="132"/>
      <c r="AY24" s="276"/>
      <c r="AZ24" s="276"/>
    </row>
    <row r="25" spans="1:52" s="334" customFormat="1" ht="13.5" hidden="1" customHeight="1">
      <c r="A25" s="126">
        <v>24</v>
      </c>
      <c r="B25" s="8" t="s">
        <v>50</v>
      </c>
      <c r="C25" s="545" t="s">
        <v>91</v>
      </c>
      <c r="D25" s="546">
        <v>3</v>
      </c>
      <c r="E25" s="546"/>
      <c r="F25" s="545">
        <v>78</v>
      </c>
      <c r="G25" s="549">
        <v>11</v>
      </c>
      <c r="H25" s="548"/>
      <c r="I25" s="548"/>
      <c r="J25" s="272">
        <f t="shared" si="4"/>
        <v>83.5</v>
      </c>
      <c r="K25" s="642">
        <v>1</v>
      </c>
      <c r="L25" s="642">
        <v>-2</v>
      </c>
      <c r="M25" s="126" t="s">
        <v>258</v>
      </c>
      <c r="N25" s="273">
        <v>274560</v>
      </c>
      <c r="O25" s="1575">
        <f t="shared" si="6"/>
        <v>259200</v>
      </c>
      <c r="P25" s="1575">
        <v>270000</v>
      </c>
      <c r="Q25" s="1573">
        <v>275000</v>
      </c>
      <c r="R25" s="1573">
        <v>286000</v>
      </c>
      <c r="S25" s="1576">
        <v>275000</v>
      </c>
      <c r="T25" s="1576">
        <f>S25*1.04</f>
        <v>286000</v>
      </c>
      <c r="U25" s="273">
        <v>275000</v>
      </c>
      <c r="V25" s="273">
        <f>U25*1.04</f>
        <v>286000</v>
      </c>
      <c r="W25" s="273">
        <v>275000</v>
      </c>
      <c r="X25" s="273">
        <f>W25*1.04</f>
        <v>286000</v>
      </c>
      <c r="Y25" s="274">
        <f t="shared" si="0"/>
        <v>4.0000000000000036E-2</v>
      </c>
      <c r="Z25" s="275">
        <f t="shared" si="1"/>
        <v>3288.1437125748503</v>
      </c>
      <c r="AA25" s="276">
        <f t="shared" si="2"/>
        <v>3293.4131736526947</v>
      </c>
      <c r="AB25" s="276">
        <f t="shared" si="3"/>
        <v>3425.1497005988026</v>
      </c>
      <c r="AC25" s="128"/>
      <c r="AD25" s="103">
        <v>45531</v>
      </c>
      <c r="AE25" s="575">
        <f>10%*N25</f>
        <v>27456</v>
      </c>
      <c r="AF25" s="575">
        <f>10%*N25</f>
        <v>27456</v>
      </c>
      <c r="AG25" s="103"/>
      <c r="AH25" s="313"/>
      <c r="AI25" s="103"/>
      <c r="AJ25" s="575">
        <f>80%*N25</f>
        <v>219648</v>
      </c>
      <c r="AK25" s="126" t="s">
        <v>17320</v>
      </c>
      <c r="AL25" s="126"/>
      <c r="AM25" s="126"/>
      <c r="AN25" s="126"/>
      <c r="AO25" s="126"/>
      <c r="AP25" s="126"/>
      <c r="AQ25" s="132" t="s">
        <v>265</v>
      </c>
      <c r="AR25" s="132"/>
      <c r="AS25" s="132"/>
      <c r="AT25" s="132"/>
      <c r="AU25" s="132"/>
      <c r="AV25" s="132"/>
      <c r="AW25" s="132"/>
      <c r="AX25" s="132"/>
      <c r="AY25" s="276"/>
      <c r="AZ25" s="276"/>
    </row>
    <row r="26" spans="1:52" s="334" customFormat="1" ht="13.5" hidden="1" customHeight="1">
      <c r="A26" s="126">
        <v>25</v>
      </c>
      <c r="B26" s="8" t="s">
        <v>51</v>
      </c>
      <c r="C26" s="545" t="s">
        <v>91</v>
      </c>
      <c r="D26" s="546">
        <v>3</v>
      </c>
      <c r="E26" s="546"/>
      <c r="F26" s="545">
        <v>74</v>
      </c>
      <c r="G26" s="549">
        <v>11.34</v>
      </c>
      <c r="H26" s="548"/>
      <c r="I26" s="548"/>
      <c r="J26" s="272">
        <f t="shared" si="4"/>
        <v>79.67</v>
      </c>
      <c r="K26" s="642">
        <v>1</v>
      </c>
      <c r="L26" s="642">
        <v>-2</v>
      </c>
      <c r="M26" s="126" t="s">
        <v>258</v>
      </c>
      <c r="N26" s="273">
        <v>298000</v>
      </c>
      <c r="O26" s="273">
        <f t="shared" si="6"/>
        <v>254400</v>
      </c>
      <c r="P26" s="273">
        <v>265000</v>
      </c>
      <c r="Q26" s="273">
        <v>270000</v>
      </c>
      <c r="R26" s="273">
        <v>281000</v>
      </c>
      <c r="S26" s="273">
        <f>0.96*T26</f>
        <v>275520</v>
      </c>
      <c r="T26" s="1507">
        <v>287000</v>
      </c>
      <c r="U26" s="273">
        <f>0.96*V26</f>
        <v>286080</v>
      </c>
      <c r="V26" s="1507">
        <v>298000</v>
      </c>
      <c r="W26" s="273">
        <f>0.96*X26</f>
        <v>286080</v>
      </c>
      <c r="X26" s="1507">
        <v>298000</v>
      </c>
      <c r="Y26" s="274">
        <f t="shared" si="0"/>
        <v>0</v>
      </c>
      <c r="Z26" s="275">
        <f>N26/J26</f>
        <v>3740.4292707418099</v>
      </c>
      <c r="AA26" s="276">
        <f t="shared" si="2"/>
        <v>3590.8120999121375</v>
      </c>
      <c r="AB26" s="276">
        <f t="shared" si="3"/>
        <v>3740.4292707418099</v>
      </c>
      <c r="AC26" s="128"/>
      <c r="AD26" s="103">
        <v>45826</v>
      </c>
      <c r="AE26" s="1644">
        <f>20%*V26</f>
        <v>59600</v>
      </c>
      <c r="AF26" s="1216"/>
      <c r="AG26" s="1216"/>
      <c r="AH26" s="1216"/>
      <c r="AI26" s="103"/>
      <c r="AJ26" s="575">
        <f>80%*V26</f>
        <v>238400</v>
      </c>
      <c r="AK26" s="126" t="s">
        <v>17320</v>
      </c>
      <c r="AL26" s="126"/>
      <c r="AM26" s="126"/>
      <c r="AN26" s="126"/>
      <c r="AO26" s="126"/>
      <c r="AP26" s="126" t="s">
        <v>18034</v>
      </c>
      <c r="AQ26" s="132" t="s">
        <v>265</v>
      </c>
      <c r="AR26" s="132"/>
      <c r="AS26" s="132"/>
      <c r="AT26" s="132"/>
      <c r="AU26" s="132"/>
      <c r="AV26" s="132"/>
      <c r="AW26" s="132"/>
      <c r="AX26" s="132"/>
      <c r="AY26" s="276"/>
      <c r="AZ26" s="276"/>
    </row>
    <row r="27" spans="1:52" s="334" customFormat="1" ht="13.5" hidden="1" customHeight="1">
      <c r="A27" s="126">
        <v>26</v>
      </c>
      <c r="B27" s="8" t="s">
        <v>52</v>
      </c>
      <c r="C27" s="545" t="s">
        <v>91</v>
      </c>
      <c r="D27" s="546">
        <v>4</v>
      </c>
      <c r="E27" s="546"/>
      <c r="F27" s="545">
        <v>79</v>
      </c>
      <c r="G27" s="1311">
        <v>12</v>
      </c>
      <c r="H27" s="548"/>
      <c r="I27" s="548"/>
      <c r="J27" s="272">
        <f t="shared" si="4"/>
        <v>85</v>
      </c>
      <c r="K27" s="642">
        <v>1</v>
      </c>
      <c r="L27" s="642">
        <v>-2</v>
      </c>
      <c r="M27" s="126" t="s">
        <v>258</v>
      </c>
      <c r="N27" s="273">
        <v>286000</v>
      </c>
      <c r="O27" s="273">
        <f t="shared" si="6"/>
        <v>264000</v>
      </c>
      <c r="P27" s="273">
        <v>275000</v>
      </c>
      <c r="Q27" s="273">
        <v>280000</v>
      </c>
      <c r="R27" s="273">
        <v>291000</v>
      </c>
      <c r="S27" s="273">
        <f>0.96*T27</f>
        <v>284160</v>
      </c>
      <c r="T27" s="1507">
        <v>296000</v>
      </c>
      <c r="U27" s="273">
        <f>0.96*V27</f>
        <v>284160</v>
      </c>
      <c r="V27" s="1507">
        <v>296000</v>
      </c>
      <c r="W27" s="273">
        <f>0.96*X27</f>
        <v>284160</v>
      </c>
      <c r="X27" s="1507">
        <v>296000</v>
      </c>
      <c r="Y27" s="274">
        <f t="shared" si="0"/>
        <v>3.3783783783783772E-2</v>
      </c>
      <c r="Z27" s="275">
        <f t="shared" si="1"/>
        <v>3364.705882352941</v>
      </c>
      <c r="AA27" s="276">
        <f t="shared" si="2"/>
        <v>3343.0588235294117</v>
      </c>
      <c r="AB27" s="276">
        <f t="shared" si="3"/>
        <v>3482.3529411764707</v>
      </c>
      <c r="AC27" s="128"/>
      <c r="AD27" s="103">
        <v>45751</v>
      </c>
      <c r="AE27" s="575">
        <f>20%*N27</f>
        <v>57200</v>
      </c>
      <c r="AF27" s="575">
        <f>10%*N27</f>
        <v>28600</v>
      </c>
      <c r="AG27" s="103">
        <v>46022</v>
      </c>
      <c r="AH27" s="313">
        <f>10%*N27</f>
        <v>28600</v>
      </c>
      <c r="AI27" s="103">
        <v>46173</v>
      </c>
      <c r="AJ27" s="575">
        <v>171600</v>
      </c>
      <c r="AK27" s="126" t="s">
        <v>17320</v>
      </c>
      <c r="AL27" s="126"/>
      <c r="AM27" s="126"/>
      <c r="AN27" s="126"/>
      <c r="AO27" s="126"/>
      <c r="AP27" s="126" t="s">
        <v>17878</v>
      </c>
      <c r="AQ27" s="132" t="s">
        <v>17633</v>
      </c>
      <c r="AR27" s="132"/>
      <c r="AS27" s="132"/>
      <c r="AT27" s="132"/>
      <c r="AU27" s="132"/>
      <c r="AV27" s="132"/>
      <c r="AW27" s="132"/>
      <c r="AX27" s="132"/>
      <c r="AY27" s="276"/>
      <c r="AZ27" s="276"/>
    </row>
    <row r="28" spans="1:52" s="334" customFormat="1" ht="13.5" hidden="1" customHeight="1">
      <c r="A28" s="126">
        <v>27</v>
      </c>
      <c r="B28" s="11" t="s">
        <v>53</v>
      </c>
      <c r="C28" s="545" t="s">
        <v>89</v>
      </c>
      <c r="D28" s="546">
        <v>4</v>
      </c>
      <c r="E28" s="546"/>
      <c r="F28" s="545">
        <v>125</v>
      </c>
      <c r="G28" s="549">
        <v>40</v>
      </c>
      <c r="H28" s="548"/>
      <c r="I28" s="548"/>
      <c r="J28" s="272">
        <f t="shared" si="4"/>
        <v>145</v>
      </c>
      <c r="K28" s="642">
        <v>2</v>
      </c>
      <c r="L28" s="642">
        <v>-1</v>
      </c>
      <c r="M28" s="126" t="s">
        <v>258</v>
      </c>
      <c r="N28" s="273">
        <v>369600</v>
      </c>
      <c r="O28" s="1575">
        <f t="shared" si="6"/>
        <v>368640</v>
      </c>
      <c r="P28" s="1575">
        <v>384000</v>
      </c>
      <c r="Q28" s="1573">
        <v>370000</v>
      </c>
      <c r="R28" s="1573">
        <v>385000</v>
      </c>
      <c r="S28" s="1576">
        <v>370000</v>
      </c>
      <c r="T28" s="1576">
        <v>385000</v>
      </c>
      <c r="U28" s="273">
        <v>370000</v>
      </c>
      <c r="V28" s="273">
        <v>385000</v>
      </c>
      <c r="W28" s="273">
        <v>370000</v>
      </c>
      <c r="X28" s="273">
        <v>385000</v>
      </c>
      <c r="Y28" s="274">
        <f t="shared" si="0"/>
        <v>4.0000000000000036E-2</v>
      </c>
      <c r="Z28" s="275">
        <f t="shared" si="1"/>
        <v>2548.9655172413795</v>
      </c>
      <c r="AA28" s="276">
        <f t="shared" si="2"/>
        <v>2551.7241379310344</v>
      </c>
      <c r="AB28" s="276">
        <f t="shared" si="3"/>
        <v>2655.1724137931033</v>
      </c>
      <c r="AC28" s="128"/>
      <c r="AD28" s="103">
        <v>45531</v>
      </c>
      <c r="AE28" s="575">
        <v>73920</v>
      </c>
      <c r="AF28" s="575"/>
      <c r="AG28" s="103"/>
      <c r="AH28" s="313"/>
      <c r="AI28" s="103"/>
      <c r="AJ28" s="575">
        <v>295680</v>
      </c>
      <c r="AK28" s="126" t="s">
        <v>17320</v>
      </c>
      <c r="AL28" s="126"/>
      <c r="AM28" s="126"/>
      <c r="AN28" s="126"/>
      <c r="AO28" s="126"/>
      <c r="AP28" s="126" t="s">
        <v>17604</v>
      </c>
      <c r="AQ28" s="132" t="s">
        <v>265</v>
      </c>
      <c r="AR28" s="132"/>
      <c r="AS28" s="132"/>
      <c r="AT28" s="132"/>
      <c r="AU28" s="132"/>
      <c r="AV28" s="132"/>
      <c r="AW28" s="132"/>
      <c r="AX28" s="132"/>
      <c r="AY28" s="276"/>
      <c r="AZ28" s="276"/>
    </row>
    <row r="29" spans="1:52" s="334" customFormat="1" ht="13.5" hidden="1" customHeight="1">
      <c r="A29" s="126">
        <v>28</v>
      </c>
      <c r="B29" s="8" t="s">
        <v>54</v>
      </c>
      <c r="C29" s="545" t="s">
        <v>89</v>
      </c>
      <c r="D29" s="546">
        <v>4</v>
      </c>
      <c r="E29" s="546"/>
      <c r="F29" s="545">
        <v>111</v>
      </c>
      <c r="G29" s="549">
        <v>17</v>
      </c>
      <c r="H29" s="548"/>
      <c r="I29" s="548"/>
      <c r="J29" s="272">
        <f t="shared" si="4"/>
        <v>119.5</v>
      </c>
      <c r="K29" s="642">
        <v>1</v>
      </c>
      <c r="L29" s="642">
        <v>-1</v>
      </c>
      <c r="M29" s="126" t="s">
        <v>258</v>
      </c>
      <c r="N29" s="273">
        <v>350000</v>
      </c>
      <c r="O29" s="273">
        <f t="shared" si="6"/>
        <v>338880</v>
      </c>
      <c r="P29" s="273">
        <v>353000</v>
      </c>
      <c r="Q29" s="273">
        <v>335000</v>
      </c>
      <c r="R29" s="273">
        <v>348000</v>
      </c>
      <c r="S29" s="273">
        <f t="shared" ref="S29:S34" si="7">0.96*T29</f>
        <v>347520</v>
      </c>
      <c r="T29" s="1507">
        <v>362000</v>
      </c>
      <c r="U29" s="273">
        <f t="shared" ref="U29:U34" si="8">0.96*V29</f>
        <v>347520</v>
      </c>
      <c r="V29" s="1507">
        <v>362000</v>
      </c>
      <c r="W29" s="273">
        <f t="shared" ref="W29:W34" si="9">0.96*X29</f>
        <v>347520</v>
      </c>
      <c r="X29" s="1507">
        <v>362000</v>
      </c>
      <c r="Y29" s="274">
        <f t="shared" si="0"/>
        <v>3.3149171270718258E-2</v>
      </c>
      <c r="Z29" s="275">
        <f t="shared" si="1"/>
        <v>2928.8702928870293</v>
      </c>
      <c r="AA29" s="276">
        <f t="shared" si="2"/>
        <v>2908.1171548117154</v>
      </c>
      <c r="AB29" s="276">
        <f t="shared" si="3"/>
        <v>3029.2887029288704</v>
      </c>
      <c r="AC29" s="128">
        <v>45693</v>
      </c>
      <c r="AD29" s="103">
        <v>45748</v>
      </c>
      <c r="AE29" s="575">
        <f>20%*350000</f>
        <v>70000</v>
      </c>
      <c r="AF29" s="575"/>
      <c r="AG29" s="103"/>
      <c r="AH29" s="313"/>
      <c r="AI29" s="103"/>
      <c r="AJ29" s="575">
        <f>80%*350000</f>
        <v>280000</v>
      </c>
      <c r="AK29" s="126" t="s">
        <v>17320</v>
      </c>
      <c r="AL29" s="126"/>
      <c r="AM29" s="126"/>
      <c r="AN29" s="126"/>
      <c r="AO29" s="126"/>
      <c r="AP29" s="126" t="s">
        <v>17872</v>
      </c>
      <c r="AQ29" s="132" t="s">
        <v>565</v>
      </c>
      <c r="AR29" s="132"/>
      <c r="AS29" s="132"/>
      <c r="AT29" s="132"/>
      <c r="AU29" s="132"/>
      <c r="AV29" s="132"/>
      <c r="AW29" s="132"/>
      <c r="AX29" s="132"/>
      <c r="AY29" s="276"/>
      <c r="AZ29" s="276"/>
    </row>
    <row r="30" spans="1:52" s="334" customFormat="1" ht="13.5" hidden="1" customHeight="1">
      <c r="A30" s="126">
        <v>29</v>
      </c>
      <c r="B30" s="8" t="s">
        <v>55</v>
      </c>
      <c r="C30" s="545" t="s">
        <v>91</v>
      </c>
      <c r="D30" s="546">
        <v>4</v>
      </c>
      <c r="E30" s="546"/>
      <c r="F30" s="545">
        <v>74</v>
      </c>
      <c r="G30" s="549">
        <v>11</v>
      </c>
      <c r="H30" s="548"/>
      <c r="I30" s="548"/>
      <c r="J30" s="272">
        <f t="shared" si="4"/>
        <v>79.5</v>
      </c>
      <c r="K30" s="642">
        <v>1</v>
      </c>
      <c r="L30" s="642">
        <v>-2</v>
      </c>
      <c r="M30" s="126" t="s">
        <v>258</v>
      </c>
      <c r="N30" s="273">
        <v>295000</v>
      </c>
      <c r="O30" s="273">
        <f t="shared" si="6"/>
        <v>249600</v>
      </c>
      <c r="P30" s="273">
        <v>260000</v>
      </c>
      <c r="Q30" s="273">
        <v>270000</v>
      </c>
      <c r="R30" s="273">
        <v>281000</v>
      </c>
      <c r="S30" s="273">
        <f t="shared" si="7"/>
        <v>275520</v>
      </c>
      <c r="T30" s="1507">
        <v>287000</v>
      </c>
      <c r="U30" s="273">
        <f t="shared" si="8"/>
        <v>286080</v>
      </c>
      <c r="V30" s="1507">
        <v>298000</v>
      </c>
      <c r="W30" s="273">
        <f t="shared" si="9"/>
        <v>286080</v>
      </c>
      <c r="X30" s="1507">
        <v>298000</v>
      </c>
      <c r="Y30" s="274">
        <f t="shared" si="0"/>
        <v>1.0067114093959773E-2</v>
      </c>
      <c r="Z30" s="275">
        <f t="shared" si="1"/>
        <v>3710.6918238993712</v>
      </c>
      <c r="AA30" s="276">
        <f t="shared" si="2"/>
        <v>3598.4905660377358</v>
      </c>
      <c r="AB30" s="276">
        <f t="shared" si="3"/>
        <v>3748.4276729559747</v>
      </c>
      <c r="AC30" s="128"/>
      <c r="AD30" s="103">
        <v>45917</v>
      </c>
      <c r="AE30" s="575">
        <v>59000</v>
      </c>
      <c r="AF30" s="575"/>
      <c r="AG30" s="103"/>
      <c r="AH30" s="313"/>
      <c r="AI30" s="103"/>
      <c r="AJ30" s="575">
        <v>236000</v>
      </c>
      <c r="AK30" s="126" t="s">
        <v>17320</v>
      </c>
      <c r="AL30" s="126"/>
      <c r="AM30" s="550"/>
      <c r="AN30" s="126"/>
      <c r="AO30" s="126"/>
      <c r="AP30" s="132" t="s">
        <v>18352</v>
      </c>
      <c r="AQ30" s="132" t="s">
        <v>18353</v>
      </c>
      <c r="AR30" s="132"/>
      <c r="AS30" s="132"/>
      <c r="AT30" s="132"/>
      <c r="AU30" s="132"/>
      <c r="AV30" s="132"/>
      <c r="AW30" s="132"/>
      <c r="AX30" s="132"/>
      <c r="AY30" s="276"/>
      <c r="AZ30" s="276"/>
    </row>
    <row r="31" spans="1:52" s="334" customFormat="1" ht="13.5" hidden="1" customHeight="1">
      <c r="A31" s="126">
        <v>30</v>
      </c>
      <c r="B31" s="8" t="s">
        <v>56</v>
      </c>
      <c r="C31" s="545" t="s">
        <v>91</v>
      </c>
      <c r="D31" s="546">
        <v>4</v>
      </c>
      <c r="E31" s="546"/>
      <c r="F31" s="545">
        <v>78</v>
      </c>
      <c r="G31" s="549">
        <v>11</v>
      </c>
      <c r="H31" s="548"/>
      <c r="I31" s="548"/>
      <c r="J31" s="272">
        <f t="shared" si="4"/>
        <v>83.5</v>
      </c>
      <c r="K31" s="642">
        <v>1</v>
      </c>
      <c r="L31" s="642">
        <v>-2</v>
      </c>
      <c r="M31" s="126" t="s">
        <v>258</v>
      </c>
      <c r="N31" s="273">
        <v>303000</v>
      </c>
      <c r="O31" s="273">
        <f t="shared" si="6"/>
        <v>254400</v>
      </c>
      <c r="P31" s="273">
        <v>265000</v>
      </c>
      <c r="Q31" s="273">
        <v>275000</v>
      </c>
      <c r="R31" s="273">
        <v>286000</v>
      </c>
      <c r="S31" s="273">
        <f t="shared" si="7"/>
        <v>280320</v>
      </c>
      <c r="T31" s="1507">
        <v>292000</v>
      </c>
      <c r="U31" s="273">
        <f t="shared" si="8"/>
        <v>290880</v>
      </c>
      <c r="V31" s="1507">
        <v>303000</v>
      </c>
      <c r="W31" s="273">
        <f t="shared" si="9"/>
        <v>300480</v>
      </c>
      <c r="X31" s="1507">
        <v>313000</v>
      </c>
      <c r="Y31" s="274">
        <f t="shared" si="0"/>
        <v>3.1948881789137351E-2</v>
      </c>
      <c r="Z31" s="275">
        <f t="shared" si="1"/>
        <v>3628.7425149700598</v>
      </c>
      <c r="AA31" s="276">
        <f t="shared" si="2"/>
        <v>3598.5628742514969</v>
      </c>
      <c r="AB31" s="276">
        <f t="shared" si="3"/>
        <v>3748.5029940119762</v>
      </c>
      <c r="AC31" s="128">
        <v>45852</v>
      </c>
      <c r="AD31" s="103">
        <v>45860</v>
      </c>
      <c r="AE31" s="575">
        <f>10000+50600</f>
        <v>60600</v>
      </c>
      <c r="AF31" s="575"/>
      <c r="AG31" s="103"/>
      <c r="AH31" s="313"/>
      <c r="AI31" s="103"/>
      <c r="AJ31" s="575">
        <v>242400</v>
      </c>
      <c r="AK31" s="126" t="s">
        <v>17320</v>
      </c>
      <c r="AL31" s="126"/>
      <c r="AM31" s="126"/>
      <c r="AN31" s="126"/>
      <c r="AO31" s="126"/>
      <c r="AP31" s="126" t="s">
        <v>18052</v>
      </c>
      <c r="AQ31" s="132" t="s">
        <v>265</v>
      </c>
      <c r="AR31" s="132"/>
      <c r="AS31" s="132"/>
      <c r="AT31" s="132"/>
      <c r="AU31" s="132"/>
      <c r="AV31" s="132"/>
      <c r="AW31" s="132"/>
      <c r="AX31" s="132"/>
      <c r="AY31" s="276"/>
      <c r="AZ31" s="276"/>
    </row>
    <row r="32" spans="1:52" s="334" customFormat="1" ht="13.5" hidden="1" customHeight="1">
      <c r="A32" s="126">
        <v>31</v>
      </c>
      <c r="B32" s="8" t="s">
        <v>57</v>
      </c>
      <c r="C32" s="545" t="s">
        <v>91</v>
      </c>
      <c r="D32" s="546">
        <v>4</v>
      </c>
      <c r="E32" s="546"/>
      <c r="F32" s="545">
        <v>78</v>
      </c>
      <c r="G32" s="549">
        <v>11</v>
      </c>
      <c r="H32" s="549"/>
      <c r="I32" s="548"/>
      <c r="J32" s="272">
        <f t="shared" si="4"/>
        <v>83.5</v>
      </c>
      <c r="K32" s="642">
        <v>1</v>
      </c>
      <c r="L32" s="642">
        <v>-2</v>
      </c>
      <c r="M32" s="126" t="s">
        <v>258</v>
      </c>
      <c r="N32" s="273">
        <v>297000</v>
      </c>
      <c r="O32" s="273">
        <f t="shared" si="6"/>
        <v>264000</v>
      </c>
      <c r="P32" s="273">
        <v>275000</v>
      </c>
      <c r="Q32" s="273">
        <v>280000</v>
      </c>
      <c r="R32" s="273">
        <v>291000</v>
      </c>
      <c r="S32" s="273">
        <f t="shared" si="7"/>
        <v>285120</v>
      </c>
      <c r="T32" s="1507">
        <v>297000</v>
      </c>
      <c r="U32" s="273">
        <f t="shared" si="8"/>
        <v>285120</v>
      </c>
      <c r="V32" s="1507">
        <v>297000</v>
      </c>
      <c r="W32" s="273">
        <f t="shared" si="9"/>
        <v>285120</v>
      </c>
      <c r="X32" s="1507">
        <v>297000</v>
      </c>
      <c r="Y32" s="274">
        <f t="shared" si="0"/>
        <v>0</v>
      </c>
      <c r="Z32" s="275">
        <f t="shared" si="1"/>
        <v>3556.8862275449101</v>
      </c>
      <c r="AA32" s="276">
        <f t="shared" si="2"/>
        <v>3414.6107784431138</v>
      </c>
      <c r="AB32" s="276">
        <f t="shared" si="3"/>
        <v>3556.8862275449101</v>
      </c>
      <c r="AC32" s="128"/>
      <c r="AD32" s="103">
        <v>45749</v>
      </c>
      <c r="AE32" s="575">
        <v>44550</v>
      </c>
      <c r="AF32" s="575">
        <v>14850</v>
      </c>
      <c r="AG32" s="103">
        <f>(7*30)+AD32</f>
        <v>45959</v>
      </c>
      <c r="AH32" s="313"/>
      <c r="AI32" s="103"/>
      <c r="AJ32" s="575">
        <v>237600</v>
      </c>
      <c r="AK32" s="126" t="s">
        <v>17320</v>
      </c>
      <c r="AL32" s="126"/>
      <c r="AM32" s="550"/>
      <c r="AN32" s="126"/>
      <c r="AO32" s="126"/>
      <c r="AP32" s="132" t="s">
        <v>17901</v>
      </c>
      <c r="AQ32" s="132" t="s">
        <v>17902</v>
      </c>
      <c r="AR32" s="132"/>
      <c r="AS32" s="132"/>
      <c r="AT32" s="132"/>
      <c r="AU32" s="132"/>
      <c r="AV32" s="132"/>
      <c r="AW32" s="132"/>
      <c r="AX32" s="132"/>
      <c r="AY32" s="276"/>
      <c r="AZ32" s="276"/>
    </row>
    <row r="33" spans="1:79" s="334" customFormat="1" ht="13.5" hidden="1" customHeight="1">
      <c r="A33" s="126">
        <v>32</v>
      </c>
      <c r="B33" s="8" t="s">
        <v>58</v>
      </c>
      <c r="C33" s="545" t="s">
        <v>91</v>
      </c>
      <c r="D33" s="546">
        <v>4</v>
      </c>
      <c r="E33" s="546"/>
      <c r="F33" s="545">
        <v>74</v>
      </c>
      <c r="G33" s="549">
        <v>11.34</v>
      </c>
      <c r="H33" s="549"/>
      <c r="I33" s="548"/>
      <c r="J33" s="272">
        <f t="shared" si="4"/>
        <v>79.67</v>
      </c>
      <c r="K33" s="642">
        <v>1</v>
      </c>
      <c r="L33" s="642">
        <v>-2</v>
      </c>
      <c r="M33" s="126" t="s">
        <v>258</v>
      </c>
      <c r="N33" s="273">
        <v>292000</v>
      </c>
      <c r="O33" s="273">
        <f t="shared" si="6"/>
        <v>259200</v>
      </c>
      <c r="P33" s="273">
        <v>270000</v>
      </c>
      <c r="Q33" s="273">
        <v>275000</v>
      </c>
      <c r="R33" s="273">
        <v>286000</v>
      </c>
      <c r="S33" s="273">
        <f t="shared" si="7"/>
        <v>280320</v>
      </c>
      <c r="T33" s="1507">
        <v>292000</v>
      </c>
      <c r="U33" s="273">
        <f t="shared" si="8"/>
        <v>290880</v>
      </c>
      <c r="V33" s="1507">
        <v>303000</v>
      </c>
      <c r="W33" s="273">
        <f>0.96*X33</f>
        <v>290880</v>
      </c>
      <c r="X33" s="1507">
        <v>303000</v>
      </c>
      <c r="Y33" s="274">
        <f t="shared" si="0"/>
        <v>3.6303630363036299E-2</v>
      </c>
      <c r="Z33" s="275">
        <f t="shared" si="1"/>
        <v>3665.118614283921</v>
      </c>
      <c r="AA33" s="276">
        <f t="shared" si="2"/>
        <v>3651.0606250784485</v>
      </c>
      <c r="AB33" s="276">
        <f t="shared" si="3"/>
        <v>3803.1881511233837</v>
      </c>
      <c r="AC33" s="128"/>
      <c r="AD33" s="103">
        <v>45751</v>
      </c>
      <c r="AE33" s="575">
        <v>58400</v>
      </c>
      <c r="AF33" s="575"/>
      <c r="AG33" s="103"/>
      <c r="AH33" s="313"/>
      <c r="AI33" s="103"/>
      <c r="AJ33" s="575">
        <v>233600</v>
      </c>
      <c r="AK33" s="126" t="s">
        <v>17320</v>
      </c>
      <c r="AL33" s="126"/>
      <c r="AM33" s="550"/>
      <c r="AN33" s="126"/>
      <c r="AO33" s="126"/>
      <c r="AP33" s="132" t="s">
        <v>17921</v>
      </c>
      <c r="AQ33" s="132" t="s">
        <v>265</v>
      </c>
      <c r="AR33" s="132"/>
      <c r="AS33" s="132"/>
      <c r="AT33" s="132"/>
      <c r="AU33" s="132"/>
      <c r="AV33" s="132"/>
      <c r="AW33" s="132"/>
      <c r="AX33" s="132"/>
      <c r="AY33" s="276"/>
      <c r="AZ33" s="276"/>
    </row>
    <row r="34" spans="1:79" s="334" customFormat="1" ht="13.5" hidden="1" customHeight="1">
      <c r="A34" s="126">
        <v>33</v>
      </c>
      <c r="B34" s="11" t="s">
        <v>59</v>
      </c>
      <c r="C34" s="545" t="s">
        <v>91</v>
      </c>
      <c r="D34" s="546">
        <v>5</v>
      </c>
      <c r="E34" s="546"/>
      <c r="F34" s="545">
        <v>79</v>
      </c>
      <c r="G34" s="1311">
        <v>12</v>
      </c>
      <c r="H34" s="549"/>
      <c r="I34" s="548"/>
      <c r="J34" s="272">
        <f t="shared" si="4"/>
        <v>85</v>
      </c>
      <c r="K34" s="642">
        <v>1</v>
      </c>
      <c r="L34" s="642">
        <v>-2</v>
      </c>
      <c r="M34" s="126" t="s">
        <v>258</v>
      </c>
      <c r="N34" s="273">
        <v>303000</v>
      </c>
      <c r="O34" s="1575">
        <f t="shared" si="6"/>
        <v>268800</v>
      </c>
      <c r="P34" s="1575">
        <v>280000</v>
      </c>
      <c r="Q34" s="1573">
        <v>285000</v>
      </c>
      <c r="R34" s="1573">
        <v>297000</v>
      </c>
      <c r="S34" s="1576">
        <f t="shared" si="7"/>
        <v>290880</v>
      </c>
      <c r="T34" s="1577">
        <v>303000</v>
      </c>
      <c r="U34" s="273">
        <f t="shared" si="8"/>
        <v>290880</v>
      </c>
      <c r="V34" s="1507">
        <v>303000</v>
      </c>
      <c r="W34" s="273">
        <f t="shared" si="9"/>
        <v>290880</v>
      </c>
      <c r="X34" s="1507">
        <v>303000</v>
      </c>
      <c r="Y34" s="274">
        <f t="shared" si="0"/>
        <v>0</v>
      </c>
      <c r="Z34" s="275">
        <f t="shared" si="1"/>
        <v>3564.705882352941</v>
      </c>
      <c r="AA34" s="276">
        <f t="shared" si="2"/>
        <v>3422.1176470588234</v>
      </c>
      <c r="AB34" s="276">
        <f t="shared" si="3"/>
        <v>3564.705882352941</v>
      </c>
      <c r="AC34" s="128">
        <v>45701</v>
      </c>
      <c r="AD34" s="103">
        <v>45737</v>
      </c>
      <c r="AE34" s="575">
        <v>35000</v>
      </c>
      <c r="AF34" s="575">
        <v>25600</v>
      </c>
      <c r="AG34" s="103">
        <v>45870</v>
      </c>
      <c r="AH34" s="313"/>
      <c r="AI34" s="103"/>
      <c r="AJ34" s="575">
        <v>242400</v>
      </c>
      <c r="AK34" s="126" t="s">
        <v>17320</v>
      </c>
      <c r="AL34" s="126"/>
      <c r="AM34" s="550"/>
      <c r="AN34" s="126"/>
      <c r="AO34" s="126"/>
      <c r="AP34" s="132" t="s">
        <v>17879</v>
      </c>
      <c r="AQ34" s="132" t="s">
        <v>17693</v>
      </c>
      <c r="AR34" s="132"/>
      <c r="AS34" s="132"/>
      <c r="AT34" s="132"/>
      <c r="AU34" s="132"/>
      <c r="AV34" s="132"/>
      <c r="AW34" s="132"/>
      <c r="AX34" s="132"/>
      <c r="AY34" s="276"/>
      <c r="AZ34" s="276"/>
    </row>
    <row r="35" spans="1:79" s="334" customFormat="1" ht="13.5" hidden="1" customHeight="1">
      <c r="A35" s="126">
        <v>34</v>
      </c>
      <c r="B35" s="11" t="s">
        <v>61</v>
      </c>
      <c r="C35" s="545" t="s">
        <v>89</v>
      </c>
      <c r="D35" s="546">
        <v>5</v>
      </c>
      <c r="E35" s="546"/>
      <c r="F35" s="545">
        <v>125</v>
      </c>
      <c r="G35" s="549">
        <v>40</v>
      </c>
      <c r="H35" s="549"/>
      <c r="I35" s="548"/>
      <c r="J35" s="272">
        <f t="shared" si="4"/>
        <v>145</v>
      </c>
      <c r="K35" s="642">
        <v>2</v>
      </c>
      <c r="L35" s="642">
        <v>-1</v>
      </c>
      <c r="M35" s="126" t="s">
        <v>258</v>
      </c>
      <c r="N35" s="273">
        <v>384000</v>
      </c>
      <c r="O35" s="1575">
        <f t="shared" si="6"/>
        <v>373440</v>
      </c>
      <c r="P35" s="1575">
        <v>389000</v>
      </c>
      <c r="Q35" s="1573">
        <v>384000</v>
      </c>
      <c r="R35" s="1573">
        <v>400000</v>
      </c>
      <c r="S35" s="1576">
        <v>384000</v>
      </c>
      <c r="T35" s="1576">
        <v>400000</v>
      </c>
      <c r="U35" s="273">
        <v>384000</v>
      </c>
      <c r="V35" s="273">
        <v>400000</v>
      </c>
      <c r="W35" s="273">
        <v>384000</v>
      </c>
      <c r="X35" s="273">
        <v>400000</v>
      </c>
      <c r="Y35" s="274">
        <f t="shared" si="0"/>
        <v>4.0000000000000036E-2</v>
      </c>
      <c r="Z35" s="275">
        <f t="shared" si="1"/>
        <v>2648.2758620689656</v>
      </c>
      <c r="AA35" s="276">
        <f t="shared" si="2"/>
        <v>2648.2758620689656</v>
      </c>
      <c r="AB35" s="276">
        <f t="shared" si="3"/>
        <v>2758.6206896551726</v>
      </c>
      <c r="AC35" s="128"/>
      <c r="AD35" s="103">
        <v>45664</v>
      </c>
      <c r="AE35" s="575">
        <f>20%*N35</f>
        <v>76800</v>
      </c>
      <c r="AF35" s="575"/>
      <c r="AG35" s="103"/>
      <c r="AH35" s="313"/>
      <c r="AI35" s="103"/>
      <c r="AJ35" s="575">
        <f>80%*N35</f>
        <v>307200</v>
      </c>
      <c r="AK35" s="126" t="s">
        <v>17320</v>
      </c>
      <c r="AL35" s="126"/>
      <c r="AM35" s="550"/>
      <c r="AN35" s="126"/>
      <c r="AO35" s="126"/>
      <c r="AP35" s="132" t="s">
        <v>17823</v>
      </c>
      <c r="AQ35" s="132" t="s">
        <v>17824</v>
      </c>
      <c r="AR35" s="132"/>
      <c r="AS35" s="132"/>
      <c r="AT35" s="132"/>
      <c r="AU35" s="132"/>
      <c r="AV35" s="132"/>
      <c r="AW35" s="132"/>
      <c r="AX35" s="132"/>
      <c r="AY35" s="276"/>
      <c r="AZ35" s="276"/>
    </row>
    <row r="36" spans="1:79" s="334" customFormat="1" ht="13.5" hidden="1" customHeight="1">
      <c r="A36" s="126">
        <v>35</v>
      </c>
      <c r="B36" s="8" t="s">
        <v>62</v>
      </c>
      <c r="C36" s="545" t="s">
        <v>89</v>
      </c>
      <c r="D36" s="546">
        <v>5</v>
      </c>
      <c r="E36" s="546"/>
      <c r="F36" s="545">
        <v>111</v>
      </c>
      <c r="G36" s="549">
        <v>17</v>
      </c>
      <c r="H36" s="549"/>
      <c r="I36" s="548"/>
      <c r="J36" s="272">
        <f t="shared" si="4"/>
        <v>119.5</v>
      </c>
      <c r="K36" s="642">
        <v>2</v>
      </c>
      <c r="L36" s="642">
        <v>-1</v>
      </c>
      <c r="M36" s="126" t="s">
        <v>258</v>
      </c>
      <c r="N36" s="273">
        <v>374000</v>
      </c>
      <c r="O36" s="1575">
        <f t="shared" si="6"/>
        <v>343680</v>
      </c>
      <c r="P36" s="1575">
        <v>358000</v>
      </c>
      <c r="Q36" s="1573">
        <v>345000</v>
      </c>
      <c r="R36" s="1573">
        <v>359000</v>
      </c>
      <c r="S36" s="1576">
        <f>0.96*T36</f>
        <v>359040</v>
      </c>
      <c r="T36" s="1577">
        <v>374000</v>
      </c>
      <c r="U36" s="273">
        <f>0.96*V36</f>
        <v>359040</v>
      </c>
      <c r="V36" s="1507">
        <v>374000</v>
      </c>
      <c r="W36" s="273">
        <f>0.96*X36</f>
        <v>359040</v>
      </c>
      <c r="X36" s="1507">
        <v>374000</v>
      </c>
      <c r="Y36" s="274">
        <f t="shared" si="0"/>
        <v>0</v>
      </c>
      <c r="Z36" s="275">
        <f t="shared" si="1"/>
        <v>3129.7071129707115</v>
      </c>
      <c r="AA36" s="276">
        <f t="shared" si="2"/>
        <v>3004.5188284518827</v>
      </c>
      <c r="AB36" s="276">
        <f t="shared" si="3"/>
        <v>3129.7071129707115</v>
      </c>
      <c r="AC36" s="128">
        <v>45705</v>
      </c>
      <c r="AD36" s="103">
        <v>45714</v>
      </c>
      <c r="AE36" s="575">
        <v>74800</v>
      </c>
      <c r="AF36" s="575"/>
      <c r="AG36" s="103"/>
      <c r="AH36" s="313"/>
      <c r="AI36" s="103"/>
      <c r="AJ36" s="575">
        <v>299200</v>
      </c>
      <c r="AK36" s="126" t="s">
        <v>17320</v>
      </c>
      <c r="AL36" s="126"/>
      <c r="AM36" s="550"/>
      <c r="AN36" s="126"/>
      <c r="AO36" s="126"/>
      <c r="AP36" s="132" t="s">
        <v>17870</v>
      </c>
      <c r="AQ36" s="132" t="s">
        <v>17693</v>
      </c>
      <c r="AR36" s="132"/>
      <c r="AS36" s="132"/>
      <c r="AT36" s="132"/>
      <c r="AU36" s="132"/>
      <c r="AV36" s="132"/>
      <c r="AW36" s="132"/>
      <c r="AX36" s="132"/>
      <c r="AY36" s="276"/>
      <c r="AZ36" s="276"/>
    </row>
    <row r="37" spans="1:79" s="334" customFormat="1" ht="13.5" hidden="1" customHeight="1">
      <c r="A37" s="126">
        <v>36</v>
      </c>
      <c r="B37" s="8" t="s">
        <v>63</v>
      </c>
      <c r="C37" s="545" t="s">
        <v>91</v>
      </c>
      <c r="D37" s="546">
        <v>5</v>
      </c>
      <c r="E37" s="546"/>
      <c r="F37" s="545">
        <v>74</v>
      </c>
      <c r="G37" s="549">
        <v>11</v>
      </c>
      <c r="H37" s="549"/>
      <c r="I37" s="548"/>
      <c r="J37" s="272">
        <f t="shared" si="4"/>
        <v>79.5</v>
      </c>
      <c r="K37" s="642">
        <v>1</v>
      </c>
      <c r="L37" s="642">
        <v>-2</v>
      </c>
      <c r="M37" s="126" t="s">
        <v>258</v>
      </c>
      <c r="N37" s="273">
        <f>0.91*W37</f>
        <v>255091.20000000001</v>
      </c>
      <c r="O37" s="1575">
        <f>0.96*P37</f>
        <v>254400</v>
      </c>
      <c r="P37" s="1575">
        <v>265000</v>
      </c>
      <c r="Q37" s="273">
        <v>275000</v>
      </c>
      <c r="R37" s="273">
        <v>286000</v>
      </c>
      <c r="S37" s="1576">
        <f>0.96*T37</f>
        <v>280320</v>
      </c>
      <c r="T37" s="1577">
        <v>292000</v>
      </c>
      <c r="U37" s="273">
        <f>0.96*V37</f>
        <v>280320</v>
      </c>
      <c r="V37" s="1507">
        <v>292000</v>
      </c>
      <c r="W37" s="273">
        <f>0.96*X37</f>
        <v>280320</v>
      </c>
      <c r="X37" s="1507">
        <v>292000</v>
      </c>
      <c r="Y37" s="274">
        <f t="shared" si="0"/>
        <v>0.12639999999999996</v>
      </c>
      <c r="Z37" s="275">
        <f t="shared" si="1"/>
        <v>3208.6943396226416</v>
      </c>
      <c r="AA37" s="276">
        <f t="shared" si="2"/>
        <v>3526.0377358490564</v>
      </c>
      <c r="AB37" s="276">
        <f t="shared" si="3"/>
        <v>3672.9559748427673</v>
      </c>
      <c r="AC37" s="128"/>
      <c r="AD37" s="103">
        <v>45742</v>
      </c>
      <c r="AE37" s="575">
        <f>10%*N37</f>
        <v>25509.120000000003</v>
      </c>
      <c r="AF37" s="575"/>
      <c r="AG37" s="103"/>
      <c r="AH37" s="313"/>
      <c r="AI37" s="103"/>
      <c r="AJ37" s="575">
        <f>90%*N37</f>
        <v>229582.08000000002</v>
      </c>
      <c r="AK37" s="126" t="s">
        <v>274</v>
      </c>
      <c r="AL37" s="126"/>
      <c r="AM37" s="550"/>
      <c r="AN37" s="126"/>
      <c r="AO37" s="126"/>
      <c r="AP37" s="132" t="s">
        <v>17885</v>
      </c>
      <c r="AQ37" s="132" t="s">
        <v>265</v>
      </c>
      <c r="AR37" s="132"/>
      <c r="AS37" s="132"/>
      <c r="AT37" s="132"/>
      <c r="AU37" s="132"/>
      <c r="AV37" s="132"/>
      <c r="AW37" s="132"/>
      <c r="AX37" s="132"/>
      <c r="AY37" s="276"/>
      <c r="AZ37" s="276"/>
    </row>
    <row r="38" spans="1:79" s="334" customFormat="1" ht="13.5" hidden="1" customHeight="1">
      <c r="A38" s="126">
        <v>37</v>
      </c>
      <c r="B38" s="11" t="s">
        <v>64</v>
      </c>
      <c r="C38" s="545" t="s">
        <v>91</v>
      </c>
      <c r="D38" s="546">
        <v>5</v>
      </c>
      <c r="E38" s="546"/>
      <c r="F38" s="545">
        <v>78</v>
      </c>
      <c r="G38" s="549">
        <v>11</v>
      </c>
      <c r="H38" s="549"/>
      <c r="I38" s="548"/>
      <c r="J38" s="272">
        <f t="shared" si="4"/>
        <v>83.5</v>
      </c>
      <c r="K38" s="642">
        <v>1</v>
      </c>
      <c r="L38" s="642">
        <v>-2</v>
      </c>
      <c r="M38" s="126" t="s">
        <v>258</v>
      </c>
      <c r="N38" s="273">
        <v>297000</v>
      </c>
      <c r="O38" s="1575">
        <f>0.96*P38</f>
        <v>259200</v>
      </c>
      <c r="P38" s="1575">
        <v>270000</v>
      </c>
      <c r="Q38" s="1573">
        <v>280000</v>
      </c>
      <c r="R38" s="1573">
        <v>291000</v>
      </c>
      <c r="S38" s="1576">
        <f>0.96*T38</f>
        <v>285120</v>
      </c>
      <c r="T38" s="1577">
        <v>297000</v>
      </c>
      <c r="U38" s="273">
        <f>0.96*V38</f>
        <v>285120</v>
      </c>
      <c r="V38" s="1507">
        <v>297000</v>
      </c>
      <c r="W38" s="273">
        <f>0.96*X38</f>
        <v>285120</v>
      </c>
      <c r="X38" s="1507">
        <v>297000</v>
      </c>
      <c r="Y38" s="274">
        <f t="shared" si="0"/>
        <v>0</v>
      </c>
      <c r="Z38" s="275">
        <f t="shared" si="1"/>
        <v>3556.8862275449101</v>
      </c>
      <c r="AA38" s="276">
        <f t="shared" si="2"/>
        <v>3414.6107784431138</v>
      </c>
      <c r="AB38" s="276">
        <f t="shared" si="3"/>
        <v>3556.8862275449101</v>
      </c>
      <c r="AC38" s="128"/>
      <c r="AD38" s="103">
        <v>45737</v>
      </c>
      <c r="AE38" s="575">
        <f>20%*N38</f>
        <v>59400</v>
      </c>
      <c r="AF38" s="575"/>
      <c r="AG38" s="103"/>
      <c r="AH38" s="313"/>
      <c r="AI38" s="103"/>
      <c r="AJ38" s="575">
        <f>80%*N38</f>
        <v>237600</v>
      </c>
      <c r="AK38" s="126" t="s">
        <v>17320</v>
      </c>
      <c r="AL38" s="126"/>
      <c r="AM38" s="550"/>
      <c r="AN38" s="126"/>
      <c r="AO38" s="126"/>
      <c r="AP38" s="132" t="s">
        <v>17871</v>
      </c>
      <c r="AQ38" s="132" t="s">
        <v>17693</v>
      </c>
      <c r="AR38" s="132"/>
      <c r="AS38" s="132"/>
      <c r="AT38" s="132"/>
      <c r="AU38" s="132"/>
      <c r="AV38" s="132"/>
      <c r="AW38" s="132"/>
      <c r="AX38" s="132"/>
      <c r="AY38" s="276"/>
      <c r="AZ38" s="276"/>
    </row>
    <row r="39" spans="1:79" s="334" customFormat="1" ht="13.5" hidden="1" customHeight="1">
      <c r="A39" s="126">
        <v>38</v>
      </c>
      <c r="B39" s="8" t="s">
        <v>65</v>
      </c>
      <c r="C39" s="545" t="s">
        <v>91</v>
      </c>
      <c r="D39" s="546">
        <v>5</v>
      </c>
      <c r="E39" s="546"/>
      <c r="F39" s="545">
        <v>78</v>
      </c>
      <c r="G39" s="549">
        <v>11</v>
      </c>
      <c r="H39" s="549"/>
      <c r="I39" s="548"/>
      <c r="J39" s="272">
        <f t="shared" si="4"/>
        <v>83.5</v>
      </c>
      <c r="K39" s="642">
        <v>1</v>
      </c>
      <c r="L39" s="642">
        <v>-2</v>
      </c>
      <c r="M39" s="126" t="s">
        <v>258</v>
      </c>
      <c r="N39" s="273">
        <f>0.91*W39</f>
        <v>263827.20000000001</v>
      </c>
      <c r="O39" s="273">
        <f>0.96*P39</f>
        <v>268800</v>
      </c>
      <c r="P39" s="273">
        <v>280000</v>
      </c>
      <c r="Q39" s="273">
        <v>285000</v>
      </c>
      <c r="R39" s="273">
        <v>296000</v>
      </c>
      <c r="S39" s="273">
        <f>0.96*T39</f>
        <v>289920</v>
      </c>
      <c r="T39" s="1507">
        <v>302000</v>
      </c>
      <c r="U39" s="273">
        <f>0.96*V39</f>
        <v>289920</v>
      </c>
      <c r="V39" s="1507">
        <v>302000</v>
      </c>
      <c r="W39" s="273">
        <f>0.96*X39</f>
        <v>289920</v>
      </c>
      <c r="X39" s="1507">
        <v>302000</v>
      </c>
      <c r="Y39" s="274">
        <f t="shared" si="0"/>
        <v>0.12639999999999996</v>
      </c>
      <c r="Z39" s="275">
        <f t="shared" si="1"/>
        <v>3159.6071856287426</v>
      </c>
      <c r="AA39" s="276">
        <f t="shared" si="2"/>
        <v>3472.0958083832334</v>
      </c>
      <c r="AB39" s="276">
        <f t="shared" si="3"/>
        <v>3616.7664670658683</v>
      </c>
      <c r="AC39" s="128"/>
      <c r="AD39" s="103">
        <v>45755</v>
      </c>
      <c r="AE39" s="575">
        <f>10%*N39</f>
        <v>26382.720000000001</v>
      </c>
      <c r="AF39" s="575"/>
      <c r="AG39" s="103"/>
      <c r="AH39" s="313"/>
      <c r="AI39" s="103"/>
      <c r="AJ39" s="575">
        <f>90%*N39</f>
        <v>237444.48000000001</v>
      </c>
      <c r="AK39" s="126" t="s">
        <v>274</v>
      </c>
      <c r="AL39" s="126"/>
      <c r="AM39" s="126"/>
      <c r="AN39" s="126"/>
      <c r="AO39" s="126"/>
      <c r="AP39" s="132" t="s">
        <v>17886</v>
      </c>
      <c r="AQ39" s="132" t="s">
        <v>265</v>
      </c>
      <c r="AR39" s="132"/>
      <c r="AS39" s="132"/>
      <c r="AT39" s="132"/>
      <c r="AU39" s="132"/>
      <c r="AV39" s="132"/>
      <c r="AW39" s="132"/>
      <c r="AX39" s="132"/>
      <c r="AY39" s="276"/>
      <c r="AZ39" s="276"/>
    </row>
    <row r="40" spans="1:79" s="334" customFormat="1" ht="13.5" customHeight="1" thickBot="1">
      <c r="A40" s="126">
        <v>39</v>
      </c>
      <c r="B40" s="11" t="s">
        <v>66</v>
      </c>
      <c r="C40" s="545" t="s">
        <v>91</v>
      </c>
      <c r="D40" s="546">
        <v>5</v>
      </c>
      <c r="E40" s="546"/>
      <c r="F40" s="545">
        <v>74</v>
      </c>
      <c r="G40" s="549">
        <v>11.34</v>
      </c>
      <c r="H40" s="549"/>
      <c r="I40" s="548"/>
      <c r="J40" s="272">
        <f t="shared" si="4"/>
        <v>79.67</v>
      </c>
      <c r="K40" s="642">
        <v>1</v>
      </c>
      <c r="L40" s="642">
        <v>-2</v>
      </c>
      <c r="M40" s="126" t="s">
        <v>258</v>
      </c>
      <c r="N40" s="273">
        <v>316000</v>
      </c>
      <c r="O40" s="273">
        <f>0.96*P40</f>
        <v>264000</v>
      </c>
      <c r="P40" s="273">
        <v>275000</v>
      </c>
      <c r="Q40" s="273">
        <v>280000</v>
      </c>
      <c r="R40" s="273">
        <v>291000</v>
      </c>
      <c r="S40" s="273">
        <f>0.96*T40</f>
        <v>285120</v>
      </c>
      <c r="T40" s="1507">
        <v>297000</v>
      </c>
      <c r="U40" s="273">
        <f>0.96*V40</f>
        <v>295680</v>
      </c>
      <c r="V40" s="1507">
        <v>308000</v>
      </c>
      <c r="W40" s="273">
        <f>0.96*X40</f>
        <v>305280</v>
      </c>
      <c r="X40" s="1507">
        <v>318000</v>
      </c>
      <c r="Y40" s="274">
        <f t="shared" si="0"/>
        <v>6.2893081761006275E-3</v>
      </c>
      <c r="Z40" s="275">
        <f t="shared" si="1"/>
        <v>3966.3612401154764</v>
      </c>
      <c r="AA40" s="276">
        <f>W40/J40</f>
        <v>3831.8062005773818</v>
      </c>
      <c r="AB40" s="276">
        <f>X40/J40</f>
        <v>3991.4647922681061</v>
      </c>
      <c r="AC40" s="128">
        <v>45965</v>
      </c>
      <c r="AD40" s="103">
        <v>45979</v>
      </c>
      <c r="AE40" s="575">
        <f>5000+58200</f>
        <v>63200</v>
      </c>
      <c r="AF40" s="575"/>
      <c r="AG40" s="103"/>
      <c r="AH40" s="313"/>
      <c r="AI40" s="103"/>
      <c r="AJ40" s="575">
        <v>252800</v>
      </c>
      <c r="AK40" s="126" t="s">
        <v>17320</v>
      </c>
      <c r="AL40" s="126"/>
      <c r="AM40" s="550"/>
      <c r="AN40" s="126"/>
      <c r="AO40" s="126"/>
      <c r="AP40" s="132" t="s">
        <v>18385</v>
      </c>
      <c r="AQ40" s="132" t="s">
        <v>265</v>
      </c>
      <c r="AR40" s="132"/>
      <c r="AS40" s="132"/>
      <c r="AT40" s="132"/>
      <c r="AU40" s="132"/>
      <c r="AV40" s="132"/>
      <c r="AW40" s="132"/>
      <c r="AX40" s="132"/>
      <c r="AY40" s="276"/>
      <c r="AZ40" s="276"/>
    </row>
    <row r="41" spans="1:79" s="192" customFormat="1" ht="13.5" hidden="1" customHeight="1">
      <c r="F41" s="1465"/>
      <c r="G41" s="1147"/>
      <c r="J41" s="345">
        <f>SUM(J2:J40)</f>
        <v>3843.9850000000006</v>
      </c>
      <c r="K41" s="345"/>
      <c r="L41" s="345"/>
      <c r="N41" s="346"/>
      <c r="P41" s="345"/>
      <c r="Q41" s="345"/>
      <c r="R41" s="345"/>
      <c r="S41" s="345"/>
      <c r="T41" s="345"/>
      <c r="U41" s="345"/>
      <c r="V41" s="345"/>
      <c r="W41" s="345"/>
      <c r="X41" s="345"/>
      <c r="Y41" s="346"/>
      <c r="AC41" s="347"/>
      <c r="AD41" s="347"/>
      <c r="AE41" s="346"/>
      <c r="AF41" s="346"/>
      <c r="AG41" s="347"/>
      <c r="AH41" s="348"/>
      <c r="AI41" s="347"/>
      <c r="AJ41" s="346"/>
    </row>
    <row r="42" spans="1:79" s="192" customFormat="1" ht="13.5" hidden="1" customHeight="1" thickBot="1">
      <c r="F42" s="1465"/>
      <c r="G42" s="1147"/>
      <c r="N42" s="346"/>
      <c r="O42" s="346">
        <f>SUM(O2:O40)</f>
        <v>11040960</v>
      </c>
      <c r="P42" s="346">
        <f>SUM(P2:P40)</f>
        <v>11501000</v>
      </c>
      <c r="Q42" s="346"/>
      <c r="R42" s="346"/>
      <c r="S42" s="346"/>
      <c r="T42" s="346"/>
      <c r="U42" s="346"/>
      <c r="V42" s="346"/>
      <c r="W42" s="346">
        <f>SUM(W2:W40)</f>
        <v>11617360</v>
      </c>
      <c r="X42" s="346">
        <f>SUM(X2:X40)</f>
        <v>12095000</v>
      </c>
      <c r="AA42" s="346"/>
      <c r="AB42" s="346"/>
      <c r="AC42" s="347"/>
      <c r="AD42" s="348"/>
      <c r="AE42" s="346"/>
      <c r="AF42" s="346"/>
      <c r="AG42" s="348"/>
      <c r="AH42" s="347"/>
      <c r="AI42" s="348"/>
      <c r="AJ42" s="346"/>
    </row>
    <row r="43" spans="1:79" ht="13.5" hidden="1" customHeight="1">
      <c r="A43" s="196"/>
      <c r="B43" s="48"/>
      <c r="C43" s="48" t="s">
        <v>139</v>
      </c>
      <c r="D43" s="48" t="s">
        <v>140</v>
      </c>
      <c r="E43" s="197" t="s">
        <v>17</v>
      </c>
      <c r="F43" s="1465"/>
      <c r="G43" s="2016" t="s">
        <v>555</v>
      </c>
      <c r="H43" s="2017"/>
      <c r="I43" s="1465"/>
      <c r="J43" s="1465"/>
      <c r="K43" s="1465"/>
      <c r="L43" s="1465"/>
      <c r="M43" s="1465"/>
      <c r="N43" s="1465"/>
    </row>
    <row r="44" spans="1:79" ht="13.5" hidden="1" customHeight="1">
      <c r="A44" s="1996" t="s">
        <v>258</v>
      </c>
      <c r="B44" s="1997"/>
      <c r="C44" s="50">
        <f>COUNTIF(M2:M40,A44)</f>
        <v>39</v>
      </c>
      <c r="D44" s="51">
        <f>SUMIF(M2:M40,A44,N2:N40)</f>
        <v>11771318.399999999</v>
      </c>
      <c r="E44" s="76">
        <f>AVERAGEIF(M2:M40,A44,Z2:Z40)</f>
        <v>3160.85431921185</v>
      </c>
      <c r="F44" s="1465"/>
      <c r="G44" s="599">
        <v>2024</v>
      </c>
      <c r="H44" s="227">
        <f>COUNTIFS(AD2:AD40,"&gt;="&amp;DATE(2024,1,1),AD2:AD40,"&lt;="&amp;DATE(2024,12,31))</f>
        <v>12</v>
      </c>
      <c r="I44" s="1465"/>
      <c r="J44" s="1465"/>
      <c r="K44" s="1465"/>
      <c r="L44" s="1465"/>
      <c r="M44" s="1465"/>
      <c r="N44" s="1465"/>
    </row>
    <row r="45" spans="1:79" ht="13.5" hidden="1" customHeight="1">
      <c r="A45" s="2002" t="s">
        <v>102</v>
      </c>
      <c r="B45" s="2003"/>
      <c r="C45" s="53">
        <f>COUNTIF(M2:M40,A45)</f>
        <v>0</v>
      </c>
      <c r="D45" s="54">
        <f>SUMIF(M2:M40,A45,W2:W40)</f>
        <v>0</v>
      </c>
      <c r="E45" s="78" t="e">
        <f>AVERAGEIF(M2:M40,A45,AA2:AA40)</f>
        <v>#DIV/0!</v>
      </c>
      <c r="F45" s="1465"/>
      <c r="G45" s="599">
        <v>2025</v>
      </c>
      <c r="H45" s="227">
        <f>COUNTIFS(AD2:AD40,"&gt;="&amp;DATE(2025,1,1),AD2:AD40,"&lt;="&amp;DATE(2025,12,31))</f>
        <v>27</v>
      </c>
      <c r="I45" s="1465"/>
      <c r="J45" s="1465"/>
      <c r="K45" s="1465"/>
      <c r="L45" s="1465"/>
      <c r="M45" s="1465"/>
      <c r="N45" s="1465"/>
    </row>
    <row r="46" spans="1:79" ht="13.5" hidden="1" customHeight="1" thickBot="1">
      <c r="A46" s="2008" t="s">
        <v>138</v>
      </c>
      <c r="B46" s="2009"/>
      <c r="C46" s="138">
        <f>COUNTIF(M2:M40,"")</f>
        <v>0</v>
      </c>
      <c r="D46" s="200">
        <f>SUMIF(M2:M40,"",W2:W40)</f>
        <v>0</v>
      </c>
      <c r="E46" s="201" t="e">
        <f>AVERAGEIF(M2:M40,"",AA2:AA40)</f>
        <v>#DIV/0!</v>
      </c>
      <c r="F46" s="1465"/>
      <c r="G46" s="600">
        <v>2026</v>
      </c>
      <c r="H46" s="216">
        <f>COUNTIFS(AD2:AD40,"&gt;="&amp;DATE(2026,1,1),AD2:AD40,"&lt;="&amp;DATE(2026,12,31))</f>
        <v>0</v>
      </c>
      <c r="I46" s="1465"/>
      <c r="J46" s="1465"/>
      <c r="K46" s="1465"/>
      <c r="L46" s="1465"/>
      <c r="M46" s="1465"/>
      <c r="N46" s="1465"/>
    </row>
    <row r="47" spans="1:79" ht="13.5" hidden="1" customHeight="1" thickBot="1">
      <c r="A47" s="2010" t="s">
        <v>210</v>
      </c>
      <c r="B47" s="2011"/>
      <c r="C47" s="202">
        <f>COUNTIF(M1:M40,A47)</f>
        <v>0</v>
      </c>
      <c r="D47" s="203">
        <f>SUMIF(M2:M40,A47,N2:N40)</f>
        <v>0</v>
      </c>
      <c r="E47" s="204" t="e">
        <f>AVERAGEIF(M2:M40,A47,Z2:Z40)</f>
        <v>#DIV/0!</v>
      </c>
      <c r="F47" s="1465"/>
      <c r="G47" s="1465"/>
      <c r="H47" s="1465"/>
      <c r="I47" s="1465"/>
      <c r="J47" s="1465"/>
      <c r="K47" s="1465"/>
      <c r="L47" s="1465"/>
      <c r="M47" s="1465"/>
      <c r="N47" s="1465"/>
      <c r="U47" s="195"/>
    </row>
    <row r="48" spans="1:79" s="192" customFormat="1" ht="13.5" thickBot="1">
      <c r="A48" s="1895" t="s">
        <v>269</v>
      </c>
      <c r="B48" s="1896"/>
      <c r="C48" s="205">
        <f>SUBTOTAL(9,C44:C47)</f>
        <v>0</v>
      </c>
      <c r="D48" s="206">
        <f>SUBTOTAL(9,D44:D47)</f>
        <v>0</v>
      </c>
      <c r="E48" s="207">
        <f>D48/J41</f>
        <v>0</v>
      </c>
      <c r="F48" s="1465"/>
      <c r="G48" s="1149" t="s">
        <v>544</v>
      </c>
      <c r="H48" s="309" t="e">
        <f>(C44)/C48</f>
        <v>#DIV/0!</v>
      </c>
      <c r="I48" s="1465"/>
      <c r="J48" s="1465"/>
      <c r="K48" s="1465"/>
      <c r="L48" s="1465"/>
      <c r="M48" s="1465"/>
      <c r="N48" s="1465"/>
      <c r="O48" s="195"/>
      <c r="P48" s="195"/>
      <c r="Q48" s="195"/>
      <c r="R48" s="195"/>
      <c r="S48" s="195"/>
      <c r="T48" s="195"/>
      <c r="U48" s="195"/>
      <c r="V48" s="195"/>
      <c r="W48" s="188"/>
      <c r="X48" s="188"/>
      <c r="Y48" s="195"/>
      <c r="Z48" s="195"/>
      <c r="AA48" s="283"/>
      <c r="AB48" s="315"/>
      <c r="AC48" s="195"/>
      <c r="AD48" s="195"/>
      <c r="AE48" s="315"/>
      <c r="AF48" s="283"/>
      <c r="AG48" s="315"/>
      <c r="AH48" s="195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  <c r="AV48" s="188"/>
      <c r="AW48" s="188"/>
      <c r="AX48" s="188"/>
      <c r="AY48" s="188"/>
      <c r="AZ48" s="188"/>
      <c r="BA48" s="188"/>
      <c r="BB48" s="188"/>
      <c r="BC48" s="188"/>
      <c r="BD48" s="188"/>
      <c r="BE48" s="188"/>
      <c r="BF48" s="188"/>
      <c r="BG48" s="188"/>
      <c r="BH48" s="188"/>
      <c r="BI48" s="188"/>
      <c r="BJ48" s="188"/>
      <c r="BK48" s="188"/>
      <c r="BL48" s="188"/>
      <c r="BM48" s="188"/>
      <c r="BN48" s="188"/>
      <c r="BO48" s="188"/>
      <c r="BP48" s="188"/>
      <c r="BQ48" s="188"/>
      <c r="BR48" s="188"/>
      <c r="BS48" s="188"/>
      <c r="BT48" s="188"/>
      <c r="BU48" s="188"/>
      <c r="BV48" s="188"/>
      <c r="BW48" s="188"/>
      <c r="BX48" s="188"/>
      <c r="BY48" s="188"/>
      <c r="BZ48" s="188"/>
      <c r="CA48" s="188"/>
    </row>
    <row r="49" spans="1:34" ht="13.5" customHeight="1" thickBot="1">
      <c r="A49" s="1465"/>
      <c r="B49" s="1465"/>
      <c r="C49" s="1465"/>
      <c r="D49" s="1465"/>
      <c r="E49" s="1465"/>
      <c r="F49" s="1465"/>
      <c r="G49" s="1465"/>
      <c r="H49" s="1465"/>
      <c r="I49" s="1465"/>
      <c r="J49" s="1465"/>
      <c r="K49" s="1465"/>
      <c r="L49" s="1465"/>
      <c r="M49" s="1465"/>
      <c r="N49" s="1465"/>
      <c r="O49" s="188"/>
      <c r="P49" s="188"/>
      <c r="Q49" s="188"/>
      <c r="R49" s="188"/>
      <c r="S49" s="188"/>
      <c r="T49" s="188"/>
      <c r="U49" s="195"/>
      <c r="V49" s="195"/>
      <c r="W49" s="195"/>
      <c r="X49" s="195"/>
      <c r="Y49" s="283"/>
      <c r="Z49" s="315"/>
      <c r="AA49" s="195"/>
      <c r="AB49" s="195"/>
      <c r="AC49" s="315"/>
      <c r="AD49" s="283"/>
      <c r="AF49" s="195"/>
      <c r="AG49" s="188"/>
      <c r="AH49" s="188"/>
    </row>
    <row r="50" spans="1:34" ht="13.5" customHeight="1" thickBot="1">
      <c r="A50" s="2006" t="s">
        <v>139</v>
      </c>
      <c r="B50" s="2007"/>
      <c r="C50" s="48" t="s">
        <v>91</v>
      </c>
      <c r="D50" s="48" t="s">
        <v>89</v>
      </c>
      <c r="E50" s="359" t="s">
        <v>141</v>
      </c>
      <c r="F50" s="1465"/>
      <c r="G50" s="2018" t="s">
        <v>17315</v>
      </c>
      <c r="H50" s="2018"/>
      <c r="I50" s="2018"/>
      <c r="J50" s="2018"/>
      <c r="K50" s="2018"/>
      <c r="L50" s="2018"/>
      <c r="M50" s="2018"/>
      <c r="N50" s="2018"/>
      <c r="O50" s="2018"/>
      <c r="P50" s="2018"/>
      <c r="Q50" s="2018"/>
      <c r="R50" s="2018"/>
      <c r="S50" s="1571"/>
      <c r="T50" s="1571"/>
      <c r="U50" s="195"/>
      <c r="V50" s="195"/>
      <c r="W50" s="195"/>
      <c r="X50" s="195"/>
      <c r="Y50" s="283"/>
      <c r="Z50" s="315"/>
      <c r="AA50" s="195"/>
      <c r="AB50" s="195"/>
      <c r="AC50" s="315"/>
      <c r="AD50" s="283"/>
      <c r="AF50" s="195"/>
      <c r="AG50" s="188"/>
      <c r="AH50" s="188"/>
    </row>
    <row r="51" spans="1:34" ht="13.5" customHeight="1">
      <c r="A51" s="1996" t="s">
        <v>258</v>
      </c>
      <c r="B51" s="1997"/>
      <c r="C51" s="50">
        <f>COUNTIFS(M2:M40,A51,C2:C40,C50)</f>
        <v>26</v>
      </c>
      <c r="D51" s="50">
        <f>COUNTIFS(M2:M40,A51,C2:C40,D50)</f>
        <v>13</v>
      </c>
      <c r="E51" s="260">
        <f>SUM(C51:D51)</f>
        <v>39</v>
      </c>
      <c r="F51" s="1465"/>
      <c r="G51" s="695" t="s">
        <v>17303</v>
      </c>
      <c r="H51" s="691" t="s">
        <v>17304</v>
      </c>
      <c r="I51" s="692" t="s">
        <v>17305</v>
      </c>
      <c r="J51" s="693" t="s">
        <v>17306</v>
      </c>
      <c r="K51" s="693" t="s">
        <v>17307</v>
      </c>
      <c r="L51" s="693" t="s">
        <v>17308</v>
      </c>
      <c r="M51" s="694" t="s">
        <v>17309</v>
      </c>
      <c r="N51" s="694" t="s">
        <v>17310</v>
      </c>
      <c r="O51" s="694" t="s">
        <v>17311</v>
      </c>
      <c r="P51" s="694" t="s">
        <v>17312</v>
      </c>
      <c r="Q51" s="694" t="s">
        <v>17313</v>
      </c>
      <c r="R51" s="694" t="s">
        <v>17314</v>
      </c>
      <c r="S51" s="1572"/>
      <c r="T51" s="1572"/>
      <c r="U51" s="195"/>
      <c r="V51" s="195"/>
      <c r="W51" s="283"/>
      <c r="X51" s="315"/>
      <c r="AA51" s="315"/>
      <c r="AB51" s="283"/>
      <c r="AC51" s="315"/>
      <c r="AE51" s="188"/>
      <c r="AF51" s="188"/>
      <c r="AG51" s="188"/>
      <c r="AH51" s="188"/>
    </row>
    <row r="52" spans="1:34" ht="13.5" customHeight="1">
      <c r="A52" s="2002" t="s">
        <v>102</v>
      </c>
      <c r="B52" s="2015"/>
      <c r="C52" s="53">
        <f>COUNTIFS(M2:M40,A52,C2:C40,C50)</f>
        <v>0</v>
      </c>
      <c r="D52" s="53">
        <f>COUNTIFS(M2:M40,A52,C2:C40,D50)</f>
        <v>0</v>
      </c>
      <c r="E52" s="263">
        <f>SUM(C52:D52)</f>
        <v>0</v>
      </c>
      <c r="F52" s="1465"/>
      <c r="G52" s="695">
        <f>COUNTIFS(AD2:AD40,"&gt;="&amp;DATE(2024,1,1),AD2:AD40,"&lt;="&amp;DATE(2024,1,31))</f>
        <v>0</v>
      </c>
      <c r="H52" s="695">
        <f>COUNTIFS(AD2:AD40,"&gt;="&amp;DATE(2024,2,1),AD2:AD40,"&lt;="&amp;DATE(2024,2,29))</f>
        <v>0</v>
      </c>
      <c r="I52" s="695">
        <f>COUNTIFS(AD2:AD40,"&gt;="&amp;DATE(2024,3,1),AD2:AD40,"&lt;="&amp;DATE(2024,3,31))</f>
        <v>0</v>
      </c>
      <c r="J52" s="695">
        <f>COUNTIFS(AD2:AD40,"&gt;="&amp;DATE(2024,4,1),AD2:AD40,"&lt;="&amp;DATE(2024,4,31))</f>
        <v>0</v>
      </c>
      <c r="K52" s="695">
        <f>COUNTIFS(AD2:AD40,"&gt;="&amp;DATE(2024,5,1),AD2:AD40,"&lt;="&amp;DATE(2024,5,31))</f>
        <v>0</v>
      </c>
      <c r="L52" s="695">
        <f>COUNTIFS(AD2:AD40,"&gt;="&amp;DATE(2024,6,1),AD2:AD40,"&lt;="&amp;DATE(2024,6,31))</f>
        <v>0</v>
      </c>
      <c r="M52" s="695">
        <f>COUNTIFS(AD2:AD40,"&gt;="&amp;DATE(2024,7,1),AD2:AD40,"&lt;="&amp;DATE(2024,7,31))</f>
        <v>2</v>
      </c>
      <c r="N52" s="695">
        <f>COUNTIFS(AD2:AD40,"&gt;="&amp;DATE(2024,8,1),AD2:AD40,"&lt;="&amp;DATE(2024,8,31))</f>
        <v>4</v>
      </c>
      <c r="O52" s="695">
        <f>COUNTIFS(AD2:AD40,"&gt;="&amp;DATE(2024,9,1),AD2:AD40,"&lt;="&amp;DATE(2024,9,30))</f>
        <v>2</v>
      </c>
      <c r="P52" s="695">
        <f>COUNTIFS(AD2:AD40,"&gt;="&amp;DATE(2024,10,1),AD2:AD40,"&lt;="&amp;DATE(2024,10,31))</f>
        <v>1</v>
      </c>
      <c r="Q52" s="695">
        <f>COUNTIFS(AD2:AD40,"&gt;="&amp;DATE(2024,11,1),AD2:AD40,"&lt;="&amp;DATE(2024,11,30))</f>
        <v>2</v>
      </c>
      <c r="R52" s="695">
        <f>COUNTIFS(AD2:AD40,"&gt;="&amp;DATE(2024,12,1),AD2:AD40,"&lt;="&amp;DATE(2024,12,301))</f>
        <v>26</v>
      </c>
      <c r="S52" s="1465"/>
      <c r="T52" s="1465"/>
      <c r="U52" s="195"/>
      <c r="V52" s="195"/>
      <c r="W52" s="283"/>
      <c r="X52" s="315"/>
      <c r="AA52" s="315"/>
      <c r="AB52" s="283"/>
      <c r="AC52" s="315"/>
      <c r="AE52" s="188"/>
      <c r="AF52" s="188"/>
      <c r="AG52" s="188"/>
      <c r="AH52" s="188"/>
    </row>
    <row r="53" spans="1:34" ht="13.5" customHeight="1" thickBot="1">
      <c r="A53" s="1988" t="s">
        <v>138</v>
      </c>
      <c r="B53" s="1989"/>
      <c r="C53" s="138">
        <f>COUNTIFS(M2:M40,"",C2:C40,C50)</f>
        <v>0</v>
      </c>
      <c r="D53" s="138">
        <f>COUNTIFS(M2:M40,"",C2:C40,D50)</f>
        <v>0</v>
      </c>
      <c r="E53" s="377">
        <f>SUM(C53:D53)</f>
        <v>0</v>
      </c>
      <c r="F53" s="1465"/>
      <c r="G53" s="2018" t="s">
        <v>17817</v>
      </c>
      <c r="H53" s="2018"/>
      <c r="I53" s="2018"/>
      <c r="J53" s="2018"/>
      <c r="K53" s="2018"/>
      <c r="L53" s="2018"/>
      <c r="M53" s="2018"/>
      <c r="N53" s="2018"/>
      <c r="O53" s="2018"/>
      <c r="P53" s="2018"/>
      <c r="Q53" s="2018"/>
      <c r="R53" s="2018"/>
      <c r="S53" s="1571"/>
      <c r="T53" s="1571"/>
      <c r="U53" s="40"/>
      <c r="V53" s="40"/>
      <c r="W53" s="195"/>
      <c r="X53" s="195"/>
      <c r="Y53" s="332"/>
      <c r="Z53" s="315"/>
      <c r="AA53" s="195"/>
      <c r="AB53" s="195"/>
      <c r="AC53" s="315"/>
      <c r="AD53" s="283"/>
      <c r="AF53" s="195"/>
      <c r="AG53" s="188"/>
      <c r="AH53" s="188"/>
    </row>
    <row r="54" spans="1:34" ht="13.5" customHeight="1" thickBot="1">
      <c r="A54" s="1990" t="s">
        <v>210</v>
      </c>
      <c r="B54" s="1991"/>
      <c r="C54" s="202">
        <f>COUNTIFS(M2:M40,A54,C2:C40,C50)</f>
        <v>0</v>
      </c>
      <c r="D54" s="202">
        <f>COUNTIFS(M2:M40,A54,C2:C40,D50)</f>
        <v>0</v>
      </c>
      <c r="E54" s="378">
        <f>SUM(C54:D54)</f>
        <v>0</v>
      </c>
      <c r="F54" s="1465"/>
      <c r="G54" s="695" t="s">
        <v>17303</v>
      </c>
      <c r="H54" s="691" t="s">
        <v>17304</v>
      </c>
      <c r="I54" s="692" t="s">
        <v>17305</v>
      </c>
      <c r="J54" s="693" t="s">
        <v>17306</v>
      </c>
      <c r="K54" s="693" t="s">
        <v>17307</v>
      </c>
      <c r="L54" s="693" t="s">
        <v>17308</v>
      </c>
      <c r="M54" s="694" t="s">
        <v>17309</v>
      </c>
      <c r="N54" s="694" t="s">
        <v>17310</v>
      </c>
      <c r="O54" s="694" t="s">
        <v>17311</v>
      </c>
      <c r="P54" s="694" t="s">
        <v>17312</v>
      </c>
      <c r="Q54" s="694" t="s">
        <v>17313</v>
      </c>
      <c r="R54" s="694" t="s">
        <v>17314</v>
      </c>
      <c r="S54" s="1572"/>
      <c r="T54" s="1572"/>
      <c r="U54" s="40"/>
      <c r="V54" s="40"/>
      <c r="W54" s="195"/>
      <c r="X54" s="195"/>
      <c r="Y54" s="332"/>
      <c r="Z54" s="315"/>
      <c r="AA54" s="195"/>
      <c r="AB54" s="195"/>
      <c r="AC54" s="315"/>
      <c r="AD54" s="283"/>
      <c r="AF54" s="195"/>
      <c r="AG54" s="188"/>
      <c r="AH54" s="188"/>
    </row>
    <row r="55" spans="1:34" ht="13.5" customHeight="1" thickBot="1">
      <c r="A55" s="1992" t="s">
        <v>141</v>
      </c>
      <c r="B55" s="1993"/>
      <c r="C55" s="56">
        <f>SUM(C51:C54)</f>
        <v>26</v>
      </c>
      <c r="D55" s="56">
        <f>SUM(D51:D54)</f>
        <v>13</v>
      </c>
      <c r="E55" s="264">
        <f>SUM(E51:E54)</f>
        <v>39</v>
      </c>
      <c r="F55" s="1465"/>
      <c r="G55" s="695">
        <f>COUNTIFS(AD2:AD40,"&gt;="&amp;DATE(2025,1,1),AD2:AD40,"&lt;="&amp;DATE(2025,1,31))</f>
        <v>3</v>
      </c>
      <c r="H55" s="695">
        <f>COUNTIFS(AD2:AD40,"&gt;="&amp;DATE(2025,2,1),AD2:AD40,"&lt;="&amp;DATE(2025,2,28))</f>
        <v>2</v>
      </c>
      <c r="I55" s="695">
        <f>COUNTIFS(AD2:AD40,"&gt;="&amp;DATE(2025,3,1),AD2:AD40,"&lt;="&amp;DATE(2025,3,31))</f>
        <v>5</v>
      </c>
      <c r="J55" s="695">
        <f>COUNTIFS(AD2:AD40,"&gt;="&amp;DATE(2025,4,1),AD2:AD40,"&lt;="&amp;DATE(2025,4,30))</f>
        <v>7</v>
      </c>
      <c r="K55" s="695">
        <f>COUNTIFS(AD2:AD40,"&gt;="&amp;DATE(2025,5,1),AD2:AD40,"&lt;="&amp;DATE(2025,5,31))</f>
        <v>0</v>
      </c>
      <c r="L55" s="695">
        <f>COUNTIFS(AD2:AD40,"&gt;="&amp;DATE(2025,6,1),AD2:AD40,"&lt;="&amp;DATE(2025,6,30))</f>
        <v>2</v>
      </c>
      <c r="M55" s="695">
        <f>COUNTIFS(AD2:AD40,"&gt;="&amp;DATE(2025,7,1),AD2:AD40,"&lt;="&amp;DATE(2025,7,31))</f>
        <v>4</v>
      </c>
      <c r="N55" s="695">
        <f>COUNTIFS(AD2:AD40,"&gt;="&amp;DATE(2025,8,1),AD2:AD40,"&lt;="&amp;DATE(2025,8,31))</f>
        <v>0</v>
      </c>
      <c r="O55" s="695">
        <f>COUNTIFS(AD2:AD40,"&gt;="&amp;DATE(2025,9,1),AD2:AD40,"&lt;="&amp;DATE(2025,9,30))</f>
        <v>2</v>
      </c>
      <c r="P55" s="695">
        <f>COUNTIFS(AD2:AD40,"&gt;="&amp;DATE(2025,10,1),AD2:AD40,"&lt;="&amp;DATE(2025,10,31))</f>
        <v>0</v>
      </c>
      <c r="Q55" s="695">
        <f>COUNTIFS(AD2:AD40,"&gt;="&amp;DATE(2025,11,1),AD2:AD40,"&lt;="&amp;DATE(2025,11,30))</f>
        <v>2</v>
      </c>
      <c r="R55" s="695">
        <f>COUNTIFS(AD2:AD40,"&gt;="&amp;DATE(2025,12,1),AD2:AD40,"&lt;="&amp;DATE(2025,12,31))</f>
        <v>0</v>
      </c>
      <c r="S55" s="1465"/>
      <c r="T55" s="1465"/>
      <c r="U55" s="40"/>
      <c r="V55" s="40"/>
      <c r="W55" s="195"/>
      <c r="X55" s="195"/>
      <c r="Y55" s="283"/>
      <c r="Z55" s="315"/>
      <c r="AA55" s="195"/>
      <c r="AB55" s="195"/>
      <c r="AC55" s="315"/>
      <c r="AD55" s="283"/>
      <c r="AF55" s="195"/>
      <c r="AG55" s="188"/>
      <c r="AH55" s="188"/>
    </row>
    <row r="56" spans="1:34" ht="13.5" customHeight="1">
      <c r="A56" s="1465"/>
      <c r="B56" s="1465"/>
      <c r="C56" s="1465"/>
      <c r="D56" s="1465"/>
      <c r="E56" s="1465"/>
      <c r="F56" s="1465"/>
      <c r="G56" s="1465"/>
      <c r="H56" s="1465"/>
      <c r="I56" s="1465"/>
      <c r="J56" s="1465"/>
      <c r="K56" s="1465"/>
      <c r="L56" s="1465"/>
      <c r="M56" s="1465"/>
      <c r="N56" s="1465"/>
      <c r="O56" s="1465"/>
      <c r="P56" s="1465"/>
      <c r="Q56" s="1465"/>
      <c r="R56" s="1465"/>
      <c r="S56" s="1465"/>
      <c r="T56" s="1465"/>
      <c r="U56" s="40"/>
      <c r="V56" s="40"/>
      <c r="W56" s="195"/>
      <c r="X56" s="195"/>
      <c r="Y56" s="283"/>
      <c r="Z56" s="315"/>
      <c r="AA56" s="195"/>
      <c r="AB56" s="195"/>
      <c r="AC56" s="315"/>
      <c r="AD56" s="283"/>
      <c r="AF56" s="195"/>
      <c r="AG56" s="188"/>
      <c r="AH56" s="188"/>
    </row>
    <row r="57" spans="1:34" ht="13.5" customHeight="1" thickBot="1">
      <c r="A57" s="1465"/>
      <c r="B57" s="1465"/>
      <c r="C57" s="1465"/>
      <c r="D57" s="1465"/>
      <c r="E57" s="1465"/>
      <c r="F57" s="1465"/>
      <c r="G57" s="1465"/>
      <c r="H57" s="1465"/>
      <c r="I57" s="1465"/>
      <c r="J57" s="1465"/>
      <c r="K57" s="1465"/>
      <c r="L57" s="1465"/>
      <c r="M57" s="1465"/>
      <c r="N57" s="1465"/>
      <c r="O57" s="1465"/>
      <c r="P57" s="1465"/>
      <c r="Q57" s="1465"/>
      <c r="R57" s="1465"/>
      <c r="S57" s="1465"/>
      <c r="T57" s="1465"/>
      <c r="U57" s="40"/>
      <c r="V57" s="40"/>
      <c r="W57" s="195"/>
      <c r="X57" s="195"/>
      <c r="Y57" s="283"/>
      <c r="Z57" s="315"/>
      <c r="AA57" s="195"/>
      <c r="AB57" s="195"/>
      <c r="AC57" s="315"/>
      <c r="AD57" s="283"/>
      <c r="AF57" s="195"/>
      <c r="AG57" s="188"/>
      <c r="AH57" s="188"/>
    </row>
    <row r="58" spans="1:34" ht="13.5" customHeight="1">
      <c r="A58" s="1994" t="s">
        <v>142</v>
      </c>
      <c r="B58" s="1995"/>
      <c r="C58" s="48" t="s">
        <v>91</v>
      </c>
      <c r="D58" s="48" t="s">
        <v>89</v>
      </c>
      <c r="E58" s="359" t="s">
        <v>141</v>
      </c>
      <c r="F58" s="644"/>
      <c r="G58" s="644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195"/>
      <c r="X58" s="195"/>
      <c r="Y58" s="283"/>
      <c r="Z58" s="315"/>
      <c r="AA58" s="195"/>
      <c r="AB58" s="195"/>
      <c r="AC58" s="315"/>
      <c r="AD58" s="283"/>
      <c r="AF58" s="195"/>
      <c r="AG58" s="188"/>
      <c r="AH58" s="188"/>
    </row>
    <row r="59" spans="1:34" ht="13.5" customHeight="1" thickBot="1">
      <c r="A59" s="1996" t="s">
        <v>258</v>
      </c>
      <c r="B59" s="1997"/>
      <c r="C59" s="51">
        <f>AVERAGEIFS(Z2:Z40,M2:M40,A59,C2:C40,C58)</f>
        <v>3429.6983174147576</v>
      </c>
      <c r="D59" s="51">
        <f>AVERAGEIFS(Z2:Z40,M2:M40,A59,C2:C40,D58)</f>
        <v>2623.1663228060347</v>
      </c>
      <c r="E59" s="360">
        <f>AVERAGEIF(M2:M40,A59,Z2:Z40)</f>
        <v>3160.85431921185</v>
      </c>
      <c r="F59" s="644"/>
      <c r="G59" s="644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195"/>
      <c r="X59" s="195"/>
      <c r="Y59" s="283"/>
      <c r="Z59" s="315"/>
      <c r="AA59" s="195"/>
      <c r="AB59" s="195"/>
      <c r="AC59" s="315"/>
      <c r="AD59" s="283"/>
      <c r="AF59" s="195"/>
      <c r="AG59" s="188"/>
      <c r="AH59" s="188"/>
    </row>
    <row r="60" spans="1:34" ht="13.5" customHeight="1" thickBot="1">
      <c r="A60" s="2002" t="s">
        <v>102</v>
      </c>
      <c r="B60" s="2003"/>
      <c r="C60" s="54" t="e">
        <f>AVERAGEIFS(AA2:AA40,M2:M40,A60,C2:C40,C58)</f>
        <v>#DIV/0!</v>
      </c>
      <c r="D60" s="54" t="e">
        <f>AVERAGEIFS(AA2:AA40,M2:M40,A60,C2:C40,D58)</f>
        <v>#DIV/0!</v>
      </c>
      <c r="E60" s="361" t="e">
        <f>AVERAGEIF(M2:M40,A60,AA2:AA40)</f>
        <v>#DIV/0!</v>
      </c>
      <c r="F60" s="198"/>
      <c r="G60" s="1890" t="s">
        <v>17437</v>
      </c>
      <c r="H60" s="1891"/>
      <c r="I60" s="1891"/>
      <c r="J60" s="1892"/>
      <c r="K60" s="40"/>
      <c r="L60" s="1890" t="s">
        <v>17441</v>
      </c>
      <c r="M60" s="1891"/>
      <c r="N60" s="1891"/>
      <c r="O60" s="1892"/>
      <c r="P60" s="40"/>
      <c r="Q60" s="40"/>
      <c r="R60" s="40"/>
      <c r="S60" s="40"/>
      <c r="T60" s="40"/>
      <c r="U60" s="40"/>
      <c r="V60" s="40"/>
      <c r="W60" s="195"/>
      <c r="X60" s="195"/>
      <c r="Y60" s="283"/>
      <c r="Z60" s="315"/>
      <c r="AA60" s="195"/>
      <c r="AB60" s="195"/>
      <c r="AC60" s="315"/>
      <c r="AD60" s="283"/>
      <c r="AF60" s="195"/>
      <c r="AG60" s="188"/>
      <c r="AH60" s="188"/>
    </row>
    <row r="61" spans="1:34" ht="13.5" customHeight="1">
      <c r="A61" s="2004" t="s">
        <v>138</v>
      </c>
      <c r="B61" s="2005"/>
      <c r="C61" s="80" t="e">
        <f>AVERAGEIFS(AA2:AA40,M2:M40,"",C2:C40,C58)</f>
        <v>#DIV/0!</v>
      </c>
      <c r="D61" s="80" t="e">
        <f>AVERAGEIFS(AA2:AA40,M2:M40,"",C2:C40,D58)</f>
        <v>#DIV/0!</v>
      </c>
      <c r="E61" s="81" t="e">
        <f>AVERAGEIF(M2:M40,"",AA2:AA40)</f>
        <v>#DIV/0!</v>
      </c>
      <c r="F61" s="198"/>
      <c r="G61" s="1150"/>
      <c r="H61" s="1011" t="s">
        <v>17438</v>
      </c>
      <c r="I61" s="1011">
        <v>2024</v>
      </c>
      <c r="J61" s="1011" t="s">
        <v>17444</v>
      </c>
      <c r="K61" s="40"/>
      <c r="L61" s="1010"/>
      <c r="M61" s="1011" t="s">
        <v>17438</v>
      </c>
      <c r="N61" s="1011">
        <v>2024</v>
      </c>
      <c r="O61" s="1013" t="s">
        <v>17444</v>
      </c>
      <c r="P61" s="40"/>
      <c r="Q61" s="40"/>
      <c r="R61" s="40"/>
      <c r="S61" s="40"/>
      <c r="T61" s="40"/>
      <c r="U61" s="40"/>
      <c r="V61" s="40"/>
      <c r="W61" s="195"/>
      <c r="X61" s="195"/>
      <c r="Y61" s="283"/>
      <c r="Z61" s="315"/>
      <c r="AA61" s="195"/>
      <c r="AB61" s="195"/>
      <c r="AC61" s="315"/>
      <c r="AD61" s="283"/>
      <c r="AF61" s="195"/>
      <c r="AG61" s="188"/>
      <c r="AH61" s="188"/>
    </row>
    <row r="62" spans="1:34" ht="13.5" customHeight="1" thickBot="1">
      <c r="A62" s="2000" t="s">
        <v>210</v>
      </c>
      <c r="B62" s="2001"/>
      <c r="C62" s="60" t="e">
        <f>AVERAGEIFS(Z2:Z40,M2:M40,A62,C2:C40,C58)</f>
        <v>#DIV/0!</v>
      </c>
      <c r="D62" s="60" t="e">
        <f>AVERAGEIFS(Z2:Z40,M2:M40,A62,C2:C40,D58)</f>
        <v>#DIV/0!</v>
      </c>
      <c r="E62" s="363" t="e">
        <f>AVERAGEIF(M2:M40,A62,Z2:Z40)</f>
        <v>#DIV/0!</v>
      </c>
      <c r="F62" s="198"/>
      <c r="G62" s="436" t="s">
        <v>150</v>
      </c>
      <c r="H62" s="129" cm="1">
        <f t="array" ref="H62">COUNTIFS(M2:M40,CPCV,AK2:AK40,G62)</f>
        <v>0</v>
      </c>
      <c r="I62" s="129">
        <f>COUNTIFS(AD2:AD40,"&gt;="&amp;DATE(2024,1,1),AD2:AD40,"&lt;="&amp;DATE(2024,12,31),AK2:AK40,G62)</f>
        <v>12</v>
      </c>
      <c r="J62" s="129" t="e">
        <f>H62/(H62+H63+H64)</f>
        <v>#DIV/0!</v>
      </c>
      <c r="K62" s="40"/>
      <c r="L62" s="34" t="s">
        <v>265</v>
      </c>
      <c r="M62" s="719">
        <f t="shared" ref="M62:M68" si="10">COUNTIFS($M$2:$M$40,$M$35,$AQ$2:$AQ$40,L62)</f>
        <v>21</v>
      </c>
      <c r="N62" s="129">
        <f>COUNTIFS(AD2:AD40,"&gt;="&amp;DATE(2024,1,1),AD2:AD40,"&lt;="&amp;DATE(2024,12,31),AQ2:AQ40,L62)</f>
        <v>10</v>
      </c>
      <c r="O62" s="1014" t="e">
        <f>M62/(SUM($P$70:$P$76))</f>
        <v>#DIV/0!</v>
      </c>
      <c r="P62" s="40"/>
      <c r="Q62" s="40"/>
      <c r="R62" s="40"/>
      <c r="S62" s="40"/>
      <c r="T62" s="40"/>
      <c r="U62" s="40"/>
      <c r="V62" s="40"/>
      <c r="W62" s="195"/>
      <c r="X62" s="195"/>
      <c r="Y62" s="283"/>
      <c r="Z62" s="315"/>
      <c r="AA62" s="195"/>
      <c r="AB62" s="195"/>
      <c r="AC62" s="315"/>
      <c r="AD62" s="283"/>
      <c r="AF62" s="195"/>
      <c r="AG62" s="188"/>
      <c r="AH62" s="188"/>
    </row>
    <row r="63" spans="1:34" ht="13.5" customHeight="1" thickBot="1">
      <c r="E63" s="332"/>
      <c r="F63" s="198"/>
      <c r="G63" s="1001" t="s">
        <v>17439</v>
      </c>
      <c r="H63" s="129" cm="1">
        <f t="array" ref="H63">COUNTIFS(M2:M40,CPCV,AK2:AK40,G63)</f>
        <v>0</v>
      </c>
      <c r="I63" s="129">
        <f>COUNTIFS(AD2:AD40,"&gt;="&amp;DATE(2024,1,1),AD2:AD40,"&lt;="&amp;DATE(2024,12,31),AK2:AK40,G63)</f>
        <v>0</v>
      </c>
      <c r="J63" s="343" t="e">
        <f>H63/(H62+H63+H64)</f>
        <v>#DIV/0!</v>
      </c>
      <c r="K63" s="40"/>
      <c r="L63" s="34" t="s">
        <v>517</v>
      </c>
      <c r="M63" s="719">
        <f t="shared" si="10"/>
        <v>0</v>
      </c>
      <c r="N63" s="129">
        <f>COUNTIFS(AD2:AD40,"&gt;="&amp;DATE(2024,1,1),AD2:AD40,"&lt;="&amp;DATE(2024,12,31),AQ2:AQ40,L63)</f>
        <v>0</v>
      </c>
      <c r="O63" s="1014" t="e">
        <f t="shared" ref="O63:O68" si="11">M63/(SUM($P$70:$P$76))</f>
        <v>#DIV/0!</v>
      </c>
      <c r="P63" s="40"/>
      <c r="Q63" s="40"/>
      <c r="R63" s="40"/>
      <c r="S63" s="40"/>
      <c r="T63" s="40"/>
      <c r="U63" s="40"/>
      <c r="V63" s="40"/>
      <c r="W63" s="195"/>
      <c r="X63" s="195"/>
      <c r="Y63" s="283"/>
      <c r="Z63" s="315"/>
      <c r="AA63" s="195"/>
      <c r="AB63" s="195"/>
      <c r="AC63" s="315"/>
      <c r="AD63" s="283"/>
      <c r="AF63" s="195"/>
      <c r="AG63" s="188"/>
      <c r="AH63" s="188"/>
    </row>
    <row r="64" spans="1:34" ht="13.5" customHeight="1">
      <c r="A64" s="1994" t="s">
        <v>192</v>
      </c>
      <c r="B64" s="1995"/>
      <c r="C64" s="48" t="s">
        <v>91</v>
      </c>
      <c r="D64" s="48" t="s">
        <v>89</v>
      </c>
      <c r="E64" s="359" t="s">
        <v>141</v>
      </c>
      <c r="F64" s="198"/>
      <c r="G64" s="1001" t="s">
        <v>17440</v>
      </c>
      <c r="H64" s="129" cm="1">
        <f t="array" ref="H64">COUNTIFS(M2:M40,CPCV,AK2:AK40,G64)</f>
        <v>0</v>
      </c>
      <c r="I64" s="129">
        <f>COUNTIFS(AD2:AD40,"&gt;="&amp;DATE(2024,1,1),AD2:AD40,"&lt;="&amp;DATE(2024,12,31),AK2:AK40,G64)</f>
        <v>0</v>
      </c>
      <c r="J64" s="343" t="e">
        <f>H64/(H62+H63+H64)</f>
        <v>#DIV/0!</v>
      </c>
      <c r="K64" s="40"/>
      <c r="L64" s="34" t="s">
        <v>565</v>
      </c>
      <c r="M64" s="719">
        <f t="shared" si="10"/>
        <v>7</v>
      </c>
      <c r="N64" s="129">
        <f>COUNTIFS(AD2:AD40,"&gt;="&amp;DATE(2024,1,1),AD2:AD40,"&lt;="&amp;DATE(2024,12,31),AQ2:AQ40,L64)</f>
        <v>0</v>
      </c>
      <c r="O64" s="1014" t="e">
        <f t="shared" si="11"/>
        <v>#DIV/0!</v>
      </c>
      <c r="P64" s="40"/>
      <c r="Q64" s="40"/>
      <c r="R64" s="40"/>
      <c r="S64" s="40"/>
      <c r="T64" s="40"/>
      <c r="W64" s="195"/>
      <c r="X64" s="195"/>
      <c r="Y64" s="283"/>
      <c r="Z64" s="315"/>
      <c r="AA64" s="195"/>
      <c r="AB64" s="195"/>
      <c r="AC64" s="315"/>
      <c r="AD64" s="283"/>
      <c r="AF64" s="195"/>
      <c r="AG64" s="188"/>
      <c r="AH64" s="188"/>
    </row>
    <row r="65" spans="1:34" ht="13.5" customHeight="1">
      <c r="A65" s="1996" t="s">
        <v>258</v>
      </c>
      <c r="B65" s="1997"/>
      <c r="C65" s="51">
        <f>AVERAGEIFS(N2:N40,M2:M40,A65,C2:C40,C64)</f>
        <v>281859.93846153846</v>
      </c>
      <c r="D65" s="51">
        <f>AVERAGEIFS(N2:N40,M2:M40,A65,C2:C40,D64)</f>
        <v>341766.15384615387</v>
      </c>
      <c r="E65" s="76">
        <f>AVERAGEIF(M2:M40,A65,N2:N40)</f>
        <v>301828.67692307691</v>
      </c>
      <c r="F65" s="198"/>
      <c r="G65" s="644"/>
      <c r="H65" s="40"/>
      <c r="I65" s="40"/>
      <c r="J65" s="40"/>
      <c r="K65" s="40"/>
      <c r="L65" s="22" t="s">
        <v>17721</v>
      </c>
      <c r="M65" s="719">
        <f t="shared" si="10"/>
        <v>1</v>
      </c>
      <c r="N65" s="5">
        <f>COUNTIFS(AD2:AD40,"&gt;="&amp;DATE(2024,1,1),AD2:AD40,"&lt;="&amp;DATE(2024,12,31),AQ2:AQ40,L65)</f>
        <v>1</v>
      </c>
      <c r="O65" s="1014" t="e">
        <f t="shared" si="11"/>
        <v>#DIV/0!</v>
      </c>
      <c r="P65" s="40"/>
      <c r="Q65" s="40"/>
      <c r="R65" s="40"/>
      <c r="S65" s="40"/>
      <c r="T65" s="40"/>
      <c r="W65" s="195"/>
      <c r="X65" s="195"/>
      <c r="Y65" s="283"/>
      <c r="Z65" s="315"/>
      <c r="AA65" s="195"/>
      <c r="AB65" s="195"/>
      <c r="AC65" s="315"/>
      <c r="AD65" s="283"/>
      <c r="AF65" s="195"/>
      <c r="AG65" s="188"/>
      <c r="AH65" s="188"/>
    </row>
    <row r="66" spans="1:34" ht="13.5" customHeight="1">
      <c r="A66" s="2002" t="s">
        <v>102</v>
      </c>
      <c r="B66" s="2003"/>
      <c r="C66" s="54" t="e">
        <f>AVERAGEIFS(N2:N40,M2:M40,A66,C2:C40,C64)</f>
        <v>#DIV/0!</v>
      </c>
      <c r="D66" s="54" t="e">
        <f>AVERAGEIFS(N2:N40,M2:M40,A66,C2:C40,D64)</f>
        <v>#DIV/0!</v>
      </c>
      <c r="E66" s="361" t="e">
        <f>AVERAGEIF(M2:M40,A66,N2:N40)</f>
        <v>#DIV/0!</v>
      </c>
      <c r="F66" s="198"/>
      <c r="G66" s="644"/>
      <c r="H66" s="40"/>
      <c r="I66" s="40"/>
      <c r="J66" s="40"/>
      <c r="K66" s="40"/>
      <c r="L66" s="130" t="s">
        <v>17824</v>
      </c>
      <c r="M66" s="719">
        <f t="shared" si="10"/>
        <v>1</v>
      </c>
      <c r="N66" s="5">
        <f>COUNTIFS(AD2:AD40,"&gt;="&amp;DATE(2024,1,1),AD2:AD40,"&lt;="&amp;DATE(2024,12,31),AQ2:AQ40,L66)</f>
        <v>0</v>
      </c>
      <c r="O66" s="1014" t="e">
        <f t="shared" si="11"/>
        <v>#DIV/0!</v>
      </c>
      <c r="P66" s="40"/>
      <c r="Q66" s="40"/>
      <c r="R66" s="40"/>
      <c r="S66" s="40"/>
      <c r="T66" s="40"/>
      <c r="W66" s="195"/>
      <c r="X66" s="195"/>
      <c r="Y66" s="283"/>
      <c r="Z66" s="315"/>
      <c r="AA66" s="195"/>
      <c r="AB66" s="195"/>
      <c r="AC66" s="315"/>
      <c r="AD66" s="283"/>
      <c r="AF66" s="195"/>
      <c r="AG66" s="188"/>
      <c r="AH66" s="188"/>
    </row>
    <row r="67" spans="1:34" ht="13.5" customHeight="1" thickBot="1">
      <c r="A67" s="1998" t="s">
        <v>138</v>
      </c>
      <c r="B67" s="1999"/>
      <c r="C67" s="85" t="e">
        <f>AVERAGEIFS(W2:W40,M2:M40,"",C2:C40,C64)</f>
        <v>#DIV/0!</v>
      </c>
      <c r="D67" s="85" t="e">
        <f>AVERAGEIFS(W2:W40,M2:M40,"",C2:C40,D64)</f>
        <v>#DIV/0!</v>
      </c>
      <c r="E67" s="362" t="e">
        <f>AVERAGEIF(M2:M40,"",W2:W40)</f>
        <v>#DIV/0!</v>
      </c>
      <c r="F67" s="198"/>
      <c r="G67" s="644"/>
      <c r="H67" s="40"/>
      <c r="I67" s="40"/>
      <c r="J67" s="40"/>
      <c r="K67" s="40"/>
      <c r="L67" s="5" t="s">
        <v>514</v>
      </c>
      <c r="M67" s="719">
        <f t="shared" si="10"/>
        <v>1</v>
      </c>
      <c r="N67" s="5">
        <f>COUNTIFS(AD2:AD40,"&gt;="&amp;DATE(2024,1,1),AD2:AD40,"&lt;="&amp;DATE(2024,12,31),AQ2:AQ40,L67)</f>
        <v>1</v>
      </c>
      <c r="O67" s="1014" t="e">
        <f t="shared" si="11"/>
        <v>#DIV/0!</v>
      </c>
      <c r="P67" s="40"/>
      <c r="Q67" s="40"/>
      <c r="R67" s="40"/>
      <c r="S67" s="40"/>
      <c r="T67" s="40"/>
      <c r="W67" s="195"/>
      <c r="X67" s="195"/>
      <c r="Y67" s="283"/>
      <c r="Z67" s="315"/>
      <c r="AA67" s="195"/>
      <c r="AB67" s="195"/>
      <c r="AC67" s="315"/>
      <c r="AD67" s="283"/>
      <c r="AF67" s="195"/>
      <c r="AG67" s="188"/>
      <c r="AH67" s="188"/>
    </row>
    <row r="68" spans="1:34" ht="13.5" customHeight="1" thickBot="1">
      <c r="A68" s="2000" t="s">
        <v>210</v>
      </c>
      <c r="B68" s="2001"/>
      <c r="C68" s="60" t="e">
        <f>AVERAGEIFS(N2:N40,M2:M40,A68,C2:C40,C64)</f>
        <v>#DIV/0!</v>
      </c>
      <c r="D68" s="60" t="e">
        <f>AVERAGEIFS(N2:N40,M2:M40,A68,C2:C40,D64)</f>
        <v>#DIV/0!</v>
      </c>
      <c r="E68" s="363" t="e">
        <f>AVERAGEIF(M2:M40,"",N2:N40)</f>
        <v>#DIV/0!</v>
      </c>
      <c r="F68" s="198"/>
      <c r="G68" s="644"/>
      <c r="H68" s="40"/>
      <c r="I68" s="40"/>
      <c r="J68" s="40"/>
      <c r="K68" s="40"/>
      <c r="L68" s="5" t="s">
        <v>17421</v>
      </c>
      <c r="M68" s="719">
        <f t="shared" si="10"/>
        <v>0</v>
      </c>
      <c r="N68" s="5">
        <f>COUNTIFS(AD2:AD40,"&gt;="&amp;DATE(2024,1,1),AD2:AD40,"&lt;="&amp;DATE(2024,12,31),AQ2:AQ40,L68)</f>
        <v>0</v>
      </c>
      <c r="O68" s="1014" t="e">
        <f t="shared" si="11"/>
        <v>#DIV/0!</v>
      </c>
      <c r="P68" s="40"/>
      <c r="Q68" s="40"/>
      <c r="R68" s="40"/>
      <c r="S68" s="40"/>
      <c r="T68" s="40"/>
      <c r="W68" s="195"/>
      <c r="X68" s="195"/>
      <c r="Y68" s="283"/>
      <c r="Z68" s="315"/>
      <c r="AA68" s="195"/>
      <c r="AB68" s="195"/>
      <c r="AC68" s="315"/>
      <c r="AD68" s="283"/>
      <c r="AF68" s="195"/>
      <c r="AG68" s="188"/>
      <c r="AH68" s="188"/>
    </row>
    <row r="69" spans="1:34" ht="13.5" customHeight="1" thickBot="1">
      <c r="E69" s="332"/>
      <c r="F69" s="198"/>
      <c r="M69" s="195"/>
      <c r="O69" s="188"/>
      <c r="P69" s="188"/>
      <c r="Q69" s="188"/>
      <c r="R69" s="188"/>
      <c r="S69" s="188"/>
      <c r="T69" s="188"/>
      <c r="W69" s="195"/>
      <c r="X69" s="195"/>
      <c r="Y69" s="283"/>
      <c r="Z69" s="315"/>
      <c r="AA69" s="195"/>
      <c r="AB69" s="195"/>
      <c r="AC69" s="315"/>
      <c r="AD69" s="283"/>
      <c r="AF69" s="195"/>
      <c r="AG69" s="188"/>
      <c r="AH69" s="188"/>
    </row>
    <row r="70" spans="1:34" ht="13.5" customHeight="1">
      <c r="A70" s="1994" t="s">
        <v>234</v>
      </c>
      <c r="B70" s="1995"/>
      <c r="C70" s="48" t="s">
        <v>91</v>
      </c>
      <c r="D70" s="48" t="s">
        <v>89</v>
      </c>
      <c r="E70" s="359" t="s">
        <v>141</v>
      </c>
      <c r="F70" s="198"/>
      <c r="M70" s="195"/>
      <c r="O70" s="188"/>
      <c r="P70" s="188"/>
      <c r="Q70" s="188"/>
      <c r="R70" s="188"/>
      <c r="S70" s="188"/>
      <c r="T70" s="188"/>
      <c r="W70" s="195"/>
      <c r="X70" s="195"/>
      <c r="Y70" s="283"/>
      <c r="Z70" s="315"/>
      <c r="AA70" s="195"/>
      <c r="AB70" s="195"/>
      <c r="AC70" s="315"/>
      <c r="AD70" s="283"/>
      <c r="AF70" s="195"/>
      <c r="AG70" s="188"/>
      <c r="AH70" s="188"/>
    </row>
    <row r="71" spans="1:34" ht="13.5" customHeight="1">
      <c r="A71" s="1996" t="s">
        <v>258</v>
      </c>
      <c r="B71" s="1997"/>
      <c r="C71" s="258">
        <f>AVERAGEIFS(J2:J40,C2:C40,C70,M2:M40,A71)</f>
        <v>82.233653846153857</v>
      </c>
      <c r="D71" s="258">
        <f>AVERAGEIFS(J2:J40,C2:C40,D70,M2:M40,A71)</f>
        <v>131.22384615384615</v>
      </c>
      <c r="E71" s="360">
        <f>AVERAGEIF(M2:M40,A71,J2:J40)</f>
        <v>98.563717948717965</v>
      </c>
      <c r="F71" s="198"/>
      <c r="M71" s="195"/>
      <c r="O71" s="188"/>
      <c r="P71" s="188"/>
      <c r="Q71" s="188"/>
      <c r="R71" s="188"/>
      <c r="S71" s="188"/>
      <c r="T71" s="188"/>
      <c r="W71" s="195"/>
      <c r="X71" s="195"/>
      <c r="Y71" s="283"/>
      <c r="Z71" s="315"/>
      <c r="AA71" s="195"/>
      <c r="AB71" s="195"/>
      <c r="AC71" s="315"/>
      <c r="AD71" s="283"/>
      <c r="AF71" s="195"/>
      <c r="AG71" s="188"/>
      <c r="AH71" s="188"/>
    </row>
    <row r="72" spans="1:34" ht="13.5" customHeight="1">
      <c r="A72" s="2002" t="s">
        <v>102</v>
      </c>
      <c r="B72" s="2003"/>
      <c r="C72" s="261" t="e">
        <f>AVERAGEIFS(J2:J40,C2:C40,C70,M2:M40,A72)</f>
        <v>#DIV/0!</v>
      </c>
      <c r="D72" s="261" t="e">
        <f>AVERAGEIFS(J2:J40,C2:C40,D70,M2:M40,A72)</f>
        <v>#DIV/0!</v>
      </c>
      <c r="E72" s="361" t="e">
        <f>AVERAGEIF(M2:M40,A72,J2:J40)</f>
        <v>#DIV/0!</v>
      </c>
      <c r="F72" s="198"/>
      <c r="M72" s="195"/>
      <c r="O72" s="188"/>
      <c r="P72" s="188"/>
      <c r="Q72" s="188"/>
      <c r="R72" s="188"/>
      <c r="S72" s="188"/>
      <c r="T72" s="188"/>
      <c r="W72" s="195"/>
      <c r="X72" s="195"/>
      <c r="Y72" s="283"/>
      <c r="Z72" s="315"/>
      <c r="AA72" s="195"/>
      <c r="AB72" s="195"/>
      <c r="AC72" s="315"/>
      <c r="AD72" s="283"/>
      <c r="AF72" s="195"/>
      <c r="AG72" s="188"/>
      <c r="AH72" s="188"/>
    </row>
    <row r="73" spans="1:34" ht="13.5" customHeight="1" thickBot="1">
      <c r="A73" s="1998" t="s">
        <v>138</v>
      </c>
      <c r="B73" s="1999"/>
      <c r="C73" s="221" t="e">
        <f>AVERAGEIFS(J2:J40,C2:C40,C70,M2:M40,"")</f>
        <v>#DIV/0!</v>
      </c>
      <c r="D73" s="221" t="e">
        <f>AVERAGEIFS(J2:J40,C2:C40,D70,M2:M40,"")</f>
        <v>#DIV/0!</v>
      </c>
      <c r="E73" s="362" t="e">
        <f>AVERAGEIF(M2:M40,"",J2:J40)</f>
        <v>#DIV/0!</v>
      </c>
      <c r="F73" s="198"/>
      <c r="M73" s="195"/>
      <c r="O73" s="188"/>
      <c r="P73" s="188"/>
      <c r="Q73" s="188"/>
      <c r="R73" s="188"/>
      <c r="S73" s="188"/>
      <c r="T73" s="188"/>
      <c r="W73" s="195"/>
      <c r="X73" s="195"/>
      <c r="Y73" s="283"/>
      <c r="Z73" s="315"/>
      <c r="AA73" s="195"/>
      <c r="AB73" s="195"/>
      <c r="AC73" s="315"/>
      <c r="AD73" s="283"/>
      <c r="AF73" s="195"/>
      <c r="AG73" s="188"/>
      <c r="AH73" s="188"/>
    </row>
    <row r="74" spans="1:34" ht="13.5" customHeight="1" thickBot="1">
      <c r="A74" s="2000" t="s">
        <v>210</v>
      </c>
      <c r="B74" s="2001"/>
      <c r="C74" s="265" t="e">
        <f>AVERAGEIFS(N13:N58,M13:M58,A74,C13:C48,C70)</f>
        <v>#VALUE!</v>
      </c>
      <c r="D74" s="265" t="e">
        <f>AVERAGEIFS(N13:N58,M13:M58,A74,C13:C48,D70)</f>
        <v>#VALUE!</v>
      </c>
      <c r="E74" s="363" t="e">
        <f>AVERAGEIF(M2:M40,A74,J2:J40)</f>
        <v>#DIV/0!</v>
      </c>
      <c r="F74" s="198"/>
      <c r="M74" s="195"/>
      <c r="O74" s="188"/>
      <c r="P74" s="188"/>
      <c r="Q74" s="188"/>
      <c r="R74" s="188"/>
      <c r="S74" s="188"/>
      <c r="T74" s="188"/>
      <c r="W74" s="195"/>
      <c r="X74" s="195"/>
      <c r="Y74" s="283"/>
      <c r="Z74" s="315"/>
      <c r="AA74" s="195"/>
      <c r="AB74" s="195"/>
      <c r="AC74" s="315"/>
      <c r="AD74" s="283"/>
      <c r="AF74" s="195"/>
      <c r="AG74" s="188"/>
      <c r="AH74" s="188"/>
    </row>
    <row r="75" spans="1:34">
      <c r="O75" s="188"/>
      <c r="P75" s="188"/>
      <c r="Q75" s="188"/>
      <c r="R75" s="188"/>
      <c r="S75" s="188"/>
      <c r="T75" s="188"/>
    </row>
    <row r="76" spans="1:34">
      <c r="O76" s="188"/>
      <c r="P76" s="188"/>
      <c r="Q76" s="188"/>
      <c r="R76" s="188"/>
      <c r="S76" s="188"/>
      <c r="T76" s="188"/>
    </row>
    <row r="77" spans="1:34">
      <c r="O77" s="188"/>
      <c r="P77" s="188"/>
      <c r="Q77" s="188"/>
      <c r="R77" s="188"/>
      <c r="S77" s="188"/>
      <c r="T77" s="188"/>
    </row>
    <row r="78" spans="1:34">
      <c r="O78" s="188"/>
      <c r="P78" s="188"/>
      <c r="Q78" s="188"/>
      <c r="R78" s="188"/>
      <c r="S78" s="188"/>
      <c r="T78" s="188"/>
    </row>
    <row r="79" spans="1:34">
      <c r="O79" s="188"/>
      <c r="P79" s="188"/>
      <c r="Q79" s="188"/>
      <c r="R79" s="188"/>
      <c r="S79" s="188"/>
      <c r="T79" s="188"/>
    </row>
    <row r="80" spans="1:34">
      <c r="R80" s="188"/>
      <c r="S80" s="188"/>
      <c r="T80" s="188"/>
    </row>
    <row r="81" spans="18:20">
      <c r="R81" s="188"/>
      <c r="S81" s="188"/>
      <c r="T81" s="188"/>
    </row>
    <row r="82" spans="18:20">
      <c r="R82" s="188"/>
      <c r="S82" s="188"/>
      <c r="T82" s="188"/>
    </row>
    <row r="83" spans="18:20">
      <c r="R83" s="188"/>
      <c r="S83" s="188"/>
      <c r="T83" s="188"/>
    </row>
    <row r="84" spans="18:20">
      <c r="R84" s="188"/>
      <c r="S84" s="188"/>
      <c r="T84" s="188"/>
    </row>
    <row r="85" spans="18:20">
      <c r="R85" s="188"/>
      <c r="S85" s="188"/>
      <c r="T85" s="188"/>
    </row>
    <row r="86" spans="18:20">
      <c r="R86" s="188"/>
      <c r="S86" s="188"/>
      <c r="T86" s="188"/>
    </row>
    <row r="87" spans="18:20">
      <c r="R87" s="188"/>
      <c r="S87" s="188"/>
      <c r="T87" s="188"/>
    </row>
    <row r="88" spans="18:20">
      <c r="R88" s="188"/>
      <c r="S88" s="188"/>
      <c r="T88" s="188"/>
    </row>
    <row r="89" spans="18:20">
      <c r="R89" s="188"/>
      <c r="S89" s="188"/>
      <c r="T89" s="188"/>
    </row>
    <row r="90" spans="18:20">
      <c r="R90" s="188"/>
      <c r="S90" s="188"/>
      <c r="T90" s="188"/>
    </row>
  </sheetData>
  <autoFilter ref="A1:CC47" xr:uid="{6A7C5C91-F90A-4C88-9073-03AD7794D9E8}">
    <filterColumn colId="29">
      <filters>
        <dateGroupItem year="2025" month="11" dateTimeGrouping="month"/>
      </filters>
    </filterColumn>
  </autoFilter>
  <mergeCells count="31">
    <mergeCell ref="A64:B64"/>
    <mergeCell ref="A61:B61"/>
    <mergeCell ref="A62:B62"/>
    <mergeCell ref="A72:B72"/>
    <mergeCell ref="A73:B73"/>
    <mergeCell ref="A74:B74"/>
    <mergeCell ref="A65:B65"/>
    <mergeCell ref="A66:B66"/>
    <mergeCell ref="A67:B67"/>
    <mergeCell ref="A68:B68"/>
    <mergeCell ref="A70:B70"/>
    <mergeCell ref="A71:B71"/>
    <mergeCell ref="G60:J60"/>
    <mergeCell ref="A51:B51"/>
    <mergeCell ref="A52:B52"/>
    <mergeCell ref="A53:B53"/>
    <mergeCell ref="A54:B54"/>
    <mergeCell ref="G53:R53"/>
    <mergeCell ref="L60:O60"/>
    <mergeCell ref="A60:B60"/>
    <mergeCell ref="G43:H43"/>
    <mergeCell ref="A44:B44"/>
    <mergeCell ref="A55:B55"/>
    <mergeCell ref="A58:B58"/>
    <mergeCell ref="A59:B59"/>
    <mergeCell ref="A45:B45"/>
    <mergeCell ref="A46:B46"/>
    <mergeCell ref="A47:B47"/>
    <mergeCell ref="A48:B48"/>
    <mergeCell ref="A50:B50"/>
    <mergeCell ref="G50:R50"/>
  </mergeCells>
  <phoneticPr fontId="11" type="noConversion"/>
  <conditionalFormatting sqref="AC1:AC13 AC15:AC19 AC21:AC42 AA43:AA48 Y49:Y50 W51:W52 Y53:Y74 AA75:AA1048576">
    <cfRule type="cellIs" dxfId="4" priority="2" operator="lessThan">
      <formula>TODAY()-15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BF01-2797-4F73-99F7-EF7B3E86C04D}">
  <sheetPr>
    <tabColor theme="8" tint="0.39997558519241921"/>
  </sheetPr>
  <dimension ref="A1:BB104"/>
  <sheetViews>
    <sheetView topLeftCell="A65" zoomScale="108" zoomScaleNormal="145" workbookViewId="0">
      <selection activeCell="D81" sqref="D81"/>
    </sheetView>
  </sheetViews>
  <sheetFormatPr defaultRowHeight="15"/>
  <cols>
    <col min="3" max="3" width="11" bestFit="1" customWidth="1"/>
    <col min="4" max="4" width="11.28515625" bestFit="1" customWidth="1"/>
    <col min="7" max="7" width="10.28515625" bestFit="1" customWidth="1"/>
    <col min="8" max="8" width="12.28515625" bestFit="1" customWidth="1"/>
    <col min="11" max="17" width="8.85546875" customWidth="1"/>
    <col min="18" max="18" width="14" style="1694" bestFit="1" customWidth="1"/>
    <col min="19" max="19" width="13.85546875" style="1694" bestFit="1" customWidth="1"/>
    <col min="22" max="22" width="10.42578125" style="1705" bestFit="1" customWidth="1"/>
    <col min="23" max="23" width="10.7109375" style="1705" customWidth="1"/>
    <col min="24" max="24" width="12.5703125" customWidth="1"/>
  </cols>
  <sheetData>
    <row r="1" spans="1:51" ht="38.25">
      <c r="A1" s="20" t="s">
        <v>23</v>
      </c>
      <c r="B1" s="20" t="s">
        <v>5</v>
      </c>
      <c r="C1" s="20" t="s">
        <v>1</v>
      </c>
      <c r="D1" s="20" t="s">
        <v>0</v>
      </c>
      <c r="E1" s="20" t="s">
        <v>3</v>
      </c>
      <c r="F1" s="20" t="s">
        <v>6</v>
      </c>
      <c r="G1" s="20" t="s">
        <v>2</v>
      </c>
      <c r="H1" s="20" t="s">
        <v>212</v>
      </c>
      <c r="I1" s="20" t="s">
        <v>7</v>
      </c>
      <c r="J1" s="1655" t="s">
        <v>11</v>
      </c>
      <c r="K1" s="20" t="s">
        <v>216</v>
      </c>
      <c r="L1" s="20" t="s">
        <v>217</v>
      </c>
      <c r="M1" s="20" t="s">
        <v>218</v>
      </c>
      <c r="N1" s="20" t="s">
        <v>219</v>
      </c>
      <c r="O1" s="20" t="s">
        <v>22</v>
      </c>
      <c r="P1" s="20" t="s">
        <v>12</v>
      </c>
      <c r="Q1" s="349" t="s">
        <v>221</v>
      </c>
      <c r="R1" s="1686" t="s">
        <v>14</v>
      </c>
      <c r="S1" s="1686" t="s">
        <v>15</v>
      </c>
      <c r="T1" s="20" t="s">
        <v>16</v>
      </c>
      <c r="U1" s="20" t="s">
        <v>227</v>
      </c>
      <c r="V1" s="1699" t="s">
        <v>550</v>
      </c>
      <c r="W1" s="1699" t="s">
        <v>228</v>
      </c>
      <c r="X1" s="20" t="s">
        <v>214</v>
      </c>
      <c r="Y1" s="350" t="s">
        <v>300</v>
      </c>
      <c r="Z1" s="350" t="s">
        <v>4</v>
      </c>
      <c r="AA1" s="351" t="s">
        <v>545</v>
      </c>
      <c r="AB1" s="351" t="s">
        <v>546</v>
      </c>
      <c r="AC1" s="350" t="s">
        <v>553</v>
      </c>
      <c r="AD1" s="351" t="s">
        <v>547</v>
      </c>
      <c r="AE1" s="350" t="s">
        <v>554</v>
      </c>
      <c r="AF1" s="351" t="s">
        <v>548</v>
      </c>
      <c r="AG1" s="20" t="s">
        <v>8</v>
      </c>
      <c r="AH1" s="20" t="s">
        <v>718</v>
      </c>
      <c r="AI1" s="20" t="s">
        <v>18</v>
      </c>
      <c r="AJ1" s="1146" t="s">
        <v>17285</v>
      </c>
      <c r="AK1" s="20" t="s">
        <v>542</v>
      </c>
      <c r="AL1" s="20" t="s">
        <v>543</v>
      </c>
      <c r="AM1" s="20" t="s">
        <v>542</v>
      </c>
      <c r="AN1" s="20" t="s">
        <v>543</v>
      </c>
      <c r="AO1" s="20" t="s">
        <v>19</v>
      </c>
      <c r="AP1" s="20" t="s">
        <v>261</v>
      </c>
      <c r="AQ1" s="20" t="s">
        <v>17891</v>
      </c>
      <c r="AR1" s="20" t="s">
        <v>17892</v>
      </c>
      <c r="AS1" s="20" t="s">
        <v>17893</v>
      </c>
      <c r="AT1" s="20" t="s">
        <v>17599</v>
      </c>
      <c r="AU1" s="20" t="s">
        <v>17601</v>
      </c>
      <c r="AV1" s="20" t="s">
        <v>262</v>
      </c>
      <c r="AW1" s="20" t="s">
        <v>263</v>
      </c>
      <c r="AX1" s="349" t="s">
        <v>20</v>
      </c>
      <c r="AY1" s="349" t="s">
        <v>21</v>
      </c>
    </row>
    <row r="2" spans="1:51" s="740" customFormat="1">
      <c r="A2" s="610">
        <v>1</v>
      </c>
      <c r="B2" s="611" t="s">
        <v>24</v>
      </c>
      <c r="C2" s="612" t="s">
        <v>90</v>
      </c>
      <c r="D2" s="612">
        <v>1</v>
      </c>
      <c r="E2" s="612" t="s">
        <v>42</v>
      </c>
      <c r="F2" s="1670">
        <v>64.239999999999995</v>
      </c>
      <c r="G2" s="1671">
        <v>0</v>
      </c>
      <c r="H2" s="1671"/>
      <c r="I2" s="1671"/>
      <c r="J2" s="1672">
        <f>F2+0.5*G2</f>
        <v>64.239999999999995</v>
      </c>
      <c r="K2" s="630"/>
      <c r="L2" s="610"/>
      <c r="M2" s="610"/>
      <c r="N2" s="610"/>
      <c r="O2" s="617"/>
      <c r="P2" s="610"/>
      <c r="Q2" s="618"/>
      <c r="R2" s="1687">
        <f>S2*0.96</f>
        <v>297600</v>
      </c>
      <c r="S2" s="1688">
        <v>310000</v>
      </c>
      <c r="T2" s="619"/>
      <c r="U2" s="620"/>
      <c r="V2" s="1700">
        <f>R2/J2</f>
        <v>4632.6276463262766</v>
      </c>
      <c r="W2" s="1700">
        <f>S2/J2</f>
        <v>4825.6537982565387</v>
      </c>
      <c r="X2" s="620"/>
      <c r="Y2" s="621"/>
      <c r="Z2" s="622"/>
      <c r="AA2" s="623"/>
      <c r="AB2" s="623"/>
      <c r="AC2" s="622"/>
      <c r="AD2" s="623"/>
      <c r="AE2" s="622"/>
      <c r="AF2" s="623"/>
      <c r="AG2" s="610"/>
      <c r="AH2" s="610"/>
      <c r="AI2" s="624"/>
      <c r="AJ2" s="1673"/>
      <c r="AK2" s="624"/>
      <c r="AL2" s="624"/>
      <c r="AM2" s="624"/>
      <c r="AN2" s="610"/>
      <c r="AO2" s="625"/>
      <c r="AP2" s="625"/>
      <c r="AQ2" s="625"/>
      <c r="AR2" s="625"/>
      <c r="AS2" s="625"/>
      <c r="AT2" s="625"/>
      <c r="AU2" s="625"/>
      <c r="AV2" s="625"/>
      <c r="AW2" s="625"/>
      <c r="AX2" s="626"/>
      <c r="AY2" s="626"/>
    </row>
    <row r="3" spans="1:51" s="740" customFormat="1">
      <c r="A3" s="610">
        <v>2</v>
      </c>
      <c r="B3" s="611" t="s">
        <v>25</v>
      </c>
      <c r="C3" s="612" t="s">
        <v>144</v>
      </c>
      <c r="D3" s="612">
        <v>1</v>
      </c>
      <c r="E3" s="612" t="s">
        <v>46</v>
      </c>
      <c r="F3" s="1670">
        <v>44.49</v>
      </c>
      <c r="G3" s="1671">
        <v>0</v>
      </c>
      <c r="H3" s="1671"/>
      <c r="I3" s="1671"/>
      <c r="J3" s="1672">
        <f t="shared" ref="J3:J66" si="0">F3+0.5*G3</f>
        <v>44.49</v>
      </c>
      <c r="K3" s="630"/>
      <c r="L3" s="610"/>
      <c r="M3" s="610"/>
      <c r="N3" s="610"/>
      <c r="O3" s="631"/>
      <c r="P3" s="610"/>
      <c r="Q3" s="618"/>
      <c r="R3" s="1687">
        <f t="shared" ref="R3:R66" si="1">S3*0.96</f>
        <v>230400</v>
      </c>
      <c r="S3" s="1688">
        <v>240000</v>
      </c>
      <c r="T3" s="619"/>
      <c r="U3" s="620"/>
      <c r="V3" s="1700">
        <f t="shared" ref="V3:V66" si="2">R3/J3</f>
        <v>5178.6918408631154</v>
      </c>
      <c r="W3" s="1700">
        <f t="shared" ref="W3:W66" si="3">S3/J3</f>
        <v>5394.4706675657453</v>
      </c>
      <c r="X3" s="620"/>
      <c r="Y3" s="621"/>
      <c r="Z3" s="622"/>
      <c r="AA3" s="623"/>
      <c r="AB3" s="623"/>
      <c r="AC3" s="622"/>
      <c r="AD3" s="623"/>
      <c r="AE3" s="622"/>
      <c r="AF3" s="623"/>
      <c r="AG3" s="610"/>
      <c r="AH3" s="610"/>
      <c r="AI3" s="624"/>
      <c r="AJ3" s="1673"/>
      <c r="AK3" s="624"/>
      <c r="AL3" s="624"/>
      <c r="AM3" s="624"/>
      <c r="AN3" s="610"/>
      <c r="AO3" s="625"/>
      <c r="AP3" s="625"/>
      <c r="AQ3" s="625"/>
      <c r="AR3" s="625"/>
      <c r="AS3" s="625"/>
      <c r="AT3" s="625"/>
      <c r="AU3" s="625"/>
      <c r="AV3" s="632"/>
      <c r="AW3" s="632"/>
      <c r="AX3" s="626"/>
      <c r="AY3" s="626"/>
    </row>
    <row r="4" spans="1:51" s="740" customFormat="1">
      <c r="A4" s="610">
        <v>3</v>
      </c>
      <c r="B4" s="633" t="s">
        <v>26</v>
      </c>
      <c r="C4" s="612" t="s">
        <v>90</v>
      </c>
      <c r="D4" s="612">
        <v>1</v>
      </c>
      <c r="E4" s="612" t="s">
        <v>17269</v>
      </c>
      <c r="F4" s="1670">
        <v>64.28</v>
      </c>
      <c r="G4" s="1671">
        <v>4.93</v>
      </c>
      <c r="H4" s="1671"/>
      <c r="I4" s="1671"/>
      <c r="J4" s="1672">
        <f t="shared" si="0"/>
        <v>66.745000000000005</v>
      </c>
      <c r="K4" s="630"/>
      <c r="L4" s="610"/>
      <c r="M4" s="610"/>
      <c r="N4" s="610"/>
      <c r="O4" s="617"/>
      <c r="P4" s="610"/>
      <c r="Q4" s="618"/>
      <c r="R4" s="1687">
        <f t="shared" si="1"/>
        <v>278400</v>
      </c>
      <c r="S4" s="1688">
        <v>290000</v>
      </c>
      <c r="T4" s="619"/>
      <c r="U4" s="620"/>
      <c r="V4" s="1700">
        <f t="shared" si="2"/>
        <v>4171.0989587234999</v>
      </c>
      <c r="W4" s="1700">
        <f t="shared" si="3"/>
        <v>4344.8947486703119</v>
      </c>
      <c r="X4" s="620"/>
      <c r="Y4" s="621"/>
      <c r="Z4" s="622"/>
      <c r="AA4" s="623"/>
      <c r="AB4" s="623"/>
      <c r="AC4" s="622"/>
      <c r="AD4" s="623"/>
      <c r="AE4" s="622"/>
      <c r="AF4" s="623"/>
      <c r="AG4" s="610"/>
      <c r="AH4" s="610"/>
      <c r="AI4" s="624"/>
      <c r="AJ4" s="1673"/>
      <c r="AK4" s="624"/>
      <c r="AL4" s="624"/>
      <c r="AM4" s="624"/>
      <c r="AN4" s="610"/>
      <c r="AO4" s="625"/>
      <c r="AP4" s="625"/>
      <c r="AQ4" s="625"/>
      <c r="AR4" s="625"/>
      <c r="AS4" s="625"/>
      <c r="AT4" s="625"/>
      <c r="AU4" s="625"/>
      <c r="AV4" s="625"/>
      <c r="AW4" s="625"/>
      <c r="AX4" s="626"/>
      <c r="AY4" s="626"/>
    </row>
    <row r="5" spans="1:51" s="740" customFormat="1">
      <c r="A5" s="610">
        <v>4</v>
      </c>
      <c r="B5" s="633" t="s">
        <v>27</v>
      </c>
      <c r="C5" s="612" t="s">
        <v>90</v>
      </c>
      <c r="D5" s="612">
        <v>1</v>
      </c>
      <c r="E5" s="612" t="s">
        <v>37</v>
      </c>
      <c r="F5" s="1670">
        <v>58.35</v>
      </c>
      <c r="G5" s="1671">
        <v>4.2699999999999996</v>
      </c>
      <c r="H5" s="1671"/>
      <c r="I5" s="1671"/>
      <c r="J5" s="1672">
        <f t="shared" si="0"/>
        <v>60.484999999999999</v>
      </c>
      <c r="K5" s="630"/>
      <c r="L5" s="610"/>
      <c r="M5" s="610"/>
      <c r="N5" s="610"/>
      <c r="O5" s="631"/>
      <c r="P5" s="610"/>
      <c r="Q5" s="618"/>
      <c r="R5" s="1687">
        <f t="shared" si="1"/>
        <v>273600</v>
      </c>
      <c r="S5" s="1688">
        <v>285000</v>
      </c>
      <c r="T5" s="619"/>
      <c r="U5" s="620"/>
      <c r="V5" s="1700">
        <f t="shared" si="2"/>
        <v>4523.4355625361659</v>
      </c>
      <c r="W5" s="1700">
        <f t="shared" si="3"/>
        <v>4711.9120443085067</v>
      </c>
      <c r="X5" s="620"/>
      <c r="Y5" s="621"/>
      <c r="Z5" s="622"/>
      <c r="AA5" s="623"/>
      <c r="AB5" s="623"/>
      <c r="AC5" s="622"/>
      <c r="AD5" s="623"/>
      <c r="AE5" s="622"/>
      <c r="AF5" s="623"/>
      <c r="AG5" s="610"/>
      <c r="AH5" s="610"/>
      <c r="AI5" s="624"/>
      <c r="AJ5" s="1673"/>
      <c r="AK5" s="624"/>
      <c r="AL5" s="624"/>
      <c r="AM5" s="624"/>
      <c r="AN5" s="624"/>
      <c r="AO5" s="625"/>
      <c r="AP5" s="625"/>
      <c r="AQ5" s="625"/>
      <c r="AR5" s="625"/>
      <c r="AS5" s="625"/>
      <c r="AT5" s="625"/>
      <c r="AU5" s="625"/>
      <c r="AV5" s="625"/>
      <c r="AW5" s="625"/>
      <c r="AX5" s="626"/>
      <c r="AY5" s="626"/>
    </row>
    <row r="6" spans="1:51" s="740" customFormat="1">
      <c r="A6" s="610">
        <v>5</v>
      </c>
      <c r="B6" s="633" t="s">
        <v>28</v>
      </c>
      <c r="C6" s="612" t="s">
        <v>144</v>
      </c>
      <c r="D6" s="612">
        <v>1</v>
      </c>
      <c r="E6" s="612" t="s">
        <v>37</v>
      </c>
      <c r="F6" s="1670">
        <v>45.75</v>
      </c>
      <c r="G6" s="1671">
        <v>0</v>
      </c>
      <c r="H6" s="1671"/>
      <c r="I6" s="1671"/>
      <c r="J6" s="1672">
        <f t="shared" si="0"/>
        <v>45.75</v>
      </c>
      <c r="K6" s="630"/>
      <c r="L6" s="630"/>
      <c r="M6" s="610"/>
      <c r="N6" s="610"/>
      <c r="O6" s="617"/>
      <c r="P6" s="610"/>
      <c r="Q6" s="618"/>
      <c r="R6" s="1687">
        <f t="shared" si="1"/>
        <v>211200</v>
      </c>
      <c r="S6" s="1688">
        <v>220000</v>
      </c>
      <c r="T6" s="619"/>
      <c r="U6" s="620"/>
      <c r="V6" s="1700">
        <f t="shared" si="2"/>
        <v>4616.3934426229507</v>
      </c>
      <c r="W6" s="1700">
        <f t="shared" si="3"/>
        <v>4808.7431693989074</v>
      </c>
      <c r="X6" s="620"/>
      <c r="Y6" s="621"/>
      <c r="Z6" s="622"/>
      <c r="AA6" s="623"/>
      <c r="AB6" s="623"/>
      <c r="AC6" s="622"/>
      <c r="AD6" s="623"/>
      <c r="AE6" s="622"/>
      <c r="AF6" s="623"/>
      <c r="AG6" s="610"/>
      <c r="AH6" s="610"/>
      <c r="AI6" s="624"/>
      <c r="AJ6" s="1673"/>
      <c r="AK6" s="624"/>
      <c r="AL6" s="624"/>
      <c r="AM6" s="624"/>
      <c r="AN6" s="610"/>
      <c r="AO6" s="625"/>
      <c r="AP6" s="625"/>
      <c r="AQ6" s="625"/>
      <c r="AR6" s="625"/>
      <c r="AS6" s="625"/>
      <c r="AT6" s="625"/>
      <c r="AU6" s="625"/>
      <c r="AV6" s="625"/>
      <c r="AW6" s="625"/>
      <c r="AX6" s="626"/>
      <c r="AY6" s="626"/>
    </row>
    <row r="7" spans="1:51" s="740" customFormat="1">
      <c r="A7" s="610">
        <v>6</v>
      </c>
      <c r="B7" s="633" t="s">
        <v>29</v>
      </c>
      <c r="C7" s="612" t="s">
        <v>90</v>
      </c>
      <c r="D7" s="612">
        <v>1</v>
      </c>
      <c r="E7" s="612" t="s">
        <v>37</v>
      </c>
      <c r="F7" s="1670">
        <v>65.27</v>
      </c>
      <c r="G7" s="1671">
        <v>12.63</v>
      </c>
      <c r="H7" s="1671"/>
      <c r="I7" s="1671"/>
      <c r="J7" s="1672">
        <f t="shared" si="0"/>
        <v>71.584999999999994</v>
      </c>
      <c r="K7" s="630"/>
      <c r="L7" s="610"/>
      <c r="M7" s="610"/>
      <c r="N7" s="610"/>
      <c r="O7" s="631"/>
      <c r="P7" s="610"/>
      <c r="Q7" s="618"/>
      <c r="R7" s="1687">
        <f t="shared" si="1"/>
        <v>292800</v>
      </c>
      <c r="S7" s="1688">
        <v>305000</v>
      </c>
      <c r="T7" s="619"/>
      <c r="U7" s="620"/>
      <c r="V7" s="1700">
        <f t="shared" si="2"/>
        <v>4090.2423692114276</v>
      </c>
      <c r="W7" s="1700">
        <f t="shared" si="3"/>
        <v>4260.6691345952368</v>
      </c>
      <c r="X7" s="620"/>
      <c r="Y7" s="621"/>
      <c r="Z7" s="634"/>
      <c r="AA7" s="635"/>
      <c r="AB7" s="635"/>
      <c r="AC7" s="634"/>
      <c r="AD7" s="635"/>
      <c r="AE7" s="634"/>
      <c r="AF7" s="635"/>
      <c r="AG7" s="610"/>
      <c r="AH7" s="610"/>
      <c r="AI7" s="624"/>
      <c r="AJ7" s="1673"/>
      <c r="AK7" s="624"/>
      <c r="AL7" s="624"/>
      <c r="AM7" s="624"/>
      <c r="AN7" s="624"/>
      <c r="AO7" s="610"/>
      <c r="AP7" s="610"/>
      <c r="AQ7" s="610"/>
      <c r="AR7" s="610"/>
      <c r="AS7" s="610"/>
      <c r="AT7" s="610"/>
      <c r="AU7" s="610"/>
      <c r="AV7" s="610"/>
      <c r="AW7" s="610"/>
      <c r="AX7" s="626"/>
      <c r="AY7" s="626"/>
    </row>
    <row r="8" spans="1:51" s="740" customFormat="1">
      <c r="A8" s="610">
        <v>7</v>
      </c>
      <c r="B8" s="633" t="s">
        <v>30</v>
      </c>
      <c r="C8" s="612" t="s">
        <v>90</v>
      </c>
      <c r="D8" s="612">
        <v>1</v>
      </c>
      <c r="E8" s="612" t="s">
        <v>37</v>
      </c>
      <c r="F8" s="1670">
        <v>85.87</v>
      </c>
      <c r="G8" s="1671">
        <v>22.2</v>
      </c>
      <c r="H8" s="1671"/>
      <c r="I8" s="1671"/>
      <c r="J8" s="1672">
        <f t="shared" si="0"/>
        <v>96.97</v>
      </c>
      <c r="K8" s="630"/>
      <c r="L8" s="610"/>
      <c r="M8" s="610"/>
      <c r="N8" s="610"/>
      <c r="O8" s="617"/>
      <c r="P8" s="610"/>
      <c r="Q8" s="618"/>
      <c r="R8" s="1687">
        <f t="shared" si="1"/>
        <v>326400</v>
      </c>
      <c r="S8" s="1688">
        <v>340000</v>
      </c>
      <c r="T8" s="619"/>
      <c r="U8" s="620"/>
      <c r="V8" s="1700">
        <f t="shared" si="2"/>
        <v>3365.9894812828711</v>
      </c>
      <c r="W8" s="1700">
        <f t="shared" si="3"/>
        <v>3506.2390430029905</v>
      </c>
      <c r="X8" s="620"/>
      <c r="Y8" s="621"/>
      <c r="Z8" s="634"/>
      <c r="AA8" s="635"/>
      <c r="AB8" s="635"/>
      <c r="AC8" s="634"/>
      <c r="AD8" s="635"/>
      <c r="AE8" s="634"/>
      <c r="AF8" s="635"/>
      <c r="AG8" s="610"/>
      <c r="AH8" s="610"/>
      <c r="AI8" s="624"/>
      <c r="AJ8" s="1673"/>
      <c r="AK8" s="624"/>
      <c r="AL8" s="624"/>
      <c r="AM8" s="624"/>
      <c r="AN8" s="610"/>
      <c r="AO8" s="610"/>
      <c r="AP8" s="610"/>
      <c r="AQ8" s="610"/>
      <c r="AR8" s="610"/>
      <c r="AS8" s="610"/>
      <c r="AT8" s="610"/>
      <c r="AU8" s="610"/>
      <c r="AV8" s="610"/>
      <c r="AW8" s="610"/>
      <c r="AX8" s="626"/>
      <c r="AY8" s="626"/>
    </row>
    <row r="9" spans="1:51" s="740" customFormat="1">
      <c r="A9" s="610">
        <v>8</v>
      </c>
      <c r="B9" s="633" t="s">
        <v>31</v>
      </c>
      <c r="C9" s="612" t="s">
        <v>144</v>
      </c>
      <c r="D9" s="612">
        <v>1</v>
      </c>
      <c r="E9" s="612" t="s">
        <v>37</v>
      </c>
      <c r="F9" s="1670">
        <v>54.48</v>
      </c>
      <c r="G9" s="1671">
        <v>21.65</v>
      </c>
      <c r="H9" s="1671"/>
      <c r="I9" s="1671"/>
      <c r="J9" s="1672">
        <f t="shared" si="0"/>
        <v>65.304999999999993</v>
      </c>
      <c r="K9" s="630"/>
      <c r="L9" s="610"/>
      <c r="M9" s="610"/>
      <c r="N9" s="610"/>
      <c r="O9" s="631"/>
      <c r="P9" s="610"/>
      <c r="Q9" s="618"/>
      <c r="R9" s="1687">
        <f t="shared" si="1"/>
        <v>249600</v>
      </c>
      <c r="S9" s="1688">
        <v>260000</v>
      </c>
      <c r="T9" s="619"/>
      <c r="U9" s="620"/>
      <c r="V9" s="1700">
        <f t="shared" si="2"/>
        <v>3822.0656917540773</v>
      </c>
      <c r="W9" s="1700">
        <f t="shared" si="3"/>
        <v>3981.3184289104975</v>
      </c>
      <c r="X9" s="620"/>
      <c r="Y9" s="621"/>
      <c r="Z9" s="1674"/>
      <c r="AA9" s="1675"/>
      <c r="AB9" s="1675"/>
      <c r="AC9" s="1674"/>
      <c r="AD9" s="1675"/>
      <c r="AE9" s="1674"/>
      <c r="AF9" s="1675"/>
      <c r="AG9" s="610"/>
      <c r="AH9" s="610"/>
      <c r="AI9" s="624"/>
      <c r="AJ9" s="1673"/>
      <c r="AK9" s="624"/>
      <c r="AL9" s="624"/>
      <c r="AM9" s="624"/>
      <c r="AN9" s="610"/>
      <c r="AO9" s="1676"/>
      <c r="AP9" s="1676"/>
      <c r="AQ9" s="1676"/>
      <c r="AR9" s="1676"/>
      <c r="AS9" s="1676"/>
      <c r="AT9" s="1676"/>
      <c r="AU9" s="1676"/>
      <c r="AV9" s="1676"/>
      <c r="AW9" s="1676"/>
      <c r="AX9" s="626"/>
      <c r="AY9" s="626"/>
    </row>
    <row r="10" spans="1:51" s="740" customFormat="1">
      <c r="A10" s="610">
        <v>9</v>
      </c>
      <c r="B10" s="633" t="s">
        <v>32</v>
      </c>
      <c r="C10" s="612" t="s">
        <v>90</v>
      </c>
      <c r="D10" s="612">
        <v>1</v>
      </c>
      <c r="E10" s="612" t="s">
        <v>37</v>
      </c>
      <c r="F10" s="1670">
        <v>69.69</v>
      </c>
      <c r="G10" s="1671">
        <v>20.100000000000001</v>
      </c>
      <c r="H10" s="1671"/>
      <c r="I10" s="1671"/>
      <c r="J10" s="1672">
        <f t="shared" si="0"/>
        <v>79.739999999999995</v>
      </c>
      <c r="K10" s="630"/>
      <c r="L10" s="610"/>
      <c r="M10" s="610"/>
      <c r="N10" s="610"/>
      <c r="O10" s="617"/>
      <c r="P10" s="610"/>
      <c r="Q10" s="618"/>
      <c r="R10" s="1687">
        <f t="shared" si="1"/>
        <v>307200</v>
      </c>
      <c r="S10" s="1688">
        <v>320000</v>
      </c>
      <c r="T10" s="619"/>
      <c r="U10" s="620"/>
      <c r="V10" s="1700">
        <f t="shared" si="2"/>
        <v>3852.5206922498123</v>
      </c>
      <c r="W10" s="1700">
        <f t="shared" si="3"/>
        <v>4013.0423877602211</v>
      </c>
      <c r="X10" s="620"/>
      <c r="Y10" s="621"/>
      <c r="Z10" s="622"/>
      <c r="AA10" s="623"/>
      <c r="AB10" s="623"/>
      <c r="AC10" s="622"/>
      <c r="AD10" s="623"/>
      <c r="AE10" s="622"/>
      <c r="AF10" s="623"/>
      <c r="AG10" s="610"/>
      <c r="AH10" s="610"/>
      <c r="AI10" s="624"/>
      <c r="AJ10" s="1673"/>
      <c r="AK10" s="624"/>
      <c r="AL10" s="624"/>
      <c r="AM10" s="624"/>
      <c r="AN10" s="610"/>
      <c r="AO10" s="625"/>
      <c r="AP10" s="1676"/>
      <c r="AQ10" s="1676"/>
      <c r="AR10" s="1676"/>
      <c r="AS10" s="1676"/>
      <c r="AT10" s="1676"/>
      <c r="AU10" s="1676"/>
      <c r="AV10" s="625"/>
      <c r="AW10" s="625"/>
      <c r="AX10" s="626"/>
      <c r="AY10" s="626"/>
    </row>
    <row r="11" spans="1:51" s="740" customFormat="1">
      <c r="A11" s="610">
        <v>10</v>
      </c>
      <c r="B11" s="633" t="s">
        <v>33</v>
      </c>
      <c r="C11" s="1669" t="s">
        <v>144</v>
      </c>
      <c r="D11" s="612">
        <v>1</v>
      </c>
      <c r="E11" s="612" t="s">
        <v>37</v>
      </c>
      <c r="F11" s="1670">
        <v>45.73</v>
      </c>
      <c r="G11" s="1671">
        <v>12.81</v>
      </c>
      <c r="H11" s="1671"/>
      <c r="I11" s="1671"/>
      <c r="J11" s="1672">
        <f t="shared" si="0"/>
        <v>52.134999999999998</v>
      </c>
      <c r="K11" s="630"/>
      <c r="L11" s="610"/>
      <c r="M11" s="610"/>
      <c r="N11" s="610"/>
      <c r="O11" s="631"/>
      <c r="P11" s="610"/>
      <c r="Q11" s="618"/>
      <c r="R11" s="1687">
        <f t="shared" si="1"/>
        <v>240000</v>
      </c>
      <c r="S11" s="1688">
        <v>250000</v>
      </c>
      <c r="T11" s="619"/>
      <c r="U11" s="620"/>
      <c r="V11" s="1700">
        <f t="shared" si="2"/>
        <v>4603.4333940730794</v>
      </c>
      <c r="W11" s="1700">
        <f t="shared" si="3"/>
        <v>4795.2431188261244</v>
      </c>
      <c r="X11" s="620"/>
      <c r="Y11" s="621"/>
      <c r="Z11" s="622"/>
      <c r="AA11" s="623"/>
      <c r="AB11" s="623"/>
      <c r="AC11" s="622"/>
      <c r="AD11" s="623"/>
      <c r="AE11" s="622"/>
      <c r="AF11" s="623"/>
      <c r="AG11" s="610"/>
      <c r="AH11" s="610"/>
      <c r="AI11" s="624"/>
      <c r="AJ11" s="1673"/>
      <c r="AK11" s="624"/>
      <c r="AL11" s="624"/>
      <c r="AM11" s="624"/>
      <c r="AN11" s="624"/>
      <c r="AO11" s="636"/>
      <c r="AP11" s="636"/>
      <c r="AQ11" s="636"/>
      <c r="AR11" s="636"/>
      <c r="AS11" s="636"/>
      <c r="AT11" s="636"/>
      <c r="AU11" s="636"/>
      <c r="AV11" s="636"/>
      <c r="AW11" s="636"/>
      <c r="AX11" s="626"/>
      <c r="AY11" s="626"/>
    </row>
    <row r="12" spans="1:51" s="740" customFormat="1">
      <c r="A12" s="610">
        <v>11</v>
      </c>
      <c r="B12" s="633" t="s">
        <v>34</v>
      </c>
      <c r="C12" s="612" t="s">
        <v>90</v>
      </c>
      <c r="D12" s="612">
        <v>1</v>
      </c>
      <c r="E12" s="612" t="s">
        <v>37</v>
      </c>
      <c r="F12" s="1670">
        <v>68.63</v>
      </c>
      <c r="G12" s="1671">
        <v>15.77</v>
      </c>
      <c r="H12" s="1671"/>
      <c r="I12" s="1671"/>
      <c r="J12" s="1672">
        <f t="shared" si="0"/>
        <v>76.515000000000001</v>
      </c>
      <c r="K12" s="630"/>
      <c r="L12" s="610"/>
      <c r="M12" s="610"/>
      <c r="N12" s="610"/>
      <c r="O12" s="617"/>
      <c r="P12" s="610"/>
      <c r="Q12" s="618"/>
      <c r="R12" s="1687">
        <f t="shared" si="1"/>
        <v>302400</v>
      </c>
      <c r="S12" s="1688">
        <v>315000</v>
      </c>
      <c r="T12" s="619"/>
      <c r="U12" s="620"/>
      <c r="V12" s="1700">
        <f t="shared" si="2"/>
        <v>3952.1662419133504</v>
      </c>
      <c r="W12" s="1700">
        <f t="shared" si="3"/>
        <v>4116.8398353264065</v>
      </c>
      <c r="X12" s="620"/>
      <c r="Y12" s="621"/>
      <c r="Z12" s="622"/>
      <c r="AA12" s="623"/>
      <c r="AB12" s="623"/>
      <c r="AC12" s="622"/>
      <c r="AD12" s="623"/>
      <c r="AE12" s="622"/>
      <c r="AF12" s="623"/>
      <c r="AG12" s="610"/>
      <c r="AH12" s="610"/>
      <c r="AI12" s="624"/>
      <c r="AJ12" s="1673"/>
      <c r="AK12" s="624"/>
      <c r="AL12" s="624"/>
      <c r="AM12" s="624"/>
      <c r="AN12" s="624"/>
      <c r="AO12" s="636"/>
      <c r="AP12" s="636"/>
      <c r="AQ12" s="636"/>
      <c r="AR12" s="636"/>
      <c r="AS12" s="636"/>
      <c r="AT12" s="636"/>
      <c r="AU12" s="636"/>
      <c r="AV12" s="636"/>
      <c r="AW12" s="636"/>
      <c r="AX12" s="626"/>
      <c r="AY12" s="626"/>
    </row>
    <row r="13" spans="1:51" s="740" customFormat="1">
      <c r="A13" s="610">
        <v>12</v>
      </c>
      <c r="B13" s="633" t="s">
        <v>35</v>
      </c>
      <c r="C13" s="612" t="s">
        <v>144</v>
      </c>
      <c r="D13" s="612">
        <v>1</v>
      </c>
      <c r="E13" s="612" t="s">
        <v>37</v>
      </c>
      <c r="F13" s="1670">
        <v>58.66</v>
      </c>
      <c r="G13" s="1671">
        <v>12.32</v>
      </c>
      <c r="H13" s="1671"/>
      <c r="I13" s="1671"/>
      <c r="J13" s="1672">
        <f t="shared" si="0"/>
        <v>64.819999999999993</v>
      </c>
      <c r="K13" s="630"/>
      <c r="L13" s="610"/>
      <c r="M13" s="610"/>
      <c r="N13" s="610"/>
      <c r="O13" s="631"/>
      <c r="P13" s="610"/>
      <c r="Q13" s="618"/>
      <c r="R13" s="1687">
        <f t="shared" si="1"/>
        <v>264000</v>
      </c>
      <c r="S13" s="1688">
        <v>275000</v>
      </c>
      <c r="T13" s="619"/>
      <c r="U13" s="620"/>
      <c r="V13" s="1700">
        <f t="shared" si="2"/>
        <v>4072.8170317803151</v>
      </c>
      <c r="W13" s="1700">
        <f t="shared" si="3"/>
        <v>4242.5177414378286</v>
      </c>
      <c r="X13" s="620"/>
      <c r="Y13" s="621"/>
      <c r="Z13" s="622"/>
      <c r="AA13" s="623"/>
      <c r="AB13" s="623"/>
      <c r="AC13" s="622"/>
      <c r="AD13" s="623"/>
      <c r="AE13" s="622"/>
      <c r="AF13" s="623"/>
      <c r="AG13" s="610"/>
      <c r="AH13" s="610"/>
      <c r="AI13" s="624"/>
      <c r="AJ13" s="1673"/>
      <c r="AK13" s="624"/>
      <c r="AL13" s="624"/>
      <c r="AM13" s="624"/>
      <c r="AN13" s="624"/>
      <c r="AO13" s="625"/>
      <c r="AP13" s="625"/>
      <c r="AQ13" s="625"/>
      <c r="AR13" s="625"/>
      <c r="AS13" s="625"/>
      <c r="AT13" s="625"/>
      <c r="AU13" s="625"/>
      <c r="AV13" s="625"/>
      <c r="AW13" s="625"/>
      <c r="AX13" s="626"/>
      <c r="AY13" s="626"/>
    </row>
    <row r="14" spans="1:51" s="289" customFormat="1">
      <c r="A14" s="31">
        <v>13</v>
      </c>
      <c r="B14" s="87" t="s">
        <v>36</v>
      </c>
      <c r="C14" s="88" t="s">
        <v>89</v>
      </c>
      <c r="D14" s="88">
        <v>2</v>
      </c>
      <c r="E14" s="88" t="s">
        <v>146</v>
      </c>
      <c r="F14" s="1007">
        <v>140.66999999999999</v>
      </c>
      <c r="G14" s="284">
        <v>54.73</v>
      </c>
      <c r="H14" s="284"/>
      <c r="I14" s="284"/>
      <c r="J14" s="1001">
        <f t="shared" si="0"/>
        <v>168.035</v>
      </c>
      <c r="K14" s="375"/>
      <c r="L14" s="31"/>
      <c r="M14" s="31"/>
      <c r="N14" s="31"/>
      <c r="O14" s="94"/>
      <c r="P14" s="31"/>
      <c r="Q14" s="89"/>
      <c r="R14" s="1689">
        <f t="shared" si="1"/>
        <v>768000</v>
      </c>
      <c r="S14" s="1690">
        <v>800000</v>
      </c>
      <c r="T14" s="37"/>
      <c r="U14" s="32"/>
      <c r="V14" s="1701">
        <f t="shared" si="2"/>
        <v>4570.4763888475618</v>
      </c>
      <c r="W14" s="1701">
        <f t="shared" si="3"/>
        <v>4760.912905049543</v>
      </c>
      <c r="X14" s="32"/>
      <c r="Y14" s="278"/>
      <c r="Z14" s="33"/>
      <c r="AA14" s="311"/>
      <c r="AB14" s="311"/>
      <c r="AC14" s="33"/>
      <c r="AD14" s="311"/>
      <c r="AE14" s="33"/>
      <c r="AF14" s="311"/>
      <c r="AG14" s="31"/>
      <c r="AH14" s="31"/>
      <c r="AI14" s="307"/>
      <c r="AJ14" s="436"/>
      <c r="AK14" s="307"/>
      <c r="AL14" s="307"/>
      <c r="AM14" s="307"/>
      <c r="AN14" s="307"/>
      <c r="AO14" s="34"/>
      <c r="AP14" s="34"/>
      <c r="AQ14" s="34"/>
      <c r="AR14" s="34"/>
      <c r="AS14" s="34"/>
      <c r="AT14" s="34"/>
      <c r="AU14" s="34"/>
      <c r="AV14" s="34"/>
      <c r="AW14" s="34"/>
      <c r="AX14" s="39"/>
      <c r="AY14" s="39"/>
    </row>
    <row r="15" spans="1:51" s="289" customFormat="1">
      <c r="A15" s="31">
        <v>14</v>
      </c>
      <c r="B15" s="87" t="s">
        <v>37</v>
      </c>
      <c r="C15" s="88" t="s">
        <v>91</v>
      </c>
      <c r="D15" s="88">
        <v>2</v>
      </c>
      <c r="E15" s="88" t="s">
        <v>17269</v>
      </c>
      <c r="F15" s="1007">
        <v>93.66</v>
      </c>
      <c r="G15" s="284">
        <v>8.8699999999999992</v>
      </c>
      <c r="H15" s="284"/>
      <c r="I15" s="284"/>
      <c r="J15" s="1001">
        <f t="shared" si="0"/>
        <v>98.094999999999999</v>
      </c>
      <c r="K15" s="375"/>
      <c r="L15" s="31"/>
      <c r="M15" s="31"/>
      <c r="N15" s="31"/>
      <c r="O15" s="92"/>
      <c r="P15" s="31"/>
      <c r="Q15" s="89"/>
      <c r="R15" s="1689">
        <f t="shared" si="1"/>
        <v>432000</v>
      </c>
      <c r="S15" s="1690">
        <v>450000</v>
      </c>
      <c r="T15" s="37"/>
      <c r="U15" s="32"/>
      <c r="V15" s="1701">
        <f t="shared" si="2"/>
        <v>4403.8941842091854</v>
      </c>
      <c r="W15" s="1701">
        <f t="shared" si="3"/>
        <v>4587.3897752179009</v>
      </c>
      <c r="X15" s="32"/>
      <c r="Y15" s="278"/>
      <c r="Z15" s="33"/>
      <c r="AA15" s="311"/>
      <c r="AB15" s="311"/>
      <c r="AC15" s="33"/>
      <c r="AD15" s="311"/>
      <c r="AE15" s="33"/>
      <c r="AF15" s="311"/>
      <c r="AG15" s="31"/>
      <c r="AH15" s="31"/>
      <c r="AI15" s="307"/>
      <c r="AJ15" s="436"/>
      <c r="AK15" s="307"/>
      <c r="AL15" s="307"/>
      <c r="AM15" s="307"/>
      <c r="AN15" s="31"/>
      <c r="AO15" s="34"/>
      <c r="AP15" s="34"/>
      <c r="AQ15" s="34"/>
      <c r="AR15" s="34"/>
      <c r="AS15" s="34"/>
      <c r="AT15" s="34"/>
      <c r="AU15" s="34"/>
      <c r="AV15" s="34"/>
      <c r="AW15" s="34"/>
      <c r="AX15" s="39"/>
      <c r="AY15" s="39"/>
    </row>
    <row r="16" spans="1:51" s="289" customFormat="1">
      <c r="A16" s="31">
        <v>15</v>
      </c>
      <c r="B16" s="87" t="s">
        <v>38</v>
      </c>
      <c r="C16" s="88" t="s">
        <v>90</v>
      </c>
      <c r="D16" s="88">
        <v>2</v>
      </c>
      <c r="E16" s="88" t="s">
        <v>37</v>
      </c>
      <c r="F16" s="1007">
        <v>64.239999999999995</v>
      </c>
      <c r="G16" s="284">
        <v>9.73</v>
      </c>
      <c r="H16" s="284"/>
      <c r="I16" s="284"/>
      <c r="J16" s="1001">
        <f t="shared" si="0"/>
        <v>69.10499999999999</v>
      </c>
      <c r="K16" s="375"/>
      <c r="L16" s="31"/>
      <c r="M16" s="31"/>
      <c r="N16" s="31"/>
      <c r="O16" s="94"/>
      <c r="P16" s="31"/>
      <c r="Q16" s="89"/>
      <c r="R16" s="1689">
        <f t="shared" si="1"/>
        <v>307200</v>
      </c>
      <c r="S16" s="1690">
        <v>320000</v>
      </c>
      <c r="T16" s="37"/>
      <c r="U16" s="32"/>
      <c r="V16" s="1701">
        <f t="shared" si="2"/>
        <v>4445.4091599739531</v>
      </c>
      <c r="W16" s="1701">
        <f t="shared" si="3"/>
        <v>4630.6345416395343</v>
      </c>
      <c r="X16" s="32"/>
      <c r="Y16" s="278"/>
      <c r="Z16" s="33"/>
      <c r="AA16" s="311"/>
      <c r="AB16" s="311"/>
      <c r="AC16" s="33"/>
      <c r="AD16" s="311"/>
      <c r="AE16" s="33"/>
      <c r="AF16" s="311"/>
      <c r="AG16" s="31"/>
      <c r="AH16" s="31"/>
      <c r="AI16" s="307"/>
      <c r="AJ16" s="436"/>
      <c r="AK16" s="307"/>
      <c r="AL16" s="307"/>
      <c r="AM16" s="307"/>
      <c r="AN16" s="31"/>
      <c r="AO16" s="34"/>
      <c r="AP16" s="34"/>
      <c r="AQ16" s="34"/>
      <c r="AR16" s="34"/>
      <c r="AS16" s="34"/>
      <c r="AT16" s="34"/>
      <c r="AU16" s="34"/>
      <c r="AV16" s="34"/>
      <c r="AW16" s="34"/>
      <c r="AX16" s="39"/>
      <c r="AY16" s="39"/>
    </row>
    <row r="17" spans="1:51" s="289" customFormat="1">
      <c r="A17" s="31">
        <v>16</v>
      </c>
      <c r="B17" s="87" t="s">
        <v>39</v>
      </c>
      <c r="C17" s="88" t="s">
        <v>90</v>
      </c>
      <c r="D17" s="88">
        <v>2</v>
      </c>
      <c r="E17" s="88" t="s">
        <v>42</v>
      </c>
      <c r="F17" s="1007">
        <v>58.05</v>
      </c>
      <c r="G17" s="284">
        <v>18.760000000000002</v>
      </c>
      <c r="H17" s="284"/>
      <c r="I17" s="284"/>
      <c r="J17" s="1001">
        <f t="shared" si="0"/>
        <v>67.429999999999993</v>
      </c>
      <c r="K17" s="375"/>
      <c r="L17" s="31"/>
      <c r="M17" s="31"/>
      <c r="N17" s="31"/>
      <c r="O17" s="92"/>
      <c r="P17" s="31"/>
      <c r="Q17" s="89"/>
      <c r="R17" s="1689">
        <f t="shared" si="1"/>
        <v>312000</v>
      </c>
      <c r="S17" s="1690">
        <v>325000</v>
      </c>
      <c r="T17" s="37"/>
      <c r="U17" s="32"/>
      <c r="V17" s="1701">
        <f t="shared" si="2"/>
        <v>4627.0206139700431</v>
      </c>
      <c r="W17" s="1701">
        <f t="shared" si="3"/>
        <v>4819.8131395521286</v>
      </c>
      <c r="X17" s="32"/>
      <c r="Y17" s="278"/>
      <c r="Z17" s="33"/>
      <c r="AA17" s="311"/>
      <c r="AB17" s="311"/>
      <c r="AC17" s="33"/>
      <c r="AD17" s="311"/>
      <c r="AE17" s="33"/>
      <c r="AF17" s="311"/>
      <c r="AG17" s="31"/>
      <c r="AH17" s="31"/>
      <c r="AI17" s="307"/>
      <c r="AJ17" s="436"/>
      <c r="AK17" s="307"/>
      <c r="AL17" s="307"/>
      <c r="AM17" s="307"/>
      <c r="AN17" s="307"/>
      <c r="AO17" s="34"/>
      <c r="AP17" s="34"/>
      <c r="AQ17" s="34"/>
      <c r="AR17" s="34"/>
      <c r="AS17" s="34"/>
      <c r="AT17" s="34"/>
      <c r="AU17" s="34"/>
      <c r="AV17" s="34"/>
      <c r="AW17" s="34"/>
      <c r="AX17" s="39"/>
      <c r="AY17" s="39"/>
    </row>
    <row r="18" spans="1:51" s="289" customFormat="1">
      <c r="A18" s="31">
        <v>17</v>
      </c>
      <c r="B18" s="87" t="s">
        <v>40</v>
      </c>
      <c r="C18" s="88" t="s">
        <v>91</v>
      </c>
      <c r="D18" s="88">
        <v>2</v>
      </c>
      <c r="E18" s="88" t="s">
        <v>42</v>
      </c>
      <c r="F18" s="1007">
        <v>86.48</v>
      </c>
      <c r="G18" s="284">
        <v>22.84</v>
      </c>
      <c r="H18" s="284"/>
      <c r="I18" s="284"/>
      <c r="J18" s="1001">
        <f t="shared" si="0"/>
        <v>97.9</v>
      </c>
      <c r="K18" s="375"/>
      <c r="L18" s="31"/>
      <c r="M18" s="31"/>
      <c r="N18" s="31"/>
      <c r="O18" s="94"/>
      <c r="P18" s="31"/>
      <c r="Q18" s="89"/>
      <c r="R18" s="1689">
        <f t="shared" si="1"/>
        <v>499200</v>
      </c>
      <c r="S18" s="1690">
        <v>520000</v>
      </c>
      <c r="T18" s="37"/>
      <c r="U18" s="32"/>
      <c r="V18" s="1701">
        <f t="shared" si="2"/>
        <v>5099.0806945863123</v>
      </c>
      <c r="W18" s="1701">
        <f t="shared" si="3"/>
        <v>5311.5423901940749</v>
      </c>
      <c r="X18" s="32"/>
      <c r="Y18" s="278"/>
      <c r="Z18" s="35"/>
      <c r="AA18" s="93"/>
      <c r="AB18" s="93"/>
      <c r="AC18" s="35"/>
      <c r="AD18" s="93"/>
      <c r="AE18" s="35"/>
      <c r="AF18" s="93"/>
      <c r="AG18" s="31"/>
      <c r="AH18" s="31"/>
      <c r="AI18" s="307"/>
      <c r="AJ18" s="436"/>
      <c r="AK18" s="307"/>
      <c r="AL18" s="307"/>
      <c r="AM18" s="307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9"/>
      <c r="AY18" s="39"/>
    </row>
    <row r="19" spans="1:51" s="289" customFormat="1">
      <c r="A19" s="31">
        <v>18</v>
      </c>
      <c r="B19" s="87" t="s">
        <v>41</v>
      </c>
      <c r="C19" s="88" t="s">
        <v>90</v>
      </c>
      <c r="D19" s="88">
        <v>2</v>
      </c>
      <c r="E19" s="88" t="s">
        <v>37</v>
      </c>
      <c r="F19" s="1007">
        <v>61.53</v>
      </c>
      <c r="G19" s="284">
        <v>16.14</v>
      </c>
      <c r="H19" s="284"/>
      <c r="I19" s="284"/>
      <c r="J19" s="1001">
        <f t="shared" si="0"/>
        <v>69.599999999999994</v>
      </c>
      <c r="K19" s="375"/>
      <c r="L19" s="31"/>
      <c r="M19" s="31"/>
      <c r="N19" s="31"/>
      <c r="O19" s="92"/>
      <c r="P19" s="31"/>
      <c r="Q19" s="89"/>
      <c r="R19" s="1689">
        <f t="shared" si="1"/>
        <v>345600</v>
      </c>
      <c r="S19" s="1690">
        <v>360000</v>
      </c>
      <c r="T19" s="37"/>
      <c r="U19" s="32"/>
      <c r="V19" s="1701">
        <f t="shared" si="2"/>
        <v>4965.5172413793107</v>
      </c>
      <c r="W19" s="1701">
        <f t="shared" si="3"/>
        <v>5172.4137931034484</v>
      </c>
      <c r="X19" s="32"/>
      <c r="Y19" s="278"/>
      <c r="Z19" s="33"/>
      <c r="AA19" s="311"/>
      <c r="AB19" s="311"/>
      <c r="AC19" s="33"/>
      <c r="AD19" s="311"/>
      <c r="AE19" s="33"/>
      <c r="AF19" s="311"/>
      <c r="AG19" s="31"/>
      <c r="AH19" s="31"/>
      <c r="AI19" s="307"/>
      <c r="AJ19" s="436"/>
      <c r="AK19" s="307"/>
      <c r="AL19" s="307"/>
      <c r="AM19" s="307"/>
      <c r="AN19" s="31"/>
      <c r="AO19" s="34"/>
      <c r="AP19" s="34"/>
      <c r="AQ19" s="34"/>
      <c r="AR19" s="34"/>
      <c r="AS19" s="34"/>
      <c r="AT19" s="34"/>
      <c r="AU19" s="34"/>
      <c r="AV19" s="34"/>
      <c r="AW19" s="34"/>
      <c r="AX19" s="39"/>
      <c r="AY19" s="39"/>
    </row>
    <row r="20" spans="1:51" s="289" customFormat="1">
      <c r="A20" s="31">
        <v>19</v>
      </c>
      <c r="B20" s="87" t="s">
        <v>42</v>
      </c>
      <c r="C20" s="88" t="s">
        <v>90</v>
      </c>
      <c r="D20" s="88">
        <v>2</v>
      </c>
      <c r="E20" s="88" t="s">
        <v>42</v>
      </c>
      <c r="F20" s="1007">
        <v>63.33</v>
      </c>
      <c r="G20" s="284">
        <v>16.61</v>
      </c>
      <c r="H20" s="284"/>
      <c r="I20" s="284"/>
      <c r="J20" s="1001">
        <f t="shared" si="0"/>
        <v>71.634999999999991</v>
      </c>
      <c r="K20" s="375"/>
      <c r="L20" s="31"/>
      <c r="M20" s="31"/>
      <c r="N20" s="31"/>
      <c r="O20" s="94"/>
      <c r="P20" s="31"/>
      <c r="Q20" s="89"/>
      <c r="R20" s="1689">
        <f t="shared" si="1"/>
        <v>350400</v>
      </c>
      <c r="S20" s="1690">
        <v>365000</v>
      </c>
      <c r="T20" s="37"/>
      <c r="U20" s="32"/>
      <c r="V20" s="1701">
        <f t="shared" si="2"/>
        <v>4891.4636699937191</v>
      </c>
      <c r="W20" s="1701">
        <f t="shared" si="3"/>
        <v>5095.2746562434568</v>
      </c>
      <c r="X20" s="32"/>
      <c r="Y20" s="278"/>
      <c r="Z20" s="33"/>
      <c r="AA20" s="311"/>
      <c r="AB20" s="311"/>
      <c r="AC20" s="36"/>
      <c r="AD20" s="311"/>
      <c r="AE20" s="36"/>
      <c r="AF20" s="311"/>
      <c r="AG20" s="31"/>
      <c r="AH20" s="31"/>
      <c r="AI20" s="307"/>
      <c r="AJ20" s="436"/>
      <c r="AK20" s="307"/>
      <c r="AL20" s="307"/>
      <c r="AM20" s="307"/>
      <c r="AN20" s="31"/>
      <c r="AO20" s="34"/>
      <c r="AP20" s="34"/>
      <c r="AQ20" s="34"/>
      <c r="AR20" s="34"/>
      <c r="AS20" s="34"/>
      <c r="AT20" s="34"/>
      <c r="AU20" s="34"/>
      <c r="AV20" s="303"/>
      <c r="AW20" s="303"/>
      <c r="AX20" s="39"/>
      <c r="AY20" s="39"/>
    </row>
    <row r="21" spans="1:51" s="289" customFormat="1">
      <c r="A21" s="31">
        <v>20</v>
      </c>
      <c r="B21" s="87" t="s">
        <v>43</v>
      </c>
      <c r="C21" s="88" t="s">
        <v>91</v>
      </c>
      <c r="D21" s="88">
        <v>2</v>
      </c>
      <c r="E21" s="88" t="s">
        <v>18037</v>
      </c>
      <c r="F21" s="1007">
        <v>114.89</v>
      </c>
      <c r="G21" s="284">
        <v>31.02</v>
      </c>
      <c r="H21" s="284"/>
      <c r="I21" s="284"/>
      <c r="J21" s="1001">
        <f t="shared" si="0"/>
        <v>130.4</v>
      </c>
      <c r="K21" s="375"/>
      <c r="L21" s="31"/>
      <c r="M21" s="31"/>
      <c r="N21" s="31"/>
      <c r="O21" s="92"/>
      <c r="P21" s="31"/>
      <c r="Q21" s="89"/>
      <c r="R21" s="1689">
        <f t="shared" si="1"/>
        <v>576000</v>
      </c>
      <c r="S21" s="1690">
        <v>600000</v>
      </c>
      <c r="T21" s="37"/>
      <c r="U21" s="32"/>
      <c r="V21" s="1701">
        <f t="shared" si="2"/>
        <v>4417.1779141104289</v>
      </c>
      <c r="W21" s="1701">
        <f t="shared" si="3"/>
        <v>4601.2269938650306</v>
      </c>
      <c r="X21" s="32"/>
      <c r="Y21" s="278"/>
      <c r="Z21" s="33"/>
      <c r="AA21" s="311"/>
      <c r="AB21" s="311"/>
      <c r="AC21" s="33"/>
      <c r="AD21" s="311"/>
      <c r="AE21" s="33"/>
      <c r="AF21" s="311"/>
      <c r="AG21" s="31"/>
      <c r="AH21" s="31"/>
      <c r="AI21" s="307"/>
      <c r="AJ21" s="436"/>
      <c r="AK21" s="307"/>
      <c r="AL21" s="307"/>
      <c r="AM21" s="307"/>
      <c r="AN21" s="31"/>
      <c r="AO21" s="34"/>
      <c r="AP21" s="34"/>
      <c r="AQ21" s="34"/>
      <c r="AR21" s="34"/>
      <c r="AS21" s="34"/>
      <c r="AT21" s="34"/>
      <c r="AU21" s="34"/>
      <c r="AV21" s="34"/>
      <c r="AW21" s="34"/>
      <c r="AX21" s="39"/>
      <c r="AY21" s="39"/>
    </row>
    <row r="22" spans="1:51" s="289" customFormat="1">
      <c r="A22" s="31">
        <v>21</v>
      </c>
      <c r="B22" s="87" t="s">
        <v>44</v>
      </c>
      <c r="C22" s="88" t="s">
        <v>91</v>
      </c>
      <c r="D22" s="88">
        <v>2</v>
      </c>
      <c r="E22" s="88" t="s">
        <v>18037</v>
      </c>
      <c r="F22" s="1007">
        <v>101.29</v>
      </c>
      <c r="G22" s="284">
        <v>27.97</v>
      </c>
      <c r="H22" s="284"/>
      <c r="I22" s="284"/>
      <c r="J22" s="1001">
        <f t="shared" si="0"/>
        <v>115.27500000000001</v>
      </c>
      <c r="K22" s="375"/>
      <c r="L22" s="31"/>
      <c r="M22" s="31"/>
      <c r="N22" s="31"/>
      <c r="O22" s="94"/>
      <c r="P22" s="31"/>
      <c r="Q22" s="89"/>
      <c r="R22" s="1689">
        <f t="shared" si="1"/>
        <v>537600</v>
      </c>
      <c r="S22" s="1690">
        <v>560000</v>
      </c>
      <c r="T22" s="37"/>
      <c r="U22" s="32"/>
      <c r="V22" s="1701">
        <f t="shared" si="2"/>
        <v>4663.6304489264803</v>
      </c>
      <c r="W22" s="1701">
        <f t="shared" si="3"/>
        <v>4857.9483842984164</v>
      </c>
      <c r="X22" s="32"/>
      <c r="Y22" s="278"/>
      <c r="Z22" s="33"/>
      <c r="AA22" s="311"/>
      <c r="AB22" s="311"/>
      <c r="AC22" s="33"/>
      <c r="AD22" s="311"/>
      <c r="AE22" s="33"/>
      <c r="AF22" s="311"/>
      <c r="AG22" s="31"/>
      <c r="AH22" s="31"/>
      <c r="AI22" s="307"/>
      <c r="AJ22" s="436"/>
      <c r="AK22" s="307"/>
      <c r="AL22" s="307"/>
      <c r="AM22" s="307"/>
      <c r="AN22" s="31"/>
      <c r="AO22" s="34"/>
      <c r="AP22" s="34"/>
      <c r="AQ22" s="34"/>
      <c r="AR22" s="34"/>
      <c r="AS22" s="34"/>
      <c r="AT22" s="34"/>
      <c r="AU22" s="34"/>
      <c r="AV22" s="34"/>
      <c r="AW22" s="34"/>
      <c r="AX22" s="39"/>
      <c r="AY22" s="39"/>
    </row>
    <row r="23" spans="1:51" s="289" customFormat="1">
      <c r="A23" s="31">
        <v>22</v>
      </c>
      <c r="B23" s="87" t="s">
        <v>45</v>
      </c>
      <c r="C23" s="88" t="s">
        <v>89</v>
      </c>
      <c r="D23" s="88">
        <v>2</v>
      </c>
      <c r="E23" s="88" t="s">
        <v>18037</v>
      </c>
      <c r="F23" s="1007">
        <v>120.52</v>
      </c>
      <c r="G23" s="284">
        <v>34.200000000000003</v>
      </c>
      <c r="H23" s="284"/>
      <c r="I23" s="284"/>
      <c r="J23" s="1001">
        <f t="shared" si="0"/>
        <v>137.62</v>
      </c>
      <c r="K23" s="375"/>
      <c r="L23" s="31"/>
      <c r="M23" s="31"/>
      <c r="N23" s="31"/>
      <c r="O23" s="92"/>
      <c r="P23" s="31"/>
      <c r="Q23" s="89"/>
      <c r="R23" s="1689">
        <f t="shared" si="1"/>
        <v>672000</v>
      </c>
      <c r="S23" s="1690">
        <v>700000</v>
      </c>
      <c r="T23" s="37"/>
      <c r="U23" s="32"/>
      <c r="V23" s="1701">
        <f t="shared" si="2"/>
        <v>4883.0111902339777</v>
      </c>
      <c r="W23" s="1701">
        <f t="shared" si="3"/>
        <v>5086.4699898270601</v>
      </c>
      <c r="X23" s="32"/>
      <c r="Y23" s="278"/>
      <c r="Z23" s="33"/>
      <c r="AA23" s="311"/>
      <c r="AB23" s="311"/>
      <c r="AC23" s="33"/>
      <c r="AD23" s="311"/>
      <c r="AE23" s="33"/>
      <c r="AF23" s="311"/>
      <c r="AG23" s="31"/>
      <c r="AH23" s="31"/>
      <c r="AI23" s="307"/>
      <c r="AJ23" s="436"/>
      <c r="AK23" s="307"/>
      <c r="AL23" s="307"/>
      <c r="AM23" s="307"/>
      <c r="AN23" s="31"/>
      <c r="AO23" s="34"/>
      <c r="AP23" s="34"/>
      <c r="AQ23" s="34"/>
      <c r="AR23" s="34"/>
      <c r="AS23" s="34"/>
      <c r="AT23" s="34"/>
      <c r="AU23" s="34"/>
      <c r="AV23" s="34"/>
      <c r="AW23" s="34"/>
      <c r="AX23" s="39"/>
      <c r="AY23" s="39"/>
    </row>
    <row r="24" spans="1:51" s="289" customFormat="1">
      <c r="A24" s="31">
        <v>23</v>
      </c>
      <c r="B24" s="87" t="s">
        <v>46</v>
      </c>
      <c r="C24" s="88" t="s">
        <v>89</v>
      </c>
      <c r="D24" s="88">
        <v>2</v>
      </c>
      <c r="E24" s="88" t="s">
        <v>42</v>
      </c>
      <c r="F24" s="1007">
        <v>126.37</v>
      </c>
      <c r="G24" s="284">
        <v>43.11</v>
      </c>
      <c r="H24" s="284"/>
      <c r="I24" s="284"/>
      <c r="J24" s="1001">
        <f t="shared" si="0"/>
        <v>147.92500000000001</v>
      </c>
      <c r="K24" s="375"/>
      <c r="L24" s="31"/>
      <c r="M24" s="31"/>
      <c r="N24" s="31"/>
      <c r="O24" s="94"/>
      <c r="P24" s="31"/>
      <c r="Q24" s="89"/>
      <c r="R24" s="1689">
        <f t="shared" si="1"/>
        <v>710400</v>
      </c>
      <c r="S24" s="1690">
        <v>740000</v>
      </c>
      <c r="T24" s="37"/>
      <c r="U24" s="32"/>
      <c r="V24" s="1701">
        <f t="shared" si="2"/>
        <v>4802.4336657089734</v>
      </c>
      <c r="W24" s="1701">
        <f t="shared" si="3"/>
        <v>5002.5350684468476</v>
      </c>
      <c r="X24" s="32"/>
      <c r="Y24" s="278"/>
      <c r="Z24" s="33"/>
      <c r="AA24" s="311"/>
      <c r="AB24" s="311"/>
      <c r="AC24" s="33"/>
      <c r="AD24" s="311"/>
      <c r="AE24" s="33"/>
      <c r="AF24" s="311"/>
      <c r="AG24" s="31"/>
      <c r="AH24" s="31"/>
      <c r="AI24" s="307"/>
      <c r="AJ24" s="436"/>
      <c r="AK24" s="307"/>
      <c r="AL24" s="307"/>
      <c r="AM24" s="307"/>
      <c r="AN24" s="31"/>
      <c r="AO24" s="34"/>
      <c r="AP24" s="34"/>
      <c r="AQ24" s="34"/>
      <c r="AR24" s="34"/>
      <c r="AS24" s="34"/>
      <c r="AT24" s="34"/>
      <c r="AU24" s="34"/>
      <c r="AV24" s="34"/>
      <c r="AW24" s="34"/>
      <c r="AX24" s="39"/>
      <c r="AY24" s="39"/>
    </row>
    <row r="25" spans="1:51" s="289" customFormat="1">
      <c r="A25" s="31">
        <v>24</v>
      </c>
      <c r="B25" s="87" t="s">
        <v>47</v>
      </c>
      <c r="C25" s="88" t="s">
        <v>91</v>
      </c>
      <c r="D25" s="88">
        <v>2</v>
      </c>
      <c r="E25" s="88" t="s">
        <v>18037</v>
      </c>
      <c r="F25" s="1007">
        <v>112.72</v>
      </c>
      <c r="G25" s="284">
        <v>18.25</v>
      </c>
      <c r="H25" s="284"/>
      <c r="I25" s="284"/>
      <c r="J25" s="1001">
        <f t="shared" si="0"/>
        <v>121.845</v>
      </c>
      <c r="K25" s="375"/>
      <c r="L25" s="31"/>
      <c r="M25" s="31"/>
      <c r="N25" s="39"/>
      <c r="O25" s="92"/>
      <c r="P25" s="31"/>
      <c r="Q25" s="89"/>
      <c r="R25" s="1689">
        <f t="shared" si="1"/>
        <v>556800</v>
      </c>
      <c r="S25" s="1690">
        <v>580000</v>
      </c>
      <c r="T25" s="37"/>
      <c r="U25" s="32"/>
      <c r="V25" s="1701">
        <f t="shared" si="2"/>
        <v>4569.7402437523087</v>
      </c>
      <c r="W25" s="1701">
        <f t="shared" si="3"/>
        <v>4760.1460872419875</v>
      </c>
      <c r="X25" s="32"/>
      <c r="Y25" s="278"/>
      <c r="Z25" s="33"/>
      <c r="AA25" s="311"/>
      <c r="AB25" s="311"/>
      <c r="AC25" s="33"/>
      <c r="AD25" s="311"/>
      <c r="AE25" s="33"/>
      <c r="AF25" s="311"/>
      <c r="AG25" s="31"/>
      <c r="AH25" s="31"/>
      <c r="AI25" s="307"/>
      <c r="AJ25" s="436"/>
      <c r="AK25" s="307"/>
      <c r="AL25" s="307"/>
      <c r="AM25" s="307"/>
      <c r="AN25" s="31"/>
      <c r="AO25" s="36"/>
      <c r="AP25" s="36"/>
      <c r="AQ25" s="36"/>
      <c r="AR25" s="36"/>
      <c r="AS25" s="36"/>
      <c r="AT25" s="36"/>
      <c r="AU25" s="36"/>
      <c r="AV25" s="36"/>
      <c r="AW25" s="36"/>
      <c r="AX25" s="39"/>
      <c r="AY25" s="39"/>
    </row>
    <row r="26" spans="1:51" s="289" customFormat="1">
      <c r="A26" s="31">
        <v>25</v>
      </c>
      <c r="B26" s="87" t="s">
        <v>48</v>
      </c>
      <c r="C26" s="88" t="s">
        <v>91</v>
      </c>
      <c r="D26" s="88">
        <v>2</v>
      </c>
      <c r="E26" s="88" t="s">
        <v>37</v>
      </c>
      <c r="F26" s="1007">
        <v>89.38</v>
      </c>
      <c r="G26" s="284">
        <v>41.08</v>
      </c>
      <c r="H26" s="284"/>
      <c r="I26" s="284"/>
      <c r="J26" s="1001">
        <f t="shared" si="0"/>
        <v>109.91999999999999</v>
      </c>
      <c r="K26" s="375"/>
      <c r="L26" s="31"/>
      <c r="M26" s="31"/>
      <c r="N26" s="1646"/>
      <c r="O26" s="94"/>
      <c r="P26" s="31"/>
      <c r="Q26" s="89"/>
      <c r="R26" s="1689">
        <f t="shared" si="1"/>
        <v>451200</v>
      </c>
      <c r="S26" s="1690">
        <v>470000</v>
      </c>
      <c r="T26" s="37"/>
      <c r="U26" s="32"/>
      <c r="V26" s="1701">
        <f t="shared" si="2"/>
        <v>4104.8034934497819</v>
      </c>
      <c r="W26" s="1701">
        <f t="shared" si="3"/>
        <v>4275.8369723435235</v>
      </c>
      <c r="X26" s="32"/>
      <c r="Y26" s="278"/>
      <c r="Z26" s="33"/>
      <c r="AA26" s="311"/>
      <c r="AB26" s="311"/>
      <c r="AC26" s="33"/>
      <c r="AD26" s="311"/>
      <c r="AE26" s="33"/>
      <c r="AF26" s="311"/>
      <c r="AG26" s="31"/>
      <c r="AH26" s="31"/>
      <c r="AI26" s="307"/>
      <c r="AJ26" s="436"/>
      <c r="AK26" s="307"/>
      <c r="AL26" s="307"/>
      <c r="AM26" s="307"/>
      <c r="AN26" s="31"/>
      <c r="AO26" s="34"/>
      <c r="AP26" s="34"/>
      <c r="AQ26" s="34"/>
      <c r="AR26" s="34"/>
      <c r="AS26" s="34"/>
      <c r="AT26" s="34"/>
      <c r="AU26" s="34"/>
      <c r="AV26" s="34"/>
      <c r="AW26" s="34"/>
      <c r="AX26" s="39"/>
      <c r="AY26" s="39"/>
    </row>
    <row r="27" spans="1:51" s="289" customFormat="1">
      <c r="A27" s="31">
        <v>26</v>
      </c>
      <c r="B27" s="87" t="s">
        <v>49</v>
      </c>
      <c r="C27" s="88" t="s">
        <v>90</v>
      </c>
      <c r="D27" s="88">
        <v>2</v>
      </c>
      <c r="E27" s="88" t="s">
        <v>42</v>
      </c>
      <c r="F27" s="1007">
        <v>61.51</v>
      </c>
      <c r="G27" s="284">
        <v>20.309999999999999</v>
      </c>
      <c r="H27" s="284"/>
      <c r="I27" s="284"/>
      <c r="J27" s="1001">
        <f t="shared" si="0"/>
        <v>71.664999999999992</v>
      </c>
      <c r="K27" s="375"/>
      <c r="L27" s="31"/>
      <c r="M27" s="31"/>
      <c r="N27" s="31"/>
      <c r="O27" s="92"/>
      <c r="P27" s="31"/>
      <c r="Q27" s="89"/>
      <c r="R27" s="1689">
        <f t="shared" si="1"/>
        <v>350400</v>
      </c>
      <c r="S27" s="1690">
        <v>365000</v>
      </c>
      <c r="T27" s="37"/>
      <c r="U27" s="32"/>
      <c r="V27" s="1701">
        <f t="shared" si="2"/>
        <v>4889.4160329309989</v>
      </c>
      <c r="W27" s="1701">
        <f t="shared" si="3"/>
        <v>5093.1417009697907</v>
      </c>
      <c r="X27" s="32"/>
      <c r="Y27" s="278"/>
      <c r="Z27" s="33"/>
      <c r="AA27" s="311"/>
      <c r="AB27" s="311"/>
      <c r="AC27" s="33"/>
      <c r="AD27" s="311"/>
      <c r="AE27" s="33"/>
      <c r="AF27" s="311"/>
      <c r="AG27" s="31"/>
      <c r="AH27" s="31"/>
      <c r="AI27" s="307"/>
      <c r="AJ27" s="436"/>
      <c r="AK27" s="307"/>
      <c r="AL27" s="307"/>
      <c r="AM27" s="307"/>
      <c r="AN27" s="31"/>
      <c r="AO27" s="34"/>
      <c r="AP27" s="34"/>
      <c r="AQ27" s="34"/>
      <c r="AR27" s="34"/>
      <c r="AS27" s="34"/>
      <c r="AT27" s="34"/>
      <c r="AU27" s="34"/>
      <c r="AV27" s="34"/>
      <c r="AW27" s="34"/>
      <c r="AX27" s="39"/>
      <c r="AY27" s="39"/>
    </row>
    <row r="28" spans="1:51" s="289" customFormat="1">
      <c r="A28" s="31">
        <v>27</v>
      </c>
      <c r="B28" s="87" t="s">
        <v>50</v>
      </c>
      <c r="C28" s="88" t="s">
        <v>90</v>
      </c>
      <c r="D28" s="88">
        <v>2</v>
      </c>
      <c r="E28" s="88" t="s">
        <v>37</v>
      </c>
      <c r="F28" s="1007">
        <v>75.89</v>
      </c>
      <c r="G28" s="284">
        <v>0</v>
      </c>
      <c r="H28" s="284" t="s">
        <v>92</v>
      </c>
      <c r="I28" s="284"/>
      <c r="J28" s="1001">
        <f t="shared" si="0"/>
        <v>75.89</v>
      </c>
      <c r="K28" s="375"/>
      <c r="L28" s="31"/>
      <c r="M28" s="31"/>
      <c r="N28" s="31"/>
      <c r="O28" s="94"/>
      <c r="P28" s="31"/>
      <c r="Q28" s="89"/>
      <c r="R28" s="1689">
        <f t="shared" si="1"/>
        <v>355200</v>
      </c>
      <c r="S28" s="1690">
        <v>370000</v>
      </c>
      <c r="T28" s="37"/>
      <c r="U28" s="32"/>
      <c r="V28" s="1701">
        <f t="shared" si="2"/>
        <v>4680.4585584398474</v>
      </c>
      <c r="W28" s="1701">
        <f t="shared" si="3"/>
        <v>4875.4776650415079</v>
      </c>
      <c r="X28" s="32"/>
      <c r="Y28" s="278"/>
      <c r="Z28" s="33"/>
      <c r="AA28" s="311"/>
      <c r="AB28" s="311"/>
      <c r="AC28" s="33"/>
      <c r="AD28" s="311"/>
      <c r="AE28" s="33"/>
      <c r="AF28" s="311"/>
      <c r="AG28" s="31"/>
      <c r="AH28" s="31"/>
      <c r="AI28" s="307"/>
      <c r="AJ28" s="436"/>
      <c r="AK28" s="307"/>
      <c r="AL28" s="307"/>
      <c r="AM28" s="307"/>
      <c r="AN28" s="31"/>
      <c r="AO28" s="34"/>
      <c r="AP28" s="34"/>
      <c r="AQ28" s="34"/>
      <c r="AR28" s="34"/>
      <c r="AS28" s="34"/>
      <c r="AT28" s="34"/>
      <c r="AU28" s="34"/>
      <c r="AV28" s="34"/>
      <c r="AW28" s="34"/>
      <c r="AX28" s="39"/>
      <c r="AY28" s="39"/>
    </row>
    <row r="29" spans="1:51" s="289" customFormat="1">
      <c r="A29" s="31">
        <v>28</v>
      </c>
      <c r="B29" s="1748" t="s">
        <v>51</v>
      </c>
      <c r="C29" s="1749" t="s">
        <v>89</v>
      </c>
      <c r="D29" s="88">
        <v>2</v>
      </c>
      <c r="E29" s="88" t="s">
        <v>145</v>
      </c>
      <c r="F29" s="1007">
        <v>153.85</v>
      </c>
      <c r="G29" s="284">
        <v>13.75</v>
      </c>
      <c r="H29" s="284"/>
      <c r="I29" s="284"/>
      <c r="J29" s="1001">
        <f t="shared" si="0"/>
        <v>160.72499999999999</v>
      </c>
      <c r="K29" s="375"/>
      <c r="L29" s="31"/>
      <c r="M29" s="31"/>
      <c r="N29" s="31"/>
      <c r="O29" s="92"/>
      <c r="P29" s="31"/>
      <c r="Q29" s="89"/>
      <c r="R29" s="1689">
        <f t="shared" si="1"/>
        <v>652800</v>
      </c>
      <c r="S29" s="1690">
        <v>680000</v>
      </c>
      <c r="T29" s="37"/>
      <c r="U29" s="32"/>
      <c r="V29" s="1701">
        <f t="shared" si="2"/>
        <v>4061.5958936070929</v>
      </c>
      <c r="W29" s="1701">
        <f t="shared" si="3"/>
        <v>4230.8290558407216</v>
      </c>
      <c r="X29" s="32"/>
      <c r="Y29" s="278"/>
      <c r="Z29" s="33"/>
      <c r="AA29" s="311"/>
      <c r="AB29" s="311"/>
      <c r="AC29" s="33"/>
      <c r="AD29" s="311"/>
      <c r="AE29" s="33"/>
      <c r="AF29" s="311"/>
      <c r="AG29" s="31"/>
      <c r="AH29" s="31"/>
      <c r="AI29" s="307"/>
      <c r="AJ29" s="436"/>
      <c r="AK29" s="307"/>
      <c r="AL29" s="307"/>
      <c r="AM29" s="307"/>
      <c r="AN29" s="31"/>
      <c r="AO29" s="34"/>
      <c r="AP29" s="34"/>
      <c r="AQ29" s="34"/>
      <c r="AR29" s="34"/>
      <c r="AS29" s="34"/>
      <c r="AT29" s="34"/>
      <c r="AU29" s="34"/>
      <c r="AV29" s="34"/>
      <c r="AW29" s="34"/>
      <c r="AX29" s="39"/>
      <c r="AY29" s="39"/>
    </row>
    <row r="30" spans="1:51" s="289" customFormat="1">
      <c r="A30" s="31">
        <v>29</v>
      </c>
      <c r="B30" s="1748" t="s">
        <v>52</v>
      </c>
      <c r="C30" s="1749" t="s">
        <v>89</v>
      </c>
      <c r="D30" s="88">
        <v>2</v>
      </c>
      <c r="E30" s="88" t="s">
        <v>146</v>
      </c>
      <c r="F30" s="1007">
        <v>159.1</v>
      </c>
      <c r="G30" s="284">
        <v>84.25</v>
      </c>
      <c r="H30" s="284"/>
      <c r="I30" s="284"/>
      <c r="J30" s="1001">
        <f t="shared" si="0"/>
        <v>201.22499999999999</v>
      </c>
      <c r="K30" s="375"/>
      <c r="L30" s="31"/>
      <c r="M30" s="31"/>
      <c r="N30" s="31"/>
      <c r="O30" s="94"/>
      <c r="P30" s="31"/>
      <c r="Q30" s="89"/>
      <c r="R30" s="1689">
        <f t="shared" si="1"/>
        <v>825600</v>
      </c>
      <c r="S30" s="1690">
        <v>860000</v>
      </c>
      <c r="T30" s="37"/>
      <c r="U30" s="32"/>
      <c r="V30" s="1701">
        <f t="shared" si="2"/>
        <v>4102.8699217294079</v>
      </c>
      <c r="W30" s="1701">
        <f t="shared" si="3"/>
        <v>4273.8228351347998</v>
      </c>
      <c r="X30" s="32"/>
      <c r="Y30" s="278"/>
      <c r="Z30" s="33"/>
      <c r="AA30" s="311"/>
      <c r="AB30" s="311"/>
      <c r="AC30" s="33"/>
      <c r="AD30" s="311"/>
      <c r="AE30" s="33"/>
      <c r="AF30" s="311"/>
      <c r="AG30" s="31"/>
      <c r="AH30" s="31"/>
      <c r="AI30" s="307"/>
      <c r="AJ30" s="436"/>
      <c r="AK30" s="307"/>
      <c r="AL30" s="307"/>
      <c r="AM30" s="307"/>
      <c r="AN30" s="31"/>
      <c r="AO30" s="34"/>
      <c r="AP30" s="34"/>
      <c r="AQ30" s="34"/>
      <c r="AR30" s="34"/>
      <c r="AS30" s="34"/>
      <c r="AT30" s="34"/>
      <c r="AU30" s="34"/>
      <c r="AV30" s="303"/>
      <c r="AW30" s="303"/>
      <c r="AX30" s="39"/>
      <c r="AY30" s="39"/>
    </row>
    <row r="31" spans="1:51" s="740" customFormat="1">
      <c r="A31" s="610">
        <v>30</v>
      </c>
      <c r="B31" s="1677" t="s">
        <v>53</v>
      </c>
      <c r="C31" s="612" t="s">
        <v>89</v>
      </c>
      <c r="D31" s="612">
        <v>3</v>
      </c>
      <c r="E31" s="612" t="s">
        <v>146</v>
      </c>
      <c r="F31" s="1670">
        <v>140.66999999999999</v>
      </c>
      <c r="G31" s="1671">
        <v>54.73</v>
      </c>
      <c r="H31" s="1671"/>
      <c r="I31" s="1671"/>
      <c r="J31" s="1672">
        <f t="shared" si="0"/>
        <v>168.035</v>
      </c>
      <c r="K31" s="630"/>
      <c r="L31" s="610"/>
      <c r="M31" s="610"/>
      <c r="N31" s="610"/>
      <c r="O31" s="631"/>
      <c r="P31" s="610"/>
      <c r="Q31" s="618"/>
      <c r="R31" s="1687">
        <f t="shared" si="1"/>
        <v>787200</v>
      </c>
      <c r="S31" s="1688">
        <v>820000</v>
      </c>
      <c r="T31" s="619"/>
      <c r="U31" s="620"/>
      <c r="V31" s="1700">
        <f t="shared" si="2"/>
        <v>4684.7382985687509</v>
      </c>
      <c r="W31" s="1700">
        <f t="shared" si="3"/>
        <v>4879.9357276757819</v>
      </c>
      <c r="X31" s="620"/>
      <c r="Y31" s="621"/>
      <c r="Z31" s="622"/>
      <c r="AA31" s="623"/>
      <c r="AB31" s="623"/>
      <c r="AC31" s="622"/>
      <c r="AD31" s="623"/>
      <c r="AE31" s="622"/>
      <c r="AF31" s="623"/>
      <c r="AG31" s="610"/>
      <c r="AH31" s="610"/>
      <c r="AI31" s="624"/>
      <c r="AJ31" s="1673"/>
      <c r="AK31" s="624"/>
      <c r="AL31" s="624"/>
      <c r="AM31" s="624"/>
      <c r="AN31" s="610"/>
      <c r="AO31" s="625"/>
      <c r="AP31" s="625"/>
      <c r="AQ31" s="625"/>
      <c r="AR31" s="625"/>
      <c r="AS31" s="625"/>
      <c r="AT31" s="625"/>
      <c r="AU31" s="625"/>
      <c r="AV31" s="625"/>
      <c r="AW31" s="625"/>
      <c r="AX31" s="626"/>
      <c r="AY31" s="626"/>
    </row>
    <row r="32" spans="1:51" s="740" customFormat="1">
      <c r="A32" s="610">
        <v>31</v>
      </c>
      <c r="B32" s="633" t="s">
        <v>54</v>
      </c>
      <c r="C32" s="612" t="s">
        <v>91</v>
      </c>
      <c r="D32" s="612">
        <v>3</v>
      </c>
      <c r="E32" s="612" t="s">
        <v>17269</v>
      </c>
      <c r="F32" s="1670">
        <v>93.66</v>
      </c>
      <c r="G32" s="1671">
        <v>8.8699999999999992</v>
      </c>
      <c r="H32" s="1671"/>
      <c r="I32" s="1671"/>
      <c r="J32" s="1672">
        <f t="shared" si="0"/>
        <v>98.094999999999999</v>
      </c>
      <c r="K32" s="630"/>
      <c r="L32" s="610"/>
      <c r="M32" s="610"/>
      <c r="N32" s="610"/>
      <c r="O32" s="617"/>
      <c r="P32" s="610"/>
      <c r="Q32" s="618"/>
      <c r="R32" s="1687">
        <f t="shared" si="1"/>
        <v>436800</v>
      </c>
      <c r="S32" s="1688">
        <v>455000</v>
      </c>
      <c r="T32" s="619"/>
      <c r="U32" s="620"/>
      <c r="V32" s="1700">
        <f t="shared" si="2"/>
        <v>4452.8263418115093</v>
      </c>
      <c r="W32" s="1700">
        <f t="shared" si="3"/>
        <v>4638.3607727203225</v>
      </c>
      <c r="X32" s="620"/>
      <c r="Y32" s="621"/>
      <c r="Z32" s="622"/>
      <c r="AA32" s="623"/>
      <c r="AB32" s="623"/>
      <c r="AC32" s="622"/>
      <c r="AD32" s="623"/>
      <c r="AE32" s="622"/>
      <c r="AF32" s="623"/>
      <c r="AG32" s="610"/>
      <c r="AH32" s="610"/>
      <c r="AI32" s="624"/>
      <c r="AJ32" s="1673"/>
      <c r="AK32" s="624"/>
      <c r="AL32" s="624"/>
      <c r="AM32" s="624"/>
      <c r="AN32" s="610"/>
      <c r="AO32" s="625"/>
      <c r="AP32" s="625"/>
      <c r="AQ32" s="625"/>
      <c r="AR32" s="625"/>
      <c r="AS32" s="625"/>
      <c r="AT32" s="625"/>
      <c r="AU32" s="625"/>
      <c r="AV32" s="625"/>
      <c r="AW32" s="625"/>
      <c r="AX32" s="626"/>
      <c r="AY32" s="626"/>
    </row>
    <row r="33" spans="1:51" s="740" customFormat="1">
      <c r="A33" s="610">
        <v>32</v>
      </c>
      <c r="B33" s="633" t="s">
        <v>55</v>
      </c>
      <c r="C33" s="612" t="s">
        <v>90</v>
      </c>
      <c r="D33" s="612">
        <v>3</v>
      </c>
      <c r="E33" s="612" t="s">
        <v>37</v>
      </c>
      <c r="F33" s="1670">
        <v>64.260000000000005</v>
      </c>
      <c r="G33" s="1671">
        <v>10.67</v>
      </c>
      <c r="H33" s="1671"/>
      <c r="I33" s="1671"/>
      <c r="J33" s="1672">
        <f t="shared" si="0"/>
        <v>69.594999999999999</v>
      </c>
      <c r="K33" s="630"/>
      <c r="L33" s="610"/>
      <c r="M33" s="610"/>
      <c r="N33" s="610"/>
      <c r="O33" s="631"/>
      <c r="P33" s="610"/>
      <c r="Q33" s="618"/>
      <c r="R33" s="1687">
        <f t="shared" si="1"/>
        <v>312000</v>
      </c>
      <c r="S33" s="1688">
        <v>325000</v>
      </c>
      <c r="T33" s="619"/>
      <c r="U33" s="620"/>
      <c r="V33" s="1700">
        <f t="shared" si="2"/>
        <v>4483.080681083411</v>
      </c>
      <c r="W33" s="1700">
        <f t="shared" si="3"/>
        <v>4669.8757094618868</v>
      </c>
      <c r="X33" s="620"/>
      <c r="Y33" s="621"/>
      <c r="Z33" s="622"/>
      <c r="AA33" s="623"/>
      <c r="AB33" s="623"/>
      <c r="AC33" s="622"/>
      <c r="AD33" s="623"/>
      <c r="AE33" s="622"/>
      <c r="AF33" s="623"/>
      <c r="AG33" s="610"/>
      <c r="AH33" s="610"/>
      <c r="AI33" s="624"/>
      <c r="AJ33" s="1673"/>
      <c r="AK33" s="624"/>
      <c r="AL33" s="624"/>
      <c r="AM33" s="624"/>
      <c r="AN33" s="610"/>
      <c r="AO33" s="625"/>
      <c r="AP33" s="625"/>
      <c r="AQ33" s="625"/>
      <c r="AR33" s="625"/>
      <c r="AS33" s="625"/>
      <c r="AT33" s="625"/>
      <c r="AU33" s="625"/>
      <c r="AV33" s="625"/>
      <c r="AW33" s="625"/>
      <c r="AX33" s="626"/>
      <c r="AY33" s="626"/>
    </row>
    <row r="34" spans="1:51" s="740" customFormat="1">
      <c r="A34" s="610">
        <v>33</v>
      </c>
      <c r="B34" s="633" t="s">
        <v>56</v>
      </c>
      <c r="C34" s="612" t="s">
        <v>90</v>
      </c>
      <c r="D34" s="612">
        <v>3</v>
      </c>
      <c r="E34" s="612" t="s">
        <v>42</v>
      </c>
      <c r="F34" s="1670">
        <v>61.53</v>
      </c>
      <c r="G34" s="1671">
        <v>16.14</v>
      </c>
      <c r="H34" s="1671"/>
      <c r="I34" s="1671"/>
      <c r="J34" s="1672">
        <f t="shared" si="0"/>
        <v>69.599999999999994</v>
      </c>
      <c r="K34" s="630"/>
      <c r="L34" s="610"/>
      <c r="M34" s="610"/>
      <c r="N34" s="610"/>
      <c r="O34" s="617"/>
      <c r="P34" s="610"/>
      <c r="Q34" s="618"/>
      <c r="R34" s="1687">
        <f t="shared" si="1"/>
        <v>316800</v>
      </c>
      <c r="S34" s="1688">
        <v>330000</v>
      </c>
      <c r="T34" s="619"/>
      <c r="U34" s="620"/>
      <c r="V34" s="1700">
        <f t="shared" si="2"/>
        <v>4551.7241379310344</v>
      </c>
      <c r="W34" s="1700">
        <f t="shared" si="3"/>
        <v>4741.3793103448279</v>
      </c>
      <c r="X34" s="620"/>
      <c r="Y34" s="621"/>
      <c r="Z34" s="622"/>
      <c r="AA34" s="623"/>
      <c r="AB34" s="623"/>
      <c r="AC34" s="622"/>
      <c r="AD34" s="623"/>
      <c r="AE34" s="622"/>
      <c r="AF34" s="623"/>
      <c r="AG34" s="610"/>
      <c r="AH34" s="610"/>
      <c r="AI34" s="624"/>
      <c r="AJ34" s="1673"/>
      <c r="AK34" s="624"/>
      <c r="AL34" s="624"/>
      <c r="AM34" s="624"/>
      <c r="AN34" s="624"/>
      <c r="AO34" s="625"/>
      <c r="AP34" s="625"/>
      <c r="AQ34" s="625"/>
      <c r="AR34" s="625"/>
      <c r="AS34" s="625"/>
      <c r="AT34" s="625"/>
      <c r="AU34" s="625"/>
      <c r="AV34" s="625"/>
      <c r="AW34" s="625"/>
      <c r="AX34" s="626"/>
      <c r="AY34" s="626"/>
    </row>
    <row r="35" spans="1:51" s="740" customFormat="1">
      <c r="A35" s="610">
        <v>34</v>
      </c>
      <c r="B35" s="633" t="s">
        <v>57</v>
      </c>
      <c r="C35" s="612" t="s">
        <v>90</v>
      </c>
      <c r="D35" s="612">
        <v>3</v>
      </c>
      <c r="E35" s="612" t="s">
        <v>37</v>
      </c>
      <c r="F35" s="1670">
        <v>58.05</v>
      </c>
      <c r="G35" s="1671">
        <v>18.760000000000002</v>
      </c>
      <c r="H35" s="1671"/>
      <c r="I35" s="1671"/>
      <c r="J35" s="1672">
        <f t="shared" si="0"/>
        <v>67.429999999999993</v>
      </c>
      <c r="K35" s="630"/>
      <c r="L35" s="610"/>
      <c r="M35" s="610"/>
      <c r="N35" s="610"/>
      <c r="O35" s="631"/>
      <c r="P35" s="610"/>
      <c r="Q35" s="618"/>
      <c r="R35" s="1687">
        <f t="shared" si="1"/>
        <v>355200</v>
      </c>
      <c r="S35" s="1688">
        <v>370000</v>
      </c>
      <c r="T35" s="619"/>
      <c r="U35" s="620"/>
      <c r="V35" s="1700">
        <f t="shared" si="2"/>
        <v>5267.6850066735878</v>
      </c>
      <c r="W35" s="1700">
        <f t="shared" si="3"/>
        <v>5487.1718819516545</v>
      </c>
      <c r="X35" s="620"/>
      <c r="Y35" s="621"/>
      <c r="Z35" s="622"/>
      <c r="AA35" s="623"/>
      <c r="AB35" s="623"/>
      <c r="AC35" s="622"/>
      <c r="AD35" s="623"/>
      <c r="AE35" s="622"/>
      <c r="AF35" s="623"/>
      <c r="AG35" s="610"/>
      <c r="AH35" s="610"/>
      <c r="AI35" s="624"/>
      <c r="AJ35" s="1673"/>
      <c r="AK35" s="624"/>
      <c r="AL35" s="624"/>
      <c r="AM35" s="624"/>
      <c r="AN35" s="610"/>
      <c r="AO35" s="636"/>
      <c r="AP35" s="636"/>
      <c r="AQ35" s="636"/>
      <c r="AR35" s="636"/>
      <c r="AS35" s="636"/>
      <c r="AT35" s="636"/>
      <c r="AU35" s="636"/>
      <c r="AV35" s="636"/>
      <c r="AW35" s="636"/>
      <c r="AX35" s="626"/>
      <c r="AY35" s="626"/>
    </row>
    <row r="36" spans="1:51" s="740" customFormat="1">
      <c r="A36" s="610">
        <v>35</v>
      </c>
      <c r="B36" s="633" t="s">
        <v>58</v>
      </c>
      <c r="C36" s="612" t="s">
        <v>91</v>
      </c>
      <c r="D36" s="612">
        <v>3</v>
      </c>
      <c r="E36" s="612" t="s">
        <v>42</v>
      </c>
      <c r="F36" s="1670">
        <v>86.48</v>
      </c>
      <c r="G36" s="1671">
        <v>22.84</v>
      </c>
      <c r="H36" s="1671"/>
      <c r="I36" s="1671"/>
      <c r="J36" s="1672">
        <f t="shared" si="0"/>
        <v>97.9</v>
      </c>
      <c r="K36" s="630"/>
      <c r="L36" s="1678"/>
      <c r="M36" s="610"/>
      <c r="N36" s="610"/>
      <c r="O36" s="617"/>
      <c r="P36" s="610"/>
      <c r="Q36" s="618"/>
      <c r="R36" s="1687">
        <f t="shared" si="1"/>
        <v>513600</v>
      </c>
      <c r="S36" s="1688">
        <v>535000</v>
      </c>
      <c r="T36" s="619"/>
      <c r="U36" s="620"/>
      <c r="V36" s="1700">
        <f t="shared" si="2"/>
        <v>5246.1695607763022</v>
      </c>
      <c r="W36" s="1700">
        <f t="shared" si="3"/>
        <v>5464.7599591419812</v>
      </c>
      <c r="X36" s="620"/>
      <c r="Y36" s="621"/>
      <c r="Z36" s="622"/>
      <c r="AA36" s="623"/>
      <c r="AB36" s="623"/>
      <c r="AC36" s="622"/>
      <c r="AD36" s="623"/>
      <c r="AE36" s="622"/>
      <c r="AF36" s="623"/>
      <c r="AG36" s="610"/>
      <c r="AH36" s="610"/>
      <c r="AI36" s="624"/>
      <c r="AJ36" s="1673"/>
      <c r="AK36" s="624"/>
      <c r="AL36" s="624"/>
      <c r="AM36" s="624"/>
      <c r="AN36" s="610"/>
      <c r="AO36" s="625"/>
      <c r="AP36" s="625"/>
      <c r="AQ36" s="625"/>
      <c r="AR36" s="625"/>
      <c r="AS36" s="625"/>
      <c r="AT36" s="625"/>
      <c r="AU36" s="625"/>
      <c r="AV36" s="625"/>
      <c r="AW36" s="625"/>
      <c r="AX36" s="626"/>
      <c r="AY36" s="626"/>
    </row>
    <row r="37" spans="1:51" s="740" customFormat="1">
      <c r="A37" s="610">
        <v>36</v>
      </c>
      <c r="B37" s="633" t="s">
        <v>59</v>
      </c>
      <c r="C37" s="612" t="s">
        <v>91</v>
      </c>
      <c r="D37" s="612">
        <v>3</v>
      </c>
      <c r="E37" s="612" t="s">
        <v>18037</v>
      </c>
      <c r="F37" s="1670">
        <v>114.84</v>
      </c>
      <c r="G37" s="1671">
        <v>23.01</v>
      </c>
      <c r="H37" s="1671"/>
      <c r="I37" s="1671"/>
      <c r="J37" s="1672">
        <f t="shared" si="0"/>
        <v>126.345</v>
      </c>
      <c r="K37" s="630"/>
      <c r="L37" s="610"/>
      <c r="M37" s="610"/>
      <c r="N37" s="610"/>
      <c r="O37" s="631"/>
      <c r="P37" s="610"/>
      <c r="Q37" s="618"/>
      <c r="R37" s="1687">
        <f t="shared" si="1"/>
        <v>590400</v>
      </c>
      <c r="S37" s="1688">
        <v>615000</v>
      </c>
      <c r="T37" s="619"/>
      <c r="U37" s="620"/>
      <c r="V37" s="1700">
        <f t="shared" si="2"/>
        <v>4672.9193873916656</v>
      </c>
      <c r="W37" s="1700">
        <f t="shared" si="3"/>
        <v>4867.6243618663184</v>
      </c>
      <c r="X37" s="620"/>
      <c r="Y37" s="621"/>
      <c r="Z37" s="622"/>
      <c r="AA37" s="623"/>
      <c r="AB37" s="623"/>
      <c r="AC37" s="622"/>
      <c r="AD37" s="623"/>
      <c r="AE37" s="622"/>
      <c r="AF37" s="623"/>
      <c r="AG37" s="610"/>
      <c r="AH37" s="610"/>
      <c r="AI37" s="624"/>
      <c r="AJ37" s="1673"/>
      <c r="AK37" s="624"/>
      <c r="AL37" s="624"/>
      <c r="AM37" s="624"/>
      <c r="AN37" s="610"/>
      <c r="AO37" s="625"/>
      <c r="AP37" s="625"/>
      <c r="AQ37" s="625"/>
      <c r="AR37" s="625"/>
      <c r="AS37" s="625"/>
      <c r="AT37" s="625"/>
      <c r="AU37" s="625"/>
      <c r="AV37" s="625"/>
      <c r="AW37" s="625"/>
      <c r="AX37" s="626"/>
      <c r="AY37" s="626"/>
    </row>
    <row r="38" spans="1:51" s="740" customFormat="1">
      <c r="A38" s="610">
        <v>37</v>
      </c>
      <c r="B38" s="633" t="s">
        <v>60</v>
      </c>
      <c r="C38" s="612" t="s">
        <v>90</v>
      </c>
      <c r="D38" s="612">
        <v>3</v>
      </c>
      <c r="E38" s="612" t="s">
        <v>42</v>
      </c>
      <c r="F38" s="1670">
        <v>63.38</v>
      </c>
      <c r="G38" s="1671">
        <v>16.62</v>
      </c>
      <c r="H38" s="1671"/>
      <c r="I38" s="1671"/>
      <c r="J38" s="1672">
        <f t="shared" si="0"/>
        <v>71.69</v>
      </c>
      <c r="K38" s="630"/>
      <c r="L38" s="610"/>
      <c r="M38" s="610"/>
      <c r="N38" s="626"/>
      <c r="O38" s="617"/>
      <c r="P38" s="610"/>
      <c r="Q38" s="618"/>
      <c r="R38" s="1687">
        <f t="shared" si="1"/>
        <v>360000</v>
      </c>
      <c r="S38" s="1688">
        <v>375000</v>
      </c>
      <c r="T38" s="619"/>
      <c r="U38" s="620"/>
      <c r="V38" s="1700">
        <f t="shared" si="2"/>
        <v>5021.6208676244942</v>
      </c>
      <c r="W38" s="1700">
        <f t="shared" si="3"/>
        <v>5230.8550704421814</v>
      </c>
      <c r="X38" s="620"/>
      <c r="Y38" s="621"/>
      <c r="Z38" s="622"/>
      <c r="AA38" s="623"/>
      <c r="AB38" s="623"/>
      <c r="AC38" s="622"/>
      <c r="AD38" s="623"/>
      <c r="AE38" s="622"/>
      <c r="AF38" s="623"/>
      <c r="AG38" s="610"/>
      <c r="AH38" s="610"/>
      <c r="AI38" s="624"/>
      <c r="AJ38" s="1673"/>
      <c r="AK38" s="624"/>
      <c r="AL38" s="624"/>
      <c r="AM38" s="624"/>
      <c r="AN38" s="610"/>
      <c r="AO38" s="636"/>
      <c r="AP38" s="636"/>
      <c r="AQ38" s="636"/>
      <c r="AR38" s="636"/>
      <c r="AS38" s="636"/>
      <c r="AT38" s="636"/>
      <c r="AU38" s="636"/>
      <c r="AV38" s="636"/>
      <c r="AW38" s="636"/>
      <c r="AX38" s="626"/>
      <c r="AY38" s="626"/>
    </row>
    <row r="39" spans="1:51" s="740" customFormat="1">
      <c r="A39" s="610">
        <v>38</v>
      </c>
      <c r="B39" s="633" t="s">
        <v>61</v>
      </c>
      <c r="C39" s="612" t="s">
        <v>91</v>
      </c>
      <c r="D39" s="612">
        <v>3</v>
      </c>
      <c r="E39" s="612" t="s">
        <v>18037</v>
      </c>
      <c r="F39" s="1670">
        <v>101.08</v>
      </c>
      <c r="G39" s="1671">
        <v>15.69</v>
      </c>
      <c r="H39" s="1671"/>
      <c r="I39" s="1671"/>
      <c r="J39" s="1672">
        <f t="shared" si="0"/>
        <v>108.925</v>
      </c>
      <c r="K39" s="630"/>
      <c r="L39" s="610"/>
      <c r="M39" s="610"/>
      <c r="N39" s="626"/>
      <c r="O39" s="631"/>
      <c r="P39" s="610"/>
      <c r="Q39" s="618"/>
      <c r="R39" s="1687">
        <f t="shared" si="1"/>
        <v>537600</v>
      </c>
      <c r="S39" s="1688">
        <v>560000</v>
      </c>
      <c r="T39" s="619"/>
      <c r="U39" s="620"/>
      <c r="V39" s="1700">
        <f t="shared" si="2"/>
        <v>4935.5060821666284</v>
      </c>
      <c r="W39" s="1700">
        <f t="shared" si="3"/>
        <v>5141.1521689235715</v>
      </c>
      <c r="X39" s="620"/>
      <c r="Y39" s="621"/>
      <c r="Z39" s="622"/>
      <c r="AA39" s="623"/>
      <c r="AB39" s="623"/>
      <c r="AC39" s="622"/>
      <c r="AD39" s="623"/>
      <c r="AE39" s="622"/>
      <c r="AF39" s="623"/>
      <c r="AG39" s="610"/>
      <c r="AH39" s="610"/>
      <c r="AI39" s="624"/>
      <c r="AJ39" s="1673"/>
      <c r="AK39" s="624"/>
      <c r="AL39" s="624"/>
      <c r="AM39" s="624"/>
      <c r="AN39" s="610"/>
      <c r="AO39" s="625"/>
      <c r="AP39" s="625"/>
      <c r="AQ39" s="625"/>
      <c r="AR39" s="625"/>
      <c r="AS39" s="625"/>
      <c r="AT39" s="625"/>
      <c r="AU39" s="625"/>
      <c r="AV39" s="625"/>
      <c r="AW39" s="625"/>
      <c r="AX39" s="626"/>
      <c r="AY39" s="626"/>
    </row>
    <row r="40" spans="1:51" s="740" customFormat="1">
      <c r="A40" s="610">
        <v>39</v>
      </c>
      <c r="B40" s="633" t="s">
        <v>62</v>
      </c>
      <c r="C40" s="612" t="s">
        <v>91</v>
      </c>
      <c r="D40" s="612">
        <v>3</v>
      </c>
      <c r="E40" s="612" t="s">
        <v>18037</v>
      </c>
      <c r="F40" s="1670">
        <v>98.43</v>
      </c>
      <c r="G40" s="1671">
        <v>15.29</v>
      </c>
      <c r="H40" s="1671"/>
      <c r="I40" s="1671"/>
      <c r="J40" s="1672">
        <f t="shared" si="0"/>
        <v>106.075</v>
      </c>
      <c r="K40" s="630"/>
      <c r="L40" s="610"/>
      <c r="M40" s="610"/>
      <c r="N40" s="626"/>
      <c r="O40" s="617"/>
      <c r="P40" s="610"/>
      <c r="Q40" s="618"/>
      <c r="R40" s="1687">
        <f t="shared" si="1"/>
        <v>532800</v>
      </c>
      <c r="S40" s="1688">
        <v>555000</v>
      </c>
      <c r="T40" s="619"/>
      <c r="U40" s="620"/>
      <c r="V40" s="1700">
        <f t="shared" si="2"/>
        <v>5022.8611831251474</v>
      </c>
      <c r="W40" s="1700">
        <f t="shared" si="3"/>
        <v>5232.1470657553618</v>
      </c>
      <c r="X40" s="620"/>
      <c r="Y40" s="621"/>
      <c r="Z40" s="1679"/>
      <c r="AA40" s="1675"/>
      <c r="AB40" s="1680"/>
      <c r="AC40" s="1681"/>
      <c r="AD40" s="1680"/>
      <c r="AE40" s="1681"/>
      <c r="AF40" s="1680"/>
      <c r="AG40" s="610"/>
      <c r="AH40" s="610"/>
      <c r="AI40" s="624"/>
      <c r="AJ40" s="1673"/>
      <c r="AK40" s="624"/>
      <c r="AL40" s="624"/>
      <c r="AM40" s="624"/>
      <c r="AN40" s="610"/>
      <c r="AO40" s="1682"/>
      <c r="AP40" s="1682"/>
      <c r="AQ40" s="1682"/>
      <c r="AR40" s="1682"/>
      <c r="AS40" s="1682"/>
      <c r="AT40" s="1682"/>
      <c r="AU40" s="1682"/>
      <c r="AV40" s="1683"/>
      <c r="AW40" s="1683"/>
      <c r="AX40" s="626"/>
      <c r="AY40" s="626"/>
    </row>
    <row r="41" spans="1:51" s="740" customFormat="1">
      <c r="A41" s="610">
        <v>40</v>
      </c>
      <c r="B41" s="633" t="s">
        <v>63</v>
      </c>
      <c r="C41" s="612" t="s">
        <v>89</v>
      </c>
      <c r="D41" s="612">
        <v>3</v>
      </c>
      <c r="E41" s="612" t="s">
        <v>42</v>
      </c>
      <c r="F41" s="1670">
        <v>126.41</v>
      </c>
      <c r="G41" s="1671">
        <v>43.12</v>
      </c>
      <c r="H41" s="1671"/>
      <c r="I41" s="1671"/>
      <c r="J41" s="1672">
        <f t="shared" si="0"/>
        <v>147.97</v>
      </c>
      <c r="K41" s="630"/>
      <c r="L41" s="610"/>
      <c r="M41" s="610"/>
      <c r="N41" s="626"/>
      <c r="O41" s="631"/>
      <c r="P41" s="610"/>
      <c r="Q41" s="618"/>
      <c r="R41" s="1687">
        <f t="shared" si="1"/>
        <v>729600</v>
      </c>
      <c r="S41" s="1688">
        <v>760000</v>
      </c>
      <c r="T41" s="619"/>
      <c r="U41" s="620"/>
      <c r="V41" s="1700">
        <f t="shared" si="2"/>
        <v>4930.7292018652433</v>
      </c>
      <c r="W41" s="1700">
        <f t="shared" si="3"/>
        <v>5136.1762519429612</v>
      </c>
      <c r="X41" s="620"/>
      <c r="Y41" s="621"/>
      <c r="Z41" s="622"/>
      <c r="AA41" s="623"/>
      <c r="AB41" s="623"/>
      <c r="AC41" s="622"/>
      <c r="AD41" s="623"/>
      <c r="AE41" s="622"/>
      <c r="AF41" s="623"/>
      <c r="AG41" s="610"/>
      <c r="AH41" s="610"/>
      <c r="AI41" s="624"/>
      <c r="AJ41" s="1673"/>
      <c r="AK41" s="624"/>
      <c r="AL41" s="624"/>
      <c r="AM41" s="624"/>
      <c r="AN41" s="624"/>
      <c r="AO41" s="636"/>
      <c r="AP41" s="636"/>
      <c r="AQ41" s="636"/>
      <c r="AR41" s="636"/>
      <c r="AS41" s="636"/>
      <c r="AT41" s="636"/>
      <c r="AU41" s="636"/>
      <c r="AV41" s="636"/>
      <c r="AW41" s="636"/>
      <c r="AX41" s="626"/>
      <c r="AY41" s="626"/>
    </row>
    <row r="42" spans="1:51" s="740" customFormat="1">
      <c r="A42" s="610">
        <v>41</v>
      </c>
      <c r="B42" s="633" t="s">
        <v>64</v>
      </c>
      <c r="C42" s="612" t="s">
        <v>90</v>
      </c>
      <c r="D42" s="612">
        <v>3</v>
      </c>
      <c r="E42" s="612" t="s">
        <v>37</v>
      </c>
      <c r="F42" s="1670">
        <v>59.35</v>
      </c>
      <c r="G42" s="1671">
        <v>11.26</v>
      </c>
      <c r="H42" s="1671"/>
      <c r="I42" s="1671"/>
      <c r="J42" s="1672">
        <f t="shared" si="0"/>
        <v>64.98</v>
      </c>
      <c r="K42" s="630"/>
      <c r="L42" s="610"/>
      <c r="M42" s="610"/>
      <c r="N42" s="626"/>
      <c r="O42" s="617"/>
      <c r="P42" s="610"/>
      <c r="Q42" s="618"/>
      <c r="R42" s="1687">
        <f t="shared" si="1"/>
        <v>312000</v>
      </c>
      <c r="S42" s="1688">
        <v>325000</v>
      </c>
      <c r="T42" s="619"/>
      <c r="U42" s="620"/>
      <c r="V42" s="1700">
        <f t="shared" si="2"/>
        <v>4801.4773776546626</v>
      </c>
      <c r="W42" s="1700">
        <f t="shared" si="3"/>
        <v>5001.5389350569403</v>
      </c>
      <c r="X42" s="620"/>
      <c r="Y42" s="621"/>
      <c r="Z42" s="622"/>
      <c r="AA42" s="623"/>
      <c r="AB42" s="623"/>
      <c r="AC42" s="622"/>
      <c r="AD42" s="623"/>
      <c r="AE42" s="622"/>
      <c r="AF42" s="623"/>
      <c r="AG42" s="610"/>
      <c r="AH42" s="610"/>
      <c r="AI42" s="624"/>
      <c r="AJ42" s="1673"/>
      <c r="AK42" s="624"/>
      <c r="AL42" s="624"/>
      <c r="AM42" s="624"/>
      <c r="AN42" s="610"/>
      <c r="AO42" s="625"/>
      <c r="AP42" s="625"/>
      <c r="AQ42" s="625"/>
      <c r="AR42" s="625"/>
      <c r="AS42" s="625"/>
      <c r="AT42" s="625"/>
      <c r="AU42" s="625"/>
      <c r="AV42" s="625"/>
      <c r="AW42" s="625"/>
      <c r="AX42" s="626"/>
      <c r="AY42" s="626"/>
    </row>
    <row r="43" spans="1:51" s="740" customFormat="1">
      <c r="A43" s="610">
        <v>42</v>
      </c>
      <c r="B43" s="633" t="s">
        <v>65</v>
      </c>
      <c r="C43" s="612" t="s">
        <v>91</v>
      </c>
      <c r="D43" s="612">
        <v>3</v>
      </c>
      <c r="E43" s="612" t="s">
        <v>18037</v>
      </c>
      <c r="F43" s="1670">
        <v>112.72</v>
      </c>
      <c r="G43" s="1671">
        <v>18.25</v>
      </c>
      <c r="H43" s="1671"/>
      <c r="I43" s="1671"/>
      <c r="J43" s="1672">
        <f t="shared" si="0"/>
        <v>121.845</v>
      </c>
      <c r="K43" s="630"/>
      <c r="L43" s="610"/>
      <c r="M43" s="610"/>
      <c r="N43" s="610"/>
      <c r="O43" s="631"/>
      <c r="P43" s="610"/>
      <c r="Q43" s="626"/>
      <c r="R43" s="1687">
        <f t="shared" si="1"/>
        <v>571200</v>
      </c>
      <c r="S43" s="1688">
        <v>595000</v>
      </c>
      <c r="T43" s="619"/>
      <c r="U43" s="620"/>
      <c r="V43" s="1700">
        <f t="shared" si="2"/>
        <v>4687.9231810907304</v>
      </c>
      <c r="W43" s="1700">
        <f t="shared" si="3"/>
        <v>4883.2533136361772</v>
      </c>
      <c r="X43" s="620"/>
      <c r="Y43" s="621"/>
      <c r="Z43" s="622"/>
      <c r="AA43" s="623"/>
      <c r="AB43" s="623"/>
      <c r="AC43" s="622"/>
      <c r="AD43" s="623"/>
      <c r="AE43" s="622"/>
      <c r="AF43" s="623"/>
      <c r="AG43" s="610"/>
      <c r="AH43" s="610"/>
      <c r="AI43" s="624"/>
      <c r="AJ43" s="1673"/>
      <c r="AK43" s="624"/>
      <c r="AL43" s="624"/>
      <c r="AM43" s="624"/>
      <c r="AN43" s="610"/>
      <c r="AO43" s="625"/>
      <c r="AP43" s="625"/>
      <c r="AQ43" s="625"/>
      <c r="AR43" s="625"/>
      <c r="AS43" s="625"/>
      <c r="AT43" s="625"/>
      <c r="AU43" s="625"/>
      <c r="AV43" s="625"/>
      <c r="AW43" s="625"/>
      <c r="AX43" s="626"/>
      <c r="AY43" s="626"/>
    </row>
    <row r="44" spans="1:51" s="740" customFormat="1">
      <c r="A44" s="610">
        <v>43</v>
      </c>
      <c r="B44" s="633" t="s">
        <v>66</v>
      </c>
      <c r="C44" s="612" t="s">
        <v>91</v>
      </c>
      <c r="D44" s="612">
        <v>3</v>
      </c>
      <c r="E44" s="612" t="s">
        <v>37</v>
      </c>
      <c r="F44" s="1670">
        <v>89.41</v>
      </c>
      <c r="G44" s="1671">
        <v>19.940000000000001</v>
      </c>
      <c r="H44" s="1671"/>
      <c r="I44" s="1671"/>
      <c r="J44" s="1672">
        <f t="shared" si="0"/>
        <v>99.38</v>
      </c>
      <c r="K44" s="630"/>
      <c r="L44" s="610"/>
      <c r="M44" s="610"/>
      <c r="N44" s="610"/>
      <c r="O44" s="617"/>
      <c r="P44" s="610"/>
      <c r="Q44" s="618"/>
      <c r="R44" s="1687">
        <f t="shared" si="1"/>
        <v>451200</v>
      </c>
      <c r="S44" s="1688">
        <v>470000</v>
      </c>
      <c r="T44" s="619"/>
      <c r="U44" s="620"/>
      <c r="V44" s="1700">
        <f t="shared" si="2"/>
        <v>4540.148923324613</v>
      </c>
      <c r="W44" s="1700">
        <f t="shared" si="3"/>
        <v>4729.3217951298047</v>
      </c>
      <c r="X44" s="620"/>
      <c r="Y44" s="621"/>
      <c r="Z44" s="622"/>
      <c r="AA44" s="623"/>
      <c r="AB44" s="623"/>
      <c r="AC44" s="622"/>
      <c r="AD44" s="623"/>
      <c r="AE44" s="622"/>
      <c r="AF44" s="623"/>
      <c r="AG44" s="610"/>
      <c r="AH44" s="610"/>
      <c r="AI44" s="624"/>
      <c r="AJ44" s="1673"/>
      <c r="AK44" s="624"/>
      <c r="AL44" s="624"/>
      <c r="AM44" s="624"/>
      <c r="AN44" s="610"/>
      <c r="AO44" s="625"/>
      <c r="AP44" s="625"/>
      <c r="AQ44" s="625"/>
      <c r="AR44" s="625"/>
      <c r="AS44" s="625"/>
      <c r="AT44" s="625"/>
      <c r="AU44" s="625"/>
      <c r="AV44" s="625"/>
      <c r="AW44" s="625"/>
      <c r="AX44" s="626"/>
      <c r="AY44" s="626"/>
    </row>
    <row r="45" spans="1:51" s="740" customFormat="1">
      <c r="A45" s="610">
        <v>44</v>
      </c>
      <c r="B45" s="633" t="s">
        <v>67</v>
      </c>
      <c r="C45" s="612" t="s">
        <v>90</v>
      </c>
      <c r="D45" s="612">
        <v>3</v>
      </c>
      <c r="E45" s="612" t="s">
        <v>42</v>
      </c>
      <c r="F45" s="1670">
        <v>61.49</v>
      </c>
      <c r="G45" s="1671">
        <v>20.3</v>
      </c>
      <c r="H45" s="1671"/>
      <c r="I45" s="1671"/>
      <c r="J45" s="1672">
        <f t="shared" si="0"/>
        <v>71.64</v>
      </c>
      <c r="K45" s="630"/>
      <c r="L45" s="610"/>
      <c r="M45" s="610"/>
      <c r="N45" s="626"/>
      <c r="O45" s="631"/>
      <c r="P45" s="610"/>
      <c r="Q45" s="618"/>
      <c r="R45" s="1687">
        <f t="shared" si="1"/>
        <v>360000</v>
      </c>
      <c r="S45" s="1688">
        <v>375000</v>
      </c>
      <c r="T45" s="619"/>
      <c r="U45" s="620"/>
      <c r="V45" s="1700">
        <f t="shared" si="2"/>
        <v>5025.1256281407032</v>
      </c>
      <c r="W45" s="1700">
        <f t="shared" si="3"/>
        <v>5234.5058626465661</v>
      </c>
      <c r="X45" s="620"/>
      <c r="Y45" s="621"/>
      <c r="Z45" s="622"/>
      <c r="AA45" s="623"/>
      <c r="AB45" s="623"/>
      <c r="AC45" s="622"/>
      <c r="AD45" s="623"/>
      <c r="AE45" s="622"/>
      <c r="AF45" s="623"/>
      <c r="AG45" s="610"/>
      <c r="AH45" s="610"/>
      <c r="AI45" s="624"/>
      <c r="AJ45" s="1673"/>
      <c r="AK45" s="624"/>
      <c r="AL45" s="624"/>
      <c r="AM45" s="624"/>
      <c r="AN45" s="610"/>
      <c r="AO45" s="625"/>
      <c r="AP45" s="625"/>
      <c r="AQ45" s="625"/>
      <c r="AR45" s="625"/>
      <c r="AS45" s="625"/>
      <c r="AT45" s="625"/>
      <c r="AU45" s="625"/>
      <c r="AV45" s="625"/>
      <c r="AW45" s="625"/>
      <c r="AX45" s="626"/>
      <c r="AY45" s="626"/>
    </row>
    <row r="46" spans="1:51" s="740" customFormat="1">
      <c r="A46" s="610">
        <v>45</v>
      </c>
      <c r="B46" s="633" t="s">
        <v>68</v>
      </c>
      <c r="C46" s="612" t="s">
        <v>90</v>
      </c>
      <c r="D46" s="612">
        <v>3</v>
      </c>
      <c r="E46" s="612" t="s">
        <v>37</v>
      </c>
      <c r="F46" s="1670">
        <v>75.680000000000007</v>
      </c>
      <c r="G46" s="1671">
        <v>10.19</v>
      </c>
      <c r="H46" s="1671" t="s">
        <v>92</v>
      </c>
      <c r="I46" s="1671"/>
      <c r="J46" s="1672">
        <f t="shared" si="0"/>
        <v>80.775000000000006</v>
      </c>
      <c r="K46" s="630"/>
      <c r="L46" s="610"/>
      <c r="M46" s="610"/>
      <c r="N46" s="626"/>
      <c r="O46" s="617"/>
      <c r="P46" s="610"/>
      <c r="Q46" s="618"/>
      <c r="R46" s="1687">
        <f t="shared" si="1"/>
        <v>364800</v>
      </c>
      <c r="S46" s="1688">
        <v>380000</v>
      </c>
      <c r="T46" s="619"/>
      <c r="U46" s="620"/>
      <c r="V46" s="1700">
        <f t="shared" si="2"/>
        <v>4516.2488393686162</v>
      </c>
      <c r="W46" s="1700">
        <f t="shared" si="3"/>
        <v>4704.4258743423088</v>
      </c>
      <c r="X46" s="620"/>
      <c r="Y46" s="621"/>
      <c r="Z46" s="637"/>
      <c r="AA46" s="638"/>
      <c r="AB46" s="638"/>
      <c r="AC46" s="637"/>
      <c r="AD46" s="638"/>
      <c r="AE46" s="637"/>
      <c r="AF46" s="638"/>
      <c r="AG46" s="610"/>
      <c r="AH46" s="610"/>
      <c r="AI46" s="624"/>
      <c r="AJ46" s="1673"/>
      <c r="AK46" s="624"/>
      <c r="AL46" s="624"/>
      <c r="AM46" s="624"/>
      <c r="AN46" s="624"/>
      <c r="AO46" s="636"/>
      <c r="AP46" s="636"/>
      <c r="AQ46" s="636"/>
      <c r="AR46" s="636"/>
      <c r="AS46" s="636"/>
      <c r="AT46" s="636"/>
      <c r="AU46" s="636"/>
      <c r="AV46" s="636"/>
      <c r="AW46" s="636"/>
      <c r="AX46" s="626"/>
      <c r="AY46" s="626"/>
    </row>
    <row r="47" spans="1:51" s="740" customFormat="1">
      <c r="A47" s="610">
        <v>46</v>
      </c>
      <c r="B47" s="1748" t="s">
        <v>69</v>
      </c>
      <c r="C47" s="1749" t="s">
        <v>89</v>
      </c>
      <c r="D47" s="612">
        <v>3</v>
      </c>
      <c r="E47" s="612" t="s">
        <v>145</v>
      </c>
      <c r="F47" s="1670">
        <v>154.19999999999999</v>
      </c>
      <c r="G47" s="1671">
        <v>13.75</v>
      </c>
      <c r="H47" s="1671"/>
      <c r="I47" s="1671"/>
      <c r="J47" s="1672">
        <f t="shared" si="0"/>
        <v>161.07499999999999</v>
      </c>
      <c r="K47" s="630"/>
      <c r="L47" s="610"/>
      <c r="M47" s="610"/>
      <c r="N47" s="626"/>
      <c r="O47" s="631"/>
      <c r="P47" s="610"/>
      <c r="Q47" s="618"/>
      <c r="R47" s="1687">
        <f t="shared" si="1"/>
        <v>662400</v>
      </c>
      <c r="S47" s="1688">
        <v>690000</v>
      </c>
      <c r="T47" s="619"/>
      <c r="U47" s="620"/>
      <c r="V47" s="1700">
        <f t="shared" si="2"/>
        <v>4112.370013968648</v>
      </c>
      <c r="W47" s="1700">
        <f t="shared" si="3"/>
        <v>4283.7187645506756</v>
      </c>
      <c r="X47" s="620"/>
      <c r="Y47" s="621"/>
      <c r="Z47" s="622"/>
      <c r="AA47" s="623"/>
      <c r="AB47" s="623"/>
      <c r="AC47" s="622"/>
      <c r="AD47" s="623"/>
      <c r="AE47" s="622"/>
      <c r="AF47" s="623"/>
      <c r="AG47" s="610"/>
      <c r="AH47" s="610"/>
      <c r="AI47" s="624"/>
      <c r="AJ47" s="1673"/>
      <c r="AK47" s="624"/>
      <c r="AL47" s="624"/>
      <c r="AM47" s="624"/>
      <c r="AN47" s="610"/>
      <c r="AO47" s="625"/>
      <c r="AP47" s="625"/>
      <c r="AQ47" s="625"/>
      <c r="AR47" s="625"/>
      <c r="AS47" s="625"/>
      <c r="AT47" s="625"/>
      <c r="AU47" s="625"/>
      <c r="AV47" s="625"/>
      <c r="AW47" s="625"/>
      <c r="AX47" s="626"/>
      <c r="AY47" s="626"/>
    </row>
    <row r="48" spans="1:51" s="740" customFormat="1">
      <c r="A48" s="610">
        <v>47</v>
      </c>
      <c r="B48" s="1748" t="s">
        <v>70</v>
      </c>
      <c r="C48" s="1749" t="s">
        <v>89</v>
      </c>
      <c r="D48" s="612">
        <v>3</v>
      </c>
      <c r="E48" s="612" t="s">
        <v>146</v>
      </c>
      <c r="F48" s="1670">
        <v>158.96</v>
      </c>
      <c r="G48" s="1671">
        <v>84.27</v>
      </c>
      <c r="H48" s="1671"/>
      <c r="I48" s="1671"/>
      <c r="J48" s="1672">
        <f t="shared" si="0"/>
        <v>201.095</v>
      </c>
      <c r="K48" s="630"/>
      <c r="L48" s="610"/>
      <c r="M48" s="610"/>
      <c r="N48" s="626"/>
      <c r="O48" s="617"/>
      <c r="P48" s="610"/>
      <c r="Q48" s="618"/>
      <c r="R48" s="1687">
        <f t="shared" si="1"/>
        <v>844800</v>
      </c>
      <c r="S48" s="1688">
        <v>880000</v>
      </c>
      <c r="T48" s="619"/>
      <c r="U48" s="620"/>
      <c r="V48" s="1700">
        <f t="shared" si="2"/>
        <v>4200.999527586464</v>
      </c>
      <c r="W48" s="1700">
        <f t="shared" si="3"/>
        <v>4376.0411745692336</v>
      </c>
      <c r="X48" s="620"/>
      <c r="Y48" s="621"/>
      <c r="Z48" s="622"/>
      <c r="AA48" s="623"/>
      <c r="AB48" s="623"/>
      <c r="AC48" s="622"/>
      <c r="AD48" s="623"/>
      <c r="AE48" s="622"/>
      <c r="AF48" s="623"/>
      <c r="AG48" s="610"/>
      <c r="AH48" s="610"/>
      <c r="AI48" s="624"/>
      <c r="AJ48" s="1673"/>
      <c r="AK48" s="624"/>
      <c r="AL48" s="624"/>
      <c r="AM48" s="624"/>
      <c r="AN48" s="610"/>
      <c r="AO48" s="625"/>
      <c r="AP48" s="625"/>
      <c r="AQ48" s="625"/>
      <c r="AR48" s="625"/>
      <c r="AS48" s="625"/>
      <c r="AT48" s="625"/>
      <c r="AU48" s="625"/>
      <c r="AV48" s="625"/>
      <c r="AW48" s="625"/>
      <c r="AX48" s="626"/>
      <c r="AY48" s="626"/>
    </row>
    <row r="49" spans="1:51" s="289" customFormat="1">
      <c r="A49" s="31">
        <v>48</v>
      </c>
      <c r="B49" s="1748" t="s">
        <v>71</v>
      </c>
      <c r="C49" s="1749" t="s">
        <v>93</v>
      </c>
      <c r="D49" s="88">
        <v>4</v>
      </c>
      <c r="E49" s="88" t="s">
        <v>17264</v>
      </c>
      <c r="F49" s="1007">
        <v>214.25</v>
      </c>
      <c r="G49" s="284">
        <v>162.22</v>
      </c>
      <c r="H49" s="284"/>
      <c r="I49" s="284"/>
      <c r="J49" s="1001">
        <f t="shared" si="0"/>
        <v>295.36</v>
      </c>
      <c r="K49" s="375"/>
      <c r="L49" s="31"/>
      <c r="M49" s="31"/>
      <c r="N49" s="31"/>
      <c r="O49" s="92"/>
      <c r="P49" s="31"/>
      <c r="Q49" s="89"/>
      <c r="R49" s="1689">
        <f t="shared" si="1"/>
        <v>1344000</v>
      </c>
      <c r="S49" s="1690">
        <v>1400000</v>
      </c>
      <c r="T49" s="37"/>
      <c r="U49" s="32"/>
      <c r="V49" s="1701">
        <f t="shared" si="2"/>
        <v>4550.3791982665216</v>
      </c>
      <c r="W49" s="1701">
        <f t="shared" si="3"/>
        <v>4739.9783315276272</v>
      </c>
      <c r="X49" s="32"/>
      <c r="Y49" s="278"/>
      <c r="Z49" s="33"/>
      <c r="AA49" s="311"/>
      <c r="AB49" s="311"/>
      <c r="AC49" s="33"/>
      <c r="AD49" s="311"/>
      <c r="AE49" s="33"/>
      <c r="AF49" s="311"/>
      <c r="AG49" s="31"/>
      <c r="AH49" s="31"/>
      <c r="AI49" s="307"/>
      <c r="AJ49" s="436"/>
      <c r="AK49" s="307"/>
      <c r="AL49" s="307"/>
      <c r="AM49" s="307"/>
      <c r="AN49" s="31"/>
      <c r="AO49" s="34"/>
      <c r="AP49" s="34"/>
      <c r="AQ49" s="34"/>
      <c r="AR49" s="34"/>
      <c r="AS49" s="34"/>
      <c r="AT49" s="34"/>
      <c r="AU49" s="34"/>
      <c r="AV49" s="34"/>
      <c r="AW49" s="34"/>
      <c r="AX49" s="39"/>
      <c r="AY49" s="39"/>
    </row>
    <row r="50" spans="1:51" s="289" customFormat="1">
      <c r="A50" s="31">
        <v>49</v>
      </c>
      <c r="B50" s="87" t="s">
        <v>72</v>
      </c>
      <c r="C50" s="88" t="s">
        <v>91</v>
      </c>
      <c r="D50" s="88">
        <v>4</v>
      </c>
      <c r="E50" s="88" t="s">
        <v>18037</v>
      </c>
      <c r="F50" s="1007">
        <v>94.53</v>
      </c>
      <c r="G50" s="284">
        <v>40.869999999999997</v>
      </c>
      <c r="H50" s="284"/>
      <c r="I50" s="284"/>
      <c r="J50" s="1001">
        <f t="shared" si="0"/>
        <v>114.965</v>
      </c>
      <c r="K50" s="375"/>
      <c r="L50" s="91"/>
      <c r="M50" s="31"/>
      <c r="N50" s="31"/>
      <c r="O50" s="94"/>
      <c r="P50" s="31"/>
      <c r="Q50" s="89"/>
      <c r="R50" s="1689">
        <f t="shared" si="1"/>
        <v>576000</v>
      </c>
      <c r="S50" s="1690">
        <v>600000</v>
      </c>
      <c r="T50" s="37"/>
      <c r="U50" s="32"/>
      <c r="V50" s="1701">
        <f t="shared" si="2"/>
        <v>5010.2205018918803</v>
      </c>
      <c r="W50" s="1701">
        <f t="shared" si="3"/>
        <v>5218.9796894707088</v>
      </c>
      <c r="X50" s="32"/>
      <c r="Y50" s="278"/>
      <c r="Z50" s="33"/>
      <c r="AA50" s="311"/>
      <c r="AB50" s="311"/>
      <c r="AC50" s="33"/>
      <c r="AD50" s="311"/>
      <c r="AE50" s="33"/>
      <c r="AF50" s="311"/>
      <c r="AG50" s="31"/>
      <c r="AH50" s="31"/>
      <c r="AI50" s="307"/>
      <c r="AJ50" s="436"/>
      <c r="AK50" s="307"/>
      <c r="AL50" s="307"/>
      <c r="AM50" s="307"/>
      <c r="AN50" s="31"/>
      <c r="AO50" s="34"/>
      <c r="AP50" s="34"/>
      <c r="AQ50" s="34"/>
      <c r="AR50" s="34"/>
      <c r="AS50" s="34"/>
      <c r="AT50" s="34"/>
      <c r="AU50" s="34"/>
      <c r="AV50" s="34"/>
      <c r="AW50" s="34"/>
      <c r="AX50" s="39"/>
      <c r="AY50" s="39"/>
    </row>
    <row r="51" spans="1:51" s="289" customFormat="1">
      <c r="A51" s="31">
        <v>50</v>
      </c>
      <c r="B51" s="87" t="s">
        <v>73</v>
      </c>
      <c r="C51" s="88" t="s">
        <v>89</v>
      </c>
      <c r="D51" s="88">
        <v>4</v>
      </c>
      <c r="E51" s="88" t="s">
        <v>18037</v>
      </c>
      <c r="F51" s="1007">
        <v>140.41999999999999</v>
      </c>
      <c r="G51" s="284">
        <v>20.36</v>
      </c>
      <c r="H51" s="284"/>
      <c r="I51" s="284"/>
      <c r="J51" s="1001">
        <f t="shared" si="0"/>
        <v>150.6</v>
      </c>
      <c r="K51" s="375"/>
      <c r="L51" s="91"/>
      <c r="M51" s="31"/>
      <c r="N51" s="31"/>
      <c r="O51" s="94"/>
      <c r="P51" s="31"/>
      <c r="Q51" s="89"/>
      <c r="R51" s="1689">
        <f t="shared" si="1"/>
        <v>748800</v>
      </c>
      <c r="S51" s="1690">
        <v>780000</v>
      </c>
      <c r="T51" s="37"/>
      <c r="U51" s="32"/>
      <c r="V51" s="1701">
        <f t="shared" si="2"/>
        <v>4972.1115537848609</v>
      </c>
      <c r="W51" s="1701">
        <f t="shared" si="3"/>
        <v>5179.2828685258964</v>
      </c>
      <c r="X51" s="32"/>
      <c r="Y51" s="278"/>
      <c r="Z51" s="33"/>
      <c r="AA51" s="311"/>
      <c r="AB51" s="311"/>
      <c r="AC51" s="33"/>
      <c r="AD51" s="311"/>
      <c r="AE51" s="33"/>
      <c r="AF51" s="311"/>
      <c r="AG51" s="31"/>
      <c r="AH51" s="31"/>
      <c r="AI51" s="307"/>
      <c r="AJ51" s="436"/>
      <c r="AK51" s="307"/>
      <c r="AL51" s="307"/>
      <c r="AM51" s="307"/>
      <c r="AN51" s="31"/>
      <c r="AO51" s="36"/>
      <c r="AP51" s="36"/>
      <c r="AQ51" s="36"/>
      <c r="AR51" s="36"/>
      <c r="AS51" s="36"/>
      <c r="AT51" s="36"/>
      <c r="AU51" s="36"/>
      <c r="AV51" s="36"/>
      <c r="AW51" s="36"/>
      <c r="AX51" s="39"/>
      <c r="AY51" s="39"/>
    </row>
    <row r="52" spans="1:51" s="289" customFormat="1">
      <c r="A52" s="31">
        <v>51</v>
      </c>
      <c r="B52" s="87" t="s">
        <v>74</v>
      </c>
      <c r="C52" s="88" t="s">
        <v>90</v>
      </c>
      <c r="D52" s="88">
        <v>4</v>
      </c>
      <c r="E52" s="88" t="s">
        <v>42</v>
      </c>
      <c r="F52" s="1007">
        <v>63.41</v>
      </c>
      <c r="G52" s="284">
        <v>16.63</v>
      </c>
      <c r="H52" s="284"/>
      <c r="I52" s="284"/>
      <c r="J52" s="1001">
        <f t="shared" si="0"/>
        <v>71.724999999999994</v>
      </c>
      <c r="K52" s="375"/>
      <c r="L52" s="31"/>
      <c r="M52" s="31"/>
      <c r="N52" s="31"/>
      <c r="O52" s="94"/>
      <c r="P52" s="31"/>
      <c r="Q52" s="89"/>
      <c r="R52" s="1689">
        <f t="shared" si="1"/>
        <v>369600</v>
      </c>
      <c r="S52" s="1690">
        <v>385000</v>
      </c>
      <c r="T52" s="37"/>
      <c r="U52" s="32"/>
      <c r="V52" s="1701">
        <f t="shared" si="2"/>
        <v>5153.0149878006278</v>
      </c>
      <c r="W52" s="1701">
        <f t="shared" si="3"/>
        <v>5367.7239456256539</v>
      </c>
      <c r="X52" s="32"/>
      <c r="Y52" s="278"/>
      <c r="Z52" s="33"/>
      <c r="AA52" s="311"/>
      <c r="AB52" s="311"/>
      <c r="AC52" s="33"/>
      <c r="AD52" s="311"/>
      <c r="AE52" s="33"/>
      <c r="AF52" s="311"/>
      <c r="AG52" s="31"/>
      <c r="AH52" s="31"/>
      <c r="AI52" s="307"/>
      <c r="AJ52" s="436"/>
      <c r="AK52" s="307"/>
      <c r="AL52" s="307"/>
      <c r="AM52" s="307"/>
      <c r="AN52" s="31"/>
      <c r="AO52" s="34"/>
      <c r="AP52" s="34"/>
      <c r="AQ52" s="34"/>
      <c r="AR52" s="34"/>
      <c r="AS52" s="34"/>
      <c r="AT52" s="34"/>
      <c r="AU52" s="34"/>
      <c r="AV52" s="34"/>
      <c r="AW52" s="34"/>
      <c r="AX52" s="39"/>
      <c r="AY52" s="39"/>
    </row>
    <row r="53" spans="1:51" s="289" customFormat="1">
      <c r="A53" s="31">
        <v>52</v>
      </c>
      <c r="B53" s="87" t="s">
        <v>75</v>
      </c>
      <c r="C53" s="88" t="s">
        <v>91</v>
      </c>
      <c r="D53" s="88">
        <v>4</v>
      </c>
      <c r="E53" s="88" t="s">
        <v>18037</v>
      </c>
      <c r="F53" s="1007">
        <v>102.69</v>
      </c>
      <c r="G53" s="284">
        <v>16.239999999999998</v>
      </c>
      <c r="H53" s="284"/>
      <c r="I53" s="284"/>
      <c r="J53" s="1001">
        <f t="shared" si="0"/>
        <v>110.81</v>
      </c>
      <c r="K53" s="375"/>
      <c r="L53" s="31"/>
      <c r="M53" s="31"/>
      <c r="N53" s="31"/>
      <c r="O53" s="94"/>
      <c r="P53" s="31"/>
      <c r="Q53" s="89"/>
      <c r="R53" s="1689">
        <f t="shared" si="1"/>
        <v>542400</v>
      </c>
      <c r="S53" s="1690">
        <v>565000</v>
      </c>
      <c r="T53" s="37"/>
      <c r="U53" s="32"/>
      <c r="V53" s="1701">
        <f t="shared" si="2"/>
        <v>4894.8650843786663</v>
      </c>
      <c r="W53" s="1701">
        <f t="shared" si="3"/>
        <v>5098.8177962277769</v>
      </c>
      <c r="X53" s="32"/>
      <c r="Y53" s="278"/>
      <c r="Z53" s="1651"/>
      <c r="AA53" s="1652"/>
      <c r="AB53" s="1652"/>
      <c r="AC53" s="1653"/>
      <c r="AD53" s="1652"/>
      <c r="AE53" s="1653"/>
      <c r="AF53" s="1652"/>
      <c r="AG53" s="31"/>
      <c r="AH53" s="31"/>
      <c r="AI53" s="307"/>
      <c r="AJ53" s="436"/>
      <c r="AK53" s="307"/>
      <c r="AL53" s="307"/>
      <c r="AM53" s="307"/>
      <c r="AN53" s="31"/>
      <c r="AO53" s="31"/>
      <c r="AP53" s="34"/>
      <c r="AQ53" s="34"/>
      <c r="AR53" s="34"/>
      <c r="AS53" s="34"/>
      <c r="AT53" s="31"/>
      <c r="AU53" s="31"/>
      <c r="AV53" s="1654"/>
      <c r="AW53" s="1654"/>
      <c r="AX53" s="39"/>
      <c r="AY53" s="39"/>
    </row>
    <row r="54" spans="1:51" s="289" customFormat="1">
      <c r="A54" s="31">
        <v>53</v>
      </c>
      <c r="B54" s="87" t="s">
        <v>76</v>
      </c>
      <c r="C54" s="88" t="s">
        <v>91</v>
      </c>
      <c r="D54" s="88">
        <v>4</v>
      </c>
      <c r="E54" s="88" t="s">
        <v>18037</v>
      </c>
      <c r="F54" s="1007">
        <v>98.43</v>
      </c>
      <c r="G54" s="284">
        <v>14.74</v>
      </c>
      <c r="H54" s="284"/>
      <c r="I54" s="284"/>
      <c r="J54" s="1001">
        <f t="shared" si="0"/>
        <v>105.80000000000001</v>
      </c>
      <c r="K54" s="375"/>
      <c r="L54" s="91"/>
      <c r="M54" s="31"/>
      <c r="N54" s="31"/>
      <c r="O54" s="94"/>
      <c r="P54" s="31"/>
      <c r="Q54" s="89"/>
      <c r="R54" s="1689">
        <f t="shared" si="1"/>
        <v>537600</v>
      </c>
      <c r="S54" s="1690">
        <v>560000</v>
      </c>
      <c r="T54" s="37"/>
      <c r="U54" s="32"/>
      <c r="V54" s="1701">
        <f t="shared" si="2"/>
        <v>5081.2854442344042</v>
      </c>
      <c r="W54" s="1701">
        <f t="shared" si="3"/>
        <v>5293.0056710775043</v>
      </c>
      <c r="X54" s="32"/>
      <c r="Y54" s="278"/>
      <c r="Z54" s="33"/>
      <c r="AA54" s="311"/>
      <c r="AB54" s="311"/>
      <c r="AC54" s="33"/>
      <c r="AD54" s="311"/>
      <c r="AE54" s="33"/>
      <c r="AF54" s="311"/>
      <c r="AG54" s="31"/>
      <c r="AH54" s="31"/>
      <c r="AI54" s="307"/>
      <c r="AJ54" s="436"/>
      <c r="AK54" s="307"/>
      <c r="AL54" s="307"/>
      <c r="AM54" s="307"/>
      <c r="AN54" s="31"/>
      <c r="AO54" s="34"/>
      <c r="AP54" s="34"/>
      <c r="AQ54" s="34"/>
      <c r="AR54" s="34"/>
      <c r="AS54" s="34"/>
      <c r="AT54" s="34"/>
      <c r="AU54" s="34"/>
      <c r="AV54" s="34"/>
      <c r="AW54" s="34"/>
      <c r="AX54" s="39"/>
      <c r="AY54" s="39"/>
    </row>
    <row r="55" spans="1:51" s="289" customFormat="1">
      <c r="A55" s="31">
        <v>54</v>
      </c>
      <c r="B55" s="87" t="s">
        <v>77</v>
      </c>
      <c r="C55" s="88" t="s">
        <v>90</v>
      </c>
      <c r="D55" s="88">
        <v>4</v>
      </c>
      <c r="E55" s="88" t="s">
        <v>37</v>
      </c>
      <c r="F55" s="1007">
        <v>59.35</v>
      </c>
      <c r="G55" s="284">
        <v>11.26</v>
      </c>
      <c r="H55" s="284"/>
      <c r="I55" s="284"/>
      <c r="J55" s="1001">
        <f t="shared" si="0"/>
        <v>64.98</v>
      </c>
      <c r="K55" s="375"/>
      <c r="L55" s="31"/>
      <c r="M55" s="31"/>
      <c r="N55" s="31"/>
      <c r="O55" s="92"/>
      <c r="P55" s="31"/>
      <c r="Q55" s="89"/>
      <c r="R55" s="1689">
        <f t="shared" si="1"/>
        <v>316800</v>
      </c>
      <c r="S55" s="1690">
        <v>330000</v>
      </c>
      <c r="T55" s="37"/>
      <c r="U55" s="32"/>
      <c r="V55" s="1701">
        <f t="shared" si="2"/>
        <v>4875.3462603878115</v>
      </c>
      <c r="W55" s="1701">
        <f t="shared" si="3"/>
        <v>5078.4856879039698</v>
      </c>
      <c r="X55" s="32"/>
      <c r="Y55" s="278"/>
      <c r="Z55" s="33"/>
      <c r="AA55" s="311"/>
      <c r="AB55" s="311"/>
      <c r="AC55" s="33"/>
      <c r="AD55" s="311"/>
      <c r="AE55" s="33"/>
      <c r="AF55" s="311"/>
      <c r="AG55" s="31"/>
      <c r="AH55" s="31"/>
      <c r="AI55" s="307"/>
      <c r="AJ55" s="436"/>
      <c r="AK55" s="307"/>
      <c r="AL55" s="307"/>
      <c r="AM55" s="307"/>
      <c r="AN55" s="307"/>
      <c r="AO55" s="34"/>
      <c r="AP55" s="34"/>
      <c r="AQ55" s="34"/>
      <c r="AR55" s="34"/>
      <c r="AS55" s="34"/>
      <c r="AT55" s="34"/>
      <c r="AU55" s="34"/>
      <c r="AV55" s="34"/>
      <c r="AW55" s="34"/>
      <c r="AX55" s="39"/>
      <c r="AY55" s="39"/>
    </row>
    <row r="56" spans="1:51" s="1756" customFormat="1">
      <c r="A56" s="400">
        <v>55</v>
      </c>
      <c r="B56" s="1751" t="s">
        <v>78</v>
      </c>
      <c r="C56" s="1137" t="s">
        <v>89</v>
      </c>
      <c r="D56" s="1137">
        <v>4</v>
      </c>
      <c r="E56" s="1137" t="s">
        <v>42</v>
      </c>
      <c r="F56" s="1138">
        <v>126.41</v>
      </c>
      <c r="G56" s="486">
        <v>43.12</v>
      </c>
      <c r="H56" s="486"/>
      <c r="I56" s="486"/>
      <c r="J56" s="1139">
        <f t="shared" si="0"/>
        <v>147.97</v>
      </c>
      <c r="K56" s="1123"/>
      <c r="L56" s="400"/>
      <c r="M56" s="400"/>
      <c r="N56" s="421"/>
      <c r="O56" s="1752"/>
      <c r="P56" s="400"/>
      <c r="Q56" s="1140"/>
      <c r="R56" s="1753">
        <f t="shared" si="1"/>
        <v>748800</v>
      </c>
      <c r="S56" s="1754">
        <v>780000</v>
      </c>
      <c r="T56" s="488"/>
      <c r="U56" s="487"/>
      <c r="V56" s="1755">
        <f t="shared" si="2"/>
        <v>5060.4852334932757</v>
      </c>
      <c r="W56" s="1755">
        <f t="shared" si="3"/>
        <v>5271.3387848888287</v>
      </c>
      <c r="X56" s="487"/>
      <c r="Y56" s="1122"/>
      <c r="Z56" s="489"/>
      <c r="AA56" s="490"/>
      <c r="AB56" s="490"/>
      <c r="AC56" s="1645"/>
      <c r="AD56" s="490"/>
      <c r="AE56" s="1645"/>
      <c r="AF56" s="490"/>
      <c r="AG56" s="400"/>
      <c r="AH56" s="400"/>
      <c r="AI56" s="1141"/>
      <c r="AJ56" s="433"/>
      <c r="AK56" s="1141"/>
      <c r="AL56" s="1141"/>
      <c r="AM56" s="1141"/>
      <c r="AN56" s="400"/>
      <c r="AO56" s="491"/>
      <c r="AP56" s="491"/>
      <c r="AQ56" s="491"/>
      <c r="AR56" s="491"/>
      <c r="AS56" s="491"/>
      <c r="AT56" s="491"/>
      <c r="AU56" s="491"/>
      <c r="AV56" s="491"/>
      <c r="AW56" s="491"/>
      <c r="AX56" s="421"/>
      <c r="AY56" s="421"/>
    </row>
    <row r="57" spans="1:51" s="289" customFormat="1">
      <c r="A57" s="31">
        <v>56</v>
      </c>
      <c r="B57" s="87" t="s">
        <v>79</v>
      </c>
      <c r="C57" s="88" t="s">
        <v>91</v>
      </c>
      <c r="D57" s="88">
        <v>4</v>
      </c>
      <c r="E57" s="88" t="s">
        <v>18037</v>
      </c>
      <c r="F57" s="1007">
        <v>112.72</v>
      </c>
      <c r="G57" s="284">
        <v>18.25</v>
      </c>
      <c r="H57" s="284"/>
      <c r="I57" s="284"/>
      <c r="J57" s="1001">
        <f t="shared" si="0"/>
        <v>121.845</v>
      </c>
      <c r="K57" s="375"/>
      <c r="L57" s="91"/>
      <c r="M57" s="31"/>
      <c r="N57" s="31"/>
      <c r="O57" s="92"/>
      <c r="P57" s="31"/>
      <c r="Q57" s="89"/>
      <c r="R57" s="1689">
        <f t="shared" si="1"/>
        <v>566400</v>
      </c>
      <c r="S57" s="1690">
        <v>590000</v>
      </c>
      <c r="T57" s="37"/>
      <c r="U57" s="32"/>
      <c r="V57" s="1701">
        <f t="shared" si="2"/>
        <v>4648.5288686445892</v>
      </c>
      <c r="W57" s="1701">
        <f t="shared" si="3"/>
        <v>4842.2175715047806</v>
      </c>
      <c r="X57" s="32"/>
      <c r="Y57" s="278"/>
      <c r="Z57" s="33"/>
      <c r="AA57" s="316"/>
      <c r="AB57" s="311"/>
      <c r="AC57" s="33"/>
      <c r="AD57" s="311"/>
      <c r="AE57" s="33"/>
      <c r="AF57" s="311"/>
      <c r="AG57" s="31"/>
      <c r="AH57" s="31"/>
      <c r="AI57" s="307"/>
      <c r="AJ57" s="436"/>
      <c r="AK57" s="307"/>
      <c r="AL57" s="307"/>
      <c r="AM57" s="307"/>
      <c r="AN57" s="307"/>
      <c r="AO57" s="34"/>
      <c r="AP57" s="34"/>
      <c r="AQ57" s="34"/>
      <c r="AR57" s="34"/>
      <c r="AS57" s="34"/>
      <c r="AT57" s="34"/>
      <c r="AU57" s="34"/>
      <c r="AV57" s="34"/>
      <c r="AW57" s="34"/>
      <c r="AX57" s="39"/>
      <c r="AY57" s="39"/>
    </row>
    <row r="58" spans="1:51" s="289" customFormat="1">
      <c r="A58" s="31">
        <v>57</v>
      </c>
      <c r="B58" s="87" t="s">
        <v>80</v>
      </c>
      <c r="C58" s="88" t="s">
        <v>90</v>
      </c>
      <c r="D58" s="88">
        <v>4</v>
      </c>
      <c r="E58" s="88" t="s">
        <v>42</v>
      </c>
      <c r="F58" s="1007">
        <v>61.51</v>
      </c>
      <c r="G58" s="284">
        <v>20.309999999999999</v>
      </c>
      <c r="H58" s="284"/>
      <c r="I58" s="284"/>
      <c r="J58" s="1001">
        <f t="shared" si="0"/>
        <v>71.664999999999992</v>
      </c>
      <c r="K58" s="375"/>
      <c r="L58" s="31"/>
      <c r="M58" s="31"/>
      <c r="N58" s="31"/>
      <c r="O58" s="94"/>
      <c r="P58" s="31"/>
      <c r="Q58" s="89"/>
      <c r="R58" s="1689">
        <f t="shared" si="1"/>
        <v>369600</v>
      </c>
      <c r="S58" s="1690">
        <v>385000</v>
      </c>
      <c r="T58" s="37"/>
      <c r="U58" s="32"/>
      <c r="V58" s="1701">
        <f t="shared" si="2"/>
        <v>5157.3292402148891</v>
      </c>
      <c r="W58" s="1701">
        <f t="shared" si="3"/>
        <v>5372.2179585571766</v>
      </c>
      <c r="X58" s="32"/>
      <c r="Y58" s="278"/>
      <c r="Z58" s="319"/>
      <c r="AA58" s="1656"/>
      <c r="AB58" s="316"/>
      <c r="AC58" s="319"/>
      <c r="AD58" s="316"/>
      <c r="AE58" s="131"/>
      <c r="AF58" s="316"/>
      <c r="AG58" s="31"/>
      <c r="AH58" s="31"/>
      <c r="AI58" s="307"/>
      <c r="AJ58" s="436"/>
      <c r="AK58" s="307"/>
      <c r="AL58" s="307"/>
      <c r="AM58" s="307"/>
      <c r="AN58" s="31"/>
      <c r="AO58" s="131"/>
      <c r="AP58" s="131"/>
      <c r="AQ58" s="131"/>
      <c r="AR58" s="131"/>
      <c r="AS58" s="131"/>
      <c r="AT58" s="131"/>
      <c r="AU58" s="131"/>
      <c r="AV58" s="131"/>
      <c r="AW58" s="131"/>
      <c r="AX58" s="39"/>
      <c r="AY58" s="39"/>
    </row>
    <row r="59" spans="1:51" s="289" customFormat="1">
      <c r="A59" s="31">
        <v>58</v>
      </c>
      <c r="B59" s="87" t="s">
        <v>81</v>
      </c>
      <c r="C59" s="88" t="s">
        <v>91</v>
      </c>
      <c r="D59" s="88">
        <v>4</v>
      </c>
      <c r="E59" s="88" t="s">
        <v>37</v>
      </c>
      <c r="F59" s="1007">
        <v>89.39</v>
      </c>
      <c r="G59" s="284">
        <v>19.93</v>
      </c>
      <c r="H59" s="284"/>
      <c r="I59" s="284"/>
      <c r="J59" s="1001">
        <f t="shared" si="0"/>
        <v>99.355000000000004</v>
      </c>
      <c r="K59" s="375"/>
      <c r="L59" s="91"/>
      <c r="M59" s="31"/>
      <c r="N59" s="31"/>
      <c r="O59" s="92"/>
      <c r="P59" s="31"/>
      <c r="Q59" s="89"/>
      <c r="R59" s="1689">
        <f t="shared" si="1"/>
        <v>456000</v>
      </c>
      <c r="S59" s="1690">
        <v>475000</v>
      </c>
      <c r="T59" s="37"/>
      <c r="U59" s="32"/>
      <c r="V59" s="1701">
        <f t="shared" si="2"/>
        <v>4589.6029389562682</v>
      </c>
      <c r="W59" s="1701">
        <f t="shared" si="3"/>
        <v>4780.8363947461121</v>
      </c>
      <c r="X59" s="32"/>
      <c r="Y59" s="278"/>
      <c r="Z59" s="33"/>
      <c r="AA59" s="311"/>
      <c r="AB59" s="311"/>
      <c r="AC59" s="33"/>
      <c r="AD59" s="311"/>
      <c r="AE59" s="33"/>
      <c r="AF59" s="311"/>
      <c r="AG59" s="31"/>
      <c r="AH59" s="31"/>
      <c r="AI59" s="307"/>
      <c r="AJ59" s="436"/>
      <c r="AK59" s="307"/>
      <c r="AL59" s="307"/>
      <c r="AM59" s="307"/>
      <c r="AN59" s="31"/>
      <c r="AO59" s="34"/>
      <c r="AP59" s="34"/>
      <c r="AQ59" s="34"/>
      <c r="AR59" s="34"/>
      <c r="AS59" s="34"/>
      <c r="AT59" s="34"/>
      <c r="AU59" s="34"/>
      <c r="AV59" s="34"/>
      <c r="AW59" s="34"/>
      <c r="AX59" s="39"/>
      <c r="AY59" s="39"/>
    </row>
    <row r="60" spans="1:51" s="289" customFormat="1">
      <c r="A60" s="31">
        <v>59</v>
      </c>
      <c r="B60" s="87" t="s">
        <v>82</v>
      </c>
      <c r="C60" s="88" t="s">
        <v>90</v>
      </c>
      <c r="D60" s="88">
        <v>4</v>
      </c>
      <c r="E60" s="88" t="s">
        <v>37</v>
      </c>
      <c r="F60" s="1007">
        <v>76.03</v>
      </c>
      <c r="G60" s="284">
        <v>10.199999999999999</v>
      </c>
      <c r="H60" s="284"/>
      <c r="I60" s="284"/>
      <c r="J60" s="1001">
        <f t="shared" si="0"/>
        <v>81.13</v>
      </c>
      <c r="K60" s="375"/>
      <c r="L60" s="91"/>
      <c r="M60" s="31"/>
      <c r="N60" s="31"/>
      <c r="O60" s="94"/>
      <c r="P60" s="31"/>
      <c r="Q60" s="89"/>
      <c r="R60" s="1689">
        <f t="shared" si="1"/>
        <v>364800</v>
      </c>
      <c r="S60" s="1690">
        <v>380000</v>
      </c>
      <c r="T60" s="37"/>
      <c r="U60" s="32"/>
      <c r="V60" s="1701">
        <f t="shared" si="2"/>
        <v>4496.4871194379393</v>
      </c>
      <c r="W60" s="1701">
        <f t="shared" si="3"/>
        <v>4683.8407494145204</v>
      </c>
      <c r="X60" s="32"/>
      <c r="Y60" s="278"/>
      <c r="Z60" s="1647"/>
      <c r="AA60" s="1648"/>
      <c r="AB60" s="1648"/>
      <c r="AC60" s="1647"/>
      <c r="AD60" s="1648"/>
      <c r="AE60" s="1647"/>
      <c r="AF60" s="1648"/>
      <c r="AG60" s="31"/>
      <c r="AH60" s="31"/>
      <c r="AI60" s="307"/>
      <c r="AJ60" s="436"/>
      <c r="AK60" s="307"/>
      <c r="AL60" s="307"/>
      <c r="AM60" s="307"/>
      <c r="AN60" s="307"/>
      <c r="AO60" s="1649"/>
      <c r="AP60" s="1649"/>
      <c r="AQ60" s="1649"/>
      <c r="AR60" s="1649"/>
      <c r="AS60" s="1649"/>
      <c r="AT60" s="1649"/>
      <c r="AU60" s="1649"/>
      <c r="AV60" s="1650"/>
      <c r="AW60" s="1650"/>
      <c r="AX60" s="39"/>
      <c r="AY60" s="39"/>
    </row>
    <row r="61" spans="1:51" s="289" customFormat="1">
      <c r="A61" s="31">
        <v>60</v>
      </c>
      <c r="B61" s="87" t="s">
        <v>83</v>
      </c>
      <c r="C61" s="1749" t="s">
        <v>89</v>
      </c>
      <c r="D61" s="88">
        <v>4</v>
      </c>
      <c r="E61" s="88" t="s">
        <v>145</v>
      </c>
      <c r="F61" s="1007">
        <v>153.58000000000001</v>
      </c>
      <c r="G61" s="284">
        <v>13.75</v>
      </c>
      <c r="H61" s="284"/>
      <c r="I61" s="284"/>
      <c r="J61" s="1001">
        <f t="shared" si="0"/>
        <v>160.45500000000001</v>
      </c>
      <c r="K61" s="375"/>
      <c r="L61" s="31"/>
      <c r="M61" s="31"/>
      <c r="N61" s="31"/>
      <c r="O61" s="92"/>
      <c r="P61" s="31"/>
      <c r="Q61" s="89"/>
      <c r="R61" s="1689">
        <f t="shared" si="1"/>
        <v>672000</v>
      </c>
      <c r="S61" s="1690">
        <v>700000</v>
      </c>
      <c r="T61" s="37"/>
      <c r="U61" s="32"/>
      <c r="V61" s="1701">
        <f t="shared" si="2"/>
        <v>4188.0901187248755</v>
      </c>
      <c r="W61" s="1701">
        <f t="shared" si="3"/>
        <v>4362.5938736717453</v>
      </c>
      <c r="X61" s="32"/>
      <c r="Y61" s="278"/>
      <c r="Z61" s="33"/>
      <c r="AA61" s="311"/>
      <c r="AB61" s="311"/>
      <c r="AC61" s="33"/>
      <c r="AD61" s="311"/>
      <c r="AE61" s="33"/>
      <c r="AF61" s="311"/>
      <c r="AG61" s="31"/>
      <c r="AH61" s="31"/>
      <c r="AI61" s="307"/>
      <c r="AJ61" s="436"/>
      <c r="AK61" s="307"/>
      <c r="AL61" s="307"/>
      <c r="AM61" s="307"/>
      <c r="AN61" s="31"/>
      <c r="AO61" s="34"/>
      <c r="AP61" s="34"/>
      <c r="AQ61" s="34"/>
      <c r="AR61" s="34"/>
      <c r="AS61" s="34"/>
      <c r="AT61" s="34"/>
      <c r="AU61" s="34"/>
      <c r="AV61" s="34"/>
      <c r="AW61" s="34"/>
      <c r="AX61" s="39"/>
      <c r="AY61" s="39"/>
    </row>
    <row r="62" spans="1:51" s="289" customFormat="1">
      <c r="A62" s="31">
        <v>61</v>
      </c>
      <c r="B62" s="87" t="s">
        <v>84</v>
      </c>
      <c r="C62" s="1749" t="s">
        <v>89</v>
      </c>
      <c r="D62" s="88">
        <v>4</v>
      </c>
      <c r="E62" s="88" t="s">
        <v>146</v>
      </c>
      <c r="F62" s="1007">
        <v>159.22999999999999</v>
      </c>
      <c r="G62" s="284">
        <v>84.25</v>
      </c>
      <c r="H62" s="284"/>
      <c r="I62" s="284"/>
      <c r="J62" s="1001">
        <f t="shared" si="0"/>
        <v>201.35499999999999</v>
      </c>
      <c r="K62" s="375"/>
      <c r="L62" s="31"/>
      <c r="M62" s="31"/>
      <c r="N62" s="31"/>
      <c r="O62" s="94"/>
      <c r="P62" s="31"/>
      <c r="Q62" s="89"/>
      <c r="R62" s="1689">
        <f t="shared" si="1"/>
        <v>864000</v>
      </c>
      <c r="S62" s="1690">
        <v>900000</v>
      </c>
      <c r="T62" s="37"/>
      <c r="U62" s="32"/>
      <c r="V62" s="1701">
        <f t="shared" si="2"/>
        <v>4290.9289563209259</v>
      </c>
      <c r="W62" s="1701">
        <f t="shared" si="3"/>
        <v>4469.7176628342977</v>
      </c>
      <c r="X62" s="32"/>
      <c r="Y62" s="278"/>
      <c r="Z62" s="33"/>
      <c r="AA62" s="311"/>
      <c r="AB62" s="311"/>
      <c r="AC62" s="33"/>
      <c r="AD62" s="311"/>
      <c r="AE62" s="33"/>
      <c r="AF62" s="311"/>
      <c r="AG62" s="31"/>
      <c r="AH62" s="31"/>
      <c r="AI62" s="307"/>
      <c r="AJ62" s="436"/>
      <c r="AK62" s="307"/>
      <c r="AL62" s="307"/>
      <c r="AM62" s="307"/>
      <c r="AN62" s="307"/>
      <c r="AO62" s="34"/>
      <c r="AP62" s="34"/>
      <c r="AQ62" s="34"/>
      <c r="AR62" s="34"/>
      <c r="AS62" s="34"/>
      <c r="AT62" s="34"/>
      <c r="AU62" s="34"/>
      <c r="AV62" s="34"/>
      <c r="AW62" s="34"/>
      <c r="AX62" s="39"/>
      <c r="AY62" s="39"/>
    </row>
    <row r="63" spans="1:51" s="740" customFormat="1">
      <c r="A63" s="610">
        <v>62</v>
      </c>
      <c r="B63" s="633" t="s">
        <v>85</v>
      </c>
      <c r="C63" s="1749" t="s">
        <v>93</v>
      </c>
      <c r="D63" s="612">
        <v>5</v>
      </c>
      <c r="E63" s="612" t="s">
        <v>17264</v>
      </c>
      <c r="F63" s="1670">
        <v>205.69</v>
      </c>
      <c r="G63" s="1671">
        <v>116.5</v>
      </c>
      <c r="H63" s="1671"/>
      <c r="I63" s="1671"/>
      <c r="J63" s="1672">
        <f t="shared" si="0"/>
        <v>263.94</v>
      </c>
      <c r="K63" s="630"/>
      <c r="L63" s="610"/>
      <c r="M63" s="610"/>
      <c r="N63" s="610"/>
      <c r="O63" s="617"/>
      <c r="P63" s="610"/>
      <c r="Q63" s="618"/>
      <c r="R63" s="1687">
        <f t="shared" si="1"/>
        <v>1296000</v>
      </c>
      <c r="S63" s="1688">
        <v>1350000</v>
      </c>
      <c r="T63" s="619"/>
      <c r="U63" s="620"/>
      <c r="V63" s="1700">
        <f t="shared" si="2"/>
        <v>4910.2068651966356</v>
      </c>
      <c r="W63" s="1700">
        <f t="shared" si="3"/>
        <v>5114.7988179131626</v>
      </c>
      <c r="X63" s="620"/>
      <c r="Y63" s="621"/>
      <c r="Z63" s="622"/>
      <c r="AA63" s="623"/>
      <c r="AB63" s="623"/>
      <c r="AC63" s="622"/>
      <c r="AD63" s="623"/>
      <c r="AE63" s="622"/>
      <c r="AF63" s="623"/>
      <c r="AG63" s="610"/>
      <c r="AH63" s="610"/>
      <c r="AI63" s="624"/>
      <c r="AJ63" s="1673"/>
      <c r="AK63" s="624"/>
      <c r="AL63" s="624"/>
      <c r="AM63" s="624"/>
      <c r="AN63" s="610"/>
      <c r="AO63" s="625"/>
      <c r="AP63" s="625"/>
      <c r="AQ63" s="625"/>
      <c r="AR63" s="625"/>
      <c r="AS63" s="625"/>
      <c r="AT63" s="625"/>
      <c r="AU63" s="625"/>
      <c r="AV63" s="625"/>
      <c r="AW63" s="625"/>
      <c r="AX63" s="626"/>
      <c r="AY63" s="626"/>
    </row>
    <row r="64" spans="1:51" s="740" customFormat="1">
      <c r="A64" s="610">
        <v>63</v>
      </c>
      <c r="B64" s="633" t="s">
        <v>86</v>
      </c>
      <c r="C64" s="612" t="s">
        <v>91</v>
      </c>
      <c r="D64" s="612">
        <v>5</v>
      </c>
      <c r="E64" s="612" t="s">
        <v>18037</v>
      </c>
      <c r="F64" s="1670">
        <v>100.77</v>
      </c>
      <c r="G64" s="1671">
        <v>15.65</v>
      </c>
      <c r="H64" s="1671"/>
      <c r="I64" s="1671"/>
      <c r="J64" s="1672">
        <f t="shared" si="0"/>
        <v>108.595</v>
      </c>
      <c r="K64" s="630"/>
      <c r="L64" s="1684"/>
      <c r="M64" s="610"/>
      <c r="N64" s="610"/>
      <c r="O64" s="617"/>
      <c r="P64" s="610"/>
      <c r="Q64" s="618"/>
      <c r="R64" s="1687">
        <f t="shared" si="1"/>
        <v>552000</v>
      </c>
      <c r="S64" s="1688">
        <v>575000</v>
      </c>
      <c r="T64" s="619"/>
      <c r="U64" s="620"/>
      <c r="V64" s="1700">
        <f t="shared" si="2"/>
        <v>5083.1069570422214</v>
      </c>
      <c r="W64" s="1700">
        <f t="shared" si="3"/>
        <v>5294.9030802523139</v>
      </c>
      <c r="X64" s="620"/>
      <c r="Y64" s="621"/>
      <c r="Z64" s="622"/>
      <c r="AA64" s="623"/>
      <c r="AB64" s="623"/>
      <c r="AC64" s="622"/>
      <c r="AD64" s="623"/>
      <c r="AE64" s="622"/>
      <c r="AF64" s="623"/>
      <c r="AG64" s="610"/>
      <c r="AH64" s="610"/>
      <c r="AI64" s="624"/>
      <c r="AJ64" s="1673"/>
      <c r="AK64" s="624"/>
      <c r="AL64" s="624"/>
      <c r="AM64" s="624"/>
      <c r="AN64" s="610"/>
      <c r="AO64" s="625"/>
      <c r="AP64" s="625"/>
      <c r="AQ64" s="625"/>
      <c r="AR64" s="625"/>
      <c r="AS64" s="625"/>
      <c r="AT64" s="625"/>
      <c r="AU64" s="625"/>
      <c r="AV64" s="625"/>
      <c r="AW64" s="625"/>
      <c r="AX64" s="626"/>
      <c r="AY64" s="626"/>
    </row>
    <row r="65" spans="1:53" s="1756" customFormat="1">
      <c r="A65" s="400">
        <v>64</v>
      </c>
      <c r="B65" s="1751" t="s">
        <v>87</v>
      </c>
      <c r="C65" s="1137" t="s">
        <v>93</v>
      </c>
      <c r="D65" s="1137">
        <v>5</v>
      </c>
      <c r="E65" s="1137" t="s">
        <v>42</v>
      </c>
      <c r="F65" s="1138">
        <v>170.53</v>
      </c>
      <c r="G65" s="486">
        <v>10.199999999999999</v>
      </c>
      <c r="H65" s="486"/>
      <c r="I65" s="486"/>
      <c r="J65" s="1139">
        <f t="shared" si="0"/>
        <v>175.63</v>
      </c>
      <c r="K65" s="1123"/>
      <c r="L65" s="1610"/>
      <c r="M65" s="400"/>
      <c r="N65" s="400"/>
      <c r="O65" s="492"/>
      <c r="P65" s="400"/>
      <c r="Q65" s="1140"/>
      <c r="R65" s="1753">
        <f t="shared" si="1"/>
        <v>1056000</v>
      </c>
      <c r="S65" s="1754">
        <v>1100000</v>
      </c>
      <c r="T65" s="488"/>
      <c r="U65" s="487"/>
      <c r="V65" s="1755">
        <f t="shared" si="2"/>
        <v>6012.6402095314015</v>
      </c>
      <c r="W65" s="1755">
        <f t="shared" si="3"/>
        <v>6263.1668849285434</v>
      </c>
      <c r="X65" s="487"/>
      <c r="Y65" s="1122"/>
      <c r="Z65" s="489"/>
      <c r="AA65" s="490"/>
      <c r="AB65" s="490"/>
      <c r="AC65" s="489"/>
      <c r="AD65" s="490"/>
      <c r="AE65" s="489"/>
      <c r="AF65" s="490"/>
      <c r="AG65" s="400"/>
      <c r="AH65" s="400"/>
      <c r="AI65" s="1141"/>
      <c r="AJ65" s="433"/>
      <c r="AK65" s="1141"/>
      <c r="AL65" s="1141"/>
      <c r="AM65" s="1141"/>
      <c r="AN65" s="1141"/>
      <c r="AO65" s="491"/>
      <c r="AP65" s="491"/>
      <c r="AQ65" s="491"/>
      <c r="AR65" s="491"/>
      <c r="AS65" s="491"/>
      <c r="AT65" s="491"/>
      <c r="AU65" s="491"/>
      <c r="AV65" s="491"/>
      <c r="AW65" s="491"/>
      <c r="AX65" s="421"/>
      <c r="AY65" s="421"/>
    </row>
    <row r="66" spans="1:53" s="740" customFormat="1">
      <c r="A66" s="610">
        <v>65</v>
      </c>
      <c r="B66" s="633" t="s">
        <v>88</v>
      </c>
      <c r="C66" s="612" t="s">
        <v>90</v>
      </c>
      <c r="D66" s="612">
        <v>5</v>
      </c>
      <c r="E66" s="612" t="s">
        <v>37</v>
      </c>
      <c r="F66" s="1670">
        <v>58.87</v>
      </c>
      <c r="G66" s="1671">
        <v>39.21</v>
      </c>
      <c r="H66" s="1671"/>
      <c r="I66" s="1671"/>
      <c r="J66" s="1672">
        <f t="shared" si="0"/>
        <v>78.474999999999994</v>
      </c>
      <c r="K66" s="630"/>
      <c r="L66" s="1684"/>
      <c r="M66" s="610"/>
      <c r="N66" s="610"/>
      <c r="O66" s="617"/>
      <c r="P66" s="610"/>
      <c r="Q66" s="618"/>
      <c r="R66" s="1687">
        <f t="shared" si="1"/>
        <v>321600</v>
      </c>
      <c r="S66" s="1688">
        <v>335000</v>
      </c>
      <c r="T66" s="619"/>
      <c r="U66" s="620"/>
      <c r="V66" s="1700">
        <f t="shared" si="2"/>
        <v>4098.1204205160884</v>
      </c>
      <c r="W66" s="1700">
        <f t="shared" si="3"/>
        <v>4268.8754380375922</v>
      </c>
      <c r="X66" s="620"/>
      <c r="Y66" s="621"/>
      <c r="Z66" s="622"/>
      <c r="AA66" s="623"/>
      <c r="AB66" s="623"/>
      <c r="AC66" s="622"/>
      <c r="AD66" s="623"/>
      <c r="AE66" s="622"/>
      <c r="AF66" s="623"/>
      <c r="AG66" s="610"/>
      <c r="AH66" s="610"/>
      <c r="AI66" s="624"/>
      <c r="AJ66" s="1673"/>
      <c r="AK66" s="624"/>
      <c r="AL66" s="624"/>
      <c r="AM66" s="624"/>
      <c r="AN66" s="610"/>
      <c r="AO66" s="625"/>
      <c r="AP66" s="625"/>
      <c r="AQ66" s="625"/>
      <c r="AR66" s="625"/>
      <c r="AS66" s="625"/>
      <c r="AT66" s="625"/>
      <c r="AU66" s="625"/>
      <c r="AV66" s="625"/>
      <c r="AW66" s="625"/>
      <c r="AX66" s="626"/>
      <c r="AY66" s="626"/>
    </row>
    <row r="67" spans="1:53" s="740" customFormat="1">
      <c r="A67" s="610">
        <v>66</v>
      </c>
      <c r="B67" s="633" t="s">
        <v>143</v>
      </c>
      <c r="C67" s="1749" t="s">
        <v>93</v>
      </c>
      <c r="D67" s="612">
        <v>5</v>
      </c>
      <c r="E67" s="612" t="s">
        <v>18037</v>
      </c>
      <c r="F67" s="1670">
        <v>173.46</v>
      </c>
      <c r="G67" s="1671">
        <v>11.26</v>
      </c>
      <c r="H67" s="1671"/>
      <c r="I67" s="1671"/>
      <c r="J67" s="1672">
        <f t="shared" ref="J67:J72" si="4">F67+0.5*G67</f>
        <v>179.09</v>
      </c>
      <c r="K67" s="630"/>
      <c r="L67" s="1684"/>
      <c r="M67" s="610"/>
      <c r="N67" s="626"/>
      <c r="O67" s="631"/>
      <c r="P67" s="610"/>
      <c r="Q67" s="618"/>
      <c r="R67" s="1687">
        <f t="shared" ref="R67:R72" si="5">S67*0.96</f>
        <v>1056000</v>
      </c>
      <c r="S67" s="1688">
        <v>1100000</v>
      </c>
      <c r="T67" s="619"/>
      <c r="U67" s="620"/>
      <c r="V67" s="1700">
        <f t="shared" ref="V67:V72" si="6">R67/J67</f>
        <v>5896.4766318610755</v>
      </c>
      <c r="W67" s="1700">
        <f t="shared" ref="W67:W72" si="7">S67/J67</f>
        <v>6142.1631581886204</v>
      </c>
      <c r="X67" s="620"/>
      <c r="Y67" s="621"/>
      <c r="Z67" s="622"/>
      <c r="AA67" s="623"/>
      <c r="AB67" s="623"/>
      <c r="AC67" s="622"/>
      <c r="AD67" s="623"/>
      <c r="AE67" s="622"/>
      <c r="AF67" s="623"/>
      <c r="AG67" s="610"/>
      <c r="AH67" s="1685"/>
      <c r="AI67" s="624"/>
      <c r="AJ67" s="1673"/>
      <c r="AK67" s="624"/>
      <c r="AL67" s="624"/>
      <c r="AM67" s="624"/>
      <c r="AN67" s="610"/>
      <c r="AO67" s="625"/>
      <c r="AP67" s="625"/>
      <c r="AQ67" s="625"/>
      <c r="AR67" s="625"/>
      <c r="AS67" s="625"/>
      <c r="AT67" s="625"/>
      <c r="AU67" s="625"/>
      <c r="AV67" s="625"/>
      <c r="AW67" s="625"/>
      <c r="AX67" s="626"/>
      <c r="AY67" s="626"/>
    </row>
    <row r="68" spans="1:53" s="740" customFormat="1">
      <c r="A68" s="610">
        <v>67</v>
      </c>
      <c r="B68" s="633" t="s">
        <v>195</v>
      </c>
      <c r="C68" s="612" t="s">
        <v>91</v>
      </c>
      <c r="D68" s="612">
        <v>5</v>
      </c>
      <c r="E68" s="612" t="s">
        <v>37</v>
      </c>
      <c r="F68" s="1670">
        <v>89.39</v>
      </c>
      <c r="G68" s="1671">
        <v>37.49</v>
      </c>
      <c r="H68" s="1671"/>
      <c r="I68" s="1671"/>
      <c r="J68" s="1672">
        <f t="shared" si="4"/>
        <v>108.13500000000001</v>
      </c>
      <c r="K68" s="630"/>
      <c r="L68" s="1684"/>
      <c r="M68" s="610"/>
      <c r="N68" s="626"/>
      <c r="O68" s="617"/>
      <c r="P68" s="610"/>
      <c r="Q68" s="626"/>
      <c r="R68" s="1687">
        <f t="shared" si="5"/>
        <v>470400</v>
      </c>
      <c r="S68" s="1688">
        <v>490000</v>
      </c>
      <c r="T68" s="619"/>
      <c r="U68" s="620"/>
      <c r="V68" s="1700">
        <f t="shared" si="6"/>
        <v>4350.1179081703422</v>
      </c>
      <c r="W68" s="1700">
        <f t="shared" si="7"/>
        <v>4531.3728210107738</v>
      </c>
      <c r="X68" s="620"/>
      <c r="Y68" s="621"/>
      <c r="Z68" s="622"/>
      <c r="AA68" s="623"/>
      <c r="AB68" s="623"/>
      <c r="AC68" s="622"/>
      <c r="AD68" s="623"/>
      <c r="AE68" s="622"/>
      <c r="AF68" s="623"/>
      <c r="AG68" s="610"/>
      <c r="AH68" s="610"/>
      <c r="AI68" s="624"/>
      <c r="AJ68" s="1673"/>
      <c r="AK68" s="624"/>
      <c r="AL68" s="624"/>
      <c r="AM68" s="624"/>
      <c r="AN68" s="610"/>
      <c r="AO68" s="625"/>
      <c r="AP68" s="625"/>
      <c r="AQ68" s="625"/>
      <c r="AR68" s="625"/>
      <c r="AS68" s="625"/>
      <c r="AT68" s="625"/>
      <c r="AU68" s="625"/>
      <c r="AV68" s="625"/>
      <c r="AW68" s="625"/>
      <c r="AX68" s="626"/>
      <c r="AY68" s="626"/>
    </row>
    <row r="69" spans="1:53" s="740" customFormat="1">
      <c r="A69" s="610">
        <v>68</v>
      </c>
      <c r="B69" s="633" t="s">
        <v>196</v>
      </c>
      <c r="C69" s="612" t="s">
        <v>90</v>
      </c>
      <c r="D69" s="612">
        <v>5</v>
      </c>
      <c r="E69" s="612" t="s">
        <v>42</v>
      </c>
      <c r="F69" s="1670">
        <v>61.49</v>
      </c>
      <c r="G69" s="1671">
        <v>19.93</v>
      </c>
      <c r="H69" s="1671"/>
      <c r="I69" s="1671"/>
      <c r="J69" s="1672">
        <f t="shared" si="4"/>
        <v>71.454999999999998</v>
      </c>
      <c r="K69" s="630"/>
      <c r="L69" s="1684"/>
      <c r="M69" s="610"/>
      <c r="N69" s="626"/>
      <c r="O69" s="631"/>
      <c r="P69" s="610"/>
      <c r="Q69" s="626"/>
      <c r="R69" s="1687">
        <f t="shared" si="5"/>
        <v>374400</v>
      </c>
      <c r="S69" s="1688">
        <v>390000</v>
      </c>
      <c r="T69" s="619"/>
      <c r="U69" s="620"/>
      <c r="V69" s="1700">
        <f t="shared" si="6"/>
        <v>5239.6613253096357</v>
      </c>
      <c r="W69" s="1700">
        <f t="shared" si="7"/>
        <v>5457.9805471975369</v>
      </c>
      <c r="X69" s="620"/>
      <c r="Y69" s="621"/>
      <c r="Z69" s="622"/>
      <c r="AA69" s="623"/>
      <c r="AB69" s="623"/>
      <c r="AC69" s="622"/>
      <c r="AD69" s="623"/>
      <c r="AE69" s="622"/>
      <c r="AF69" s="623"/>
      <c r="AG69" s="610"/>
      <c r="AH69" s="610"/>
      <c r="AI69" s="624"/>
      <c r="AJ69" s="1673"/>
      <c r="AK69" s="624"/>
      <c r="AL69" s="624"/>
      <c r="AM69" s="624"/>
      <c r="AN69" s="610"/>
      <c r="AO69" s="625"/>
      <c r="AP69" s="625"/>
      <c r="AQ69" s="625"/>
      <c r="AR69" s="625"/>
      <c r="AS69" s="625"/>
      <c r="AT69" s="625"/>
      <c r="AU69" s="625"/>
      <c r="AV69" s="625"/>
      <c r="AW69" s="625"/>
      <c r="AX69" s="626"/>
      <c r="AY69" s="626"/>
    </row>
    <row r="70" spans="1:53" s="740" customFormat="1">
      <c r="A70" s="610">
        <v>69</v>
      </c>
      <c r="B70" s="633" t="s">
        <v>197</v>
      </c>
      <c r="C70" s="612" t="s">
        <v>90</v>
      </c>
      <c r="D70" s="612">
        <v>5</v>
      </c>
      <c r="E70" s="612" t="s">
        <v>37</v>
      </c>
      <c r="F70" s="1670">
        <v>75.89</v>
      </c>
      <c r="G70" s="1671">
        <v>20.3</v>
      </c>
      <c r="H70" s="1671"/>
      <c r="I70" s="1671"/>
      <c r="J70" s="1672">
        <f t="shared" si="4"/>
        <v>86.04</v>
      </c>
      <c r="K70" s="630"/>
      <c r="L70" s="1684"/>
      <c r="M70" s="610"/>
      <c r="N70" s="626"/>
      <c r="O70" s="617"/>
      <c r="P70" s="610"/>
      <c r="Q70" s="618"/>
      <c r="R70" s="1687">
        <f t="shared" si="5"/>
        <v>384000</v>
      </c>
      <c r="S70" s="1688">
        <v>400000</v>
      </c>
      <c r="T70" s="619"/>
      <c r="U70" s="620"/>
      <c r="V70" s="1700">
        <f t="shared" si="6"/>
        <v>4463.0404463040441</v>
      </c>
      <c r="W70" s="1700">
        <f t="shared" si="7"/>
        <v>4649.0004649000457</v>
      </c>
      <c r="X70" s="620"/>
      <c r="Y70" s="621"/>
      <c r="Z70" s="622"/>
      <c r="AA70" s="623"/>
      <c r="AB70" s="623"/>
      <c r="AC70" s="622"/>
      <c r="AD70" s="623"/>
      <c r="AE70" s="622"/>
      <c r="AF70" s="623"/>
      <c r="AG70" s="610"/>
      <c r="AH70" s="610"/>
      <c r="AI70" s="624"/>
      <c r="AJ70" s="1673"/>
      <c r="AK70" s="624"/>
      <c r="AL70" s="624"/>
      <c r="AM70" s="624"/>
      <c r="AN70" s="610"/>
      <c r="AO70" s="625"/>
      <c r="AP70" s="625"/>
      <c r="AQ70" s="625"/>
      <c r="AR70" s="625"/>
      <c r="AS70" s="625"/>
      <c r="AT70" s="625"/>
      <c r="AU70" s="625"/>
      <c r="AV70" s="625"/>
      <c r="AW70" s="625"/>
      <c r="AX70" s="626"/>
      <c r="AY70" s="626"/>
    </row>
    <row r="71" spans="1:53" s="740" customFormat="1">
      <c r="A71" s="610">
        <v>70</v>
      </c>
      <c r="B71" s="633" t="s">
        <v>198</v>
      </c>
      <c r="C71" s="1749" t="s">
        <v>89</v>
      </c>
      <c r="D71" s="612">
        <v>5</v>
      </c>
      <c r="E71" s="612" t="s">
        <v>145</v>
      </c>
      <c r="F71" s="1670">
        <v>153.72</v>
      </c>
      <c r="G71" s="1671">
        <v>13.75</v>
      </c>
      <c r="H71" s="1671"/>
      <c r="I71" s="1671"/>
      <c r="J71" s="1672">
        <f t="shared" si="4"/>
        <v>160.595</v>
      </c>
      <c r="K71" s="630"/>
      <c r="L71" s="610"/>
      <c r="M71" s="610"/>
      <c r="N71" s="626"/>
      <c r="O71" s="631"/>
      <c r="P71" s="610"/>
      <c r="Q71" s="626"/>
      <c r="R71" s="1687">
        <f t="shared" si="5"/>
        <v>681600</v>
      </c>
      <c r="S71" s="1688">
        <v>710000</v>
      </c>
      <c r="T71" s="619"/>
      <c r="U71" s="620"/>
      <c r="V71" s="1700">
        <f t="shared" si="6"/>
        <v>4244.2168187054394</v>
      </c>
      <c r="W71" s="1700">
        <f t="shared" si="7"/>
        <v>4421.0591861514995</v>
      </c>
      <c r="X71" s="620"/>
      <c r="Y71" s="621"/>
      <c r="Z71" s="622"/>
      <c r="AA71" s="623"/>
      <c r="AB71" s="623"/>
      <c r="AC71" s="622"/>
      <c r="AD71" s="623"/>
      <c r="AE71" s="622"/>
      <c r="AF71" s="623"/>
      <c r="AG71" s="610"/>
      <c r="AH71" s="610"/>
      <c r="AI71" s="624"/>
      <c r="AJ71" s="1673"/>
      <c r="AK71" s="624"/>
      <c r="AL71" s="624"/>
      <c r="AM71" s="624"/>
      <c r="AN71" s="610"/>
      <c r="AO71" s="625"/>
      <c r="AP71" s="625"/>
      <c r="AQ71" s="625"/>
      <c r="AR71" s="625"/>
      <c r="AS71" s="625"/>
      <c r="AT71" s="625"/>
      <c r="AU71" s="625"/>
      <c r="AV71" s="625"/>
      <c r="AW71" s="625"/>
      <c r="AX71" s="626"/>
      <c r="AY71" s="626"/>
    </row>
    <row r="72" spans="1:53" s="740" customFormat="1">
      <c r="A72" s="610">
        <v>71</v>
      </c>
      <c r="B72" s="633" t="s">
        <v>199</v>
      </c>
      <c r="C72" s="1749" t="s">
        <v>89</v>
      </c>
      <c r="D72" s="612">
        <v>5</v>
      </c>
      <c r="E72" s="612" t="s">
        <v>146</v>
      </c>
      <c r="F72" s="1670">
        <v>159.25</v>
      </c>
      <c r="G72" s="1671">
        <v>84.27</v>
      </c>
      <c r="H72" s="1671"/>
      <c r="I72" s="1671"/>
      <c r="J72" s="1672">
        <f t="shared" si="4"/>
        <v>201.38499999999999</v>
      </c>
      <c r="K72" s="630"/>
      <c r="L72" s="1684"/>
      <c r="M72" s="610"/>
      <c r="N72" s="610"/>
      <c r="O72" s="617"/>
      <c r="P72" s="610"/>
      <c r="Q72" s="626"/>
      <c r="R72" s="1687">
        <f t="shared" si="5"/>
        <v>883200</v>
      </c>
      <c r="S72" s="1688">
        <v>920000</v>
      </c>
      <c r="T72" s="619"/>
      <c r="U72" s="620"/>
      <c r="V72" s="1700">
        <f t="shared" si="6"/>
        <v>4385.6295156044398</v>
      </c>
      <c r="W72" s="1700">
        <f t="shared" si="7"/>
        <v>4568.3640787546246</v>
      </c>
      <c r="X72" s="620"/>
      <c r="Y72" s="621"/>
      <c r="Z72" s="622"/>
      <c r="AA72" s="623"/>
      <c r="AB72" s="623"/>
      <c r="AC72" s="622"/>
      <c r="AD72" s="623"/>
      <c r="AE72" s="622"/>
      <c r="AF72" s="623"/>
      <c r="AG72" s="610"/>
      <c r="AH72" s="610"/>
      <c r="AI72" s="624"/>
      <c r="AJ72" s="1673"/>
      <c r="AK72" s="624"/>
      <c r="AL72" s="624"/>
      <c r="AM72" s="624"/>
      <c r="AN72" s="610"/>
      <c r="AO72" s="625"/>
      <c r="AP72" s="625"/>
      <c r="AQ72" s="625"/>
      <c r="AR72" s="625"/>
      <c r="AS72" s="625"/>
      <c r="AT72" s="625"/>
      <c r="AU72" s="625"/>
      <c r="AV72" s="625"/>
      <c r="AW72" s="625"/>
      <c r="AX72" s="626"/>
      <c r="AY72" s="626"/>
    </row>
    <row r="73" spans="1:53" ht="15.75" thickBot="1">
      <c r="A73" s="2087" t="s">
        <v>298</v>
      </c>
      <c r="B73" s="2088"/>
      <c r="C73" s="2088"/>
      <c r="D73" s="2088"/>
      <c r="E73" s="2088"/>
      <c r="F73" s="496">
        <f>SUM(F2:F72)</f>
        <v>6930.5299999999988</v>
      </c>
      <c r="G73" s="496">
        <f>SUM(G2:G72)</f>
        <v>1872.69</v>
      </c>
      <c r="H73" s="496">
        <f>SUM(H2:H72)</f>
        <v>0</v>
      </c>
      <c r="I73" s="496">
        <f>SUM(I2:I72)</f>
        <v>0</v>
      </c>
      <c r="J73" s="496">
        <f>SUM(J2:J72)</f>
        <v>7866.875</v>
      </c>
      <c r="K73" s="40"/>
      <c r="L73" s="40"/>
      <c r="M73" s="40"/>
      <c r="N73" s="40"/>
      <c r="O73" s="40"/>
      <c r="P73" s="40"/>
      <c r="Q73" s="41"/>
      <c r="R73" s="1691"/>
      <c r="S73" s="1691"/>
      <c r="T73" s="42"/>
      <c r="U73" s="42"/>
      <c r="V73" s="1702"/>
      <c r="W73" s="1702"/>
      <c r="X73" s="43"/>
      <c r="Y73" s="43"/>
      <c r="Z73" s="43"/>
      <c r="AA73" s="320"/>
      <c r="AB73" s="44"/>
      <c r="AC73" s="317"/>
      <c r="AD73" s="317"/>
      <c r="AE73" s="44"/>
      <c r="AF73" s="317"/>
      <c r="AG73" s="44"/>
      <c r="AH73" s="317"/>
      <c r="AI73" s="40"/>
      <c r="AJ73" s="40"/>
      <c r="AK73" s="40"/>
      <c r="AL73" s="644"/>
      <c r="AM73" s="40"/>
      <c r="AN73" s="40"/>
      <c r="AO73" s="40"/>
      <c r="AP73" s="40"/>
      <c r="AQ73" s="45"/>
      <c r="AR73" s="45"/>
      <c r="AS73" s="45"/>
      <c r="AT73" s="45"/>
      <c r="AU73" s="45"/>
      <c r="AV73" s="45"/>
      <c r="AW73" s="45"/>
      <c r="AX73" s="45"/>
      <c r="AY73" s="45"/>
      <c r="AZ73" s="41"/>
      <c r="BA73" s="41"/>
    </row>
    <row r="74" spans="1:53" ht="15.75" thickBot="1">
      <c r="A74" s="40"/>
      <c r="B74" s="40"/>
      <c r="C74" s="40"/>
      <c r="D74" s="40"/>
      <c r="E74" s="40"/>
      <c r="F74" s="40"/>
      <c r="G74" s="40"/>
      <c r="H74" s="40"/>
      <c r="I74" s="40"/>
      <c r="J74" s="666"/>
      <c r="K74" s="40"/>
      <c r="L74" s="40">
        <f>G73/F73</f>
        <v>0.27020877191210491</v>
      </c>
      <c r="M74" s="40">
        <f>1594/F73</f>
        <v>0.22999684006850851</v>
      </c>
      <c r="N74" s="40"/>
      <c r="O74" s="40"/>
      <c r="P74" s="40"/>
      <c r="Q74" s="41"/>
      <c r="R74" s="1691"/>
      <c r="S74" s="1691"/>
      <c r="T74" s="41"/>
      <c r="U74" s="41"/>
      <c r="V74" s="1702"/>
      <c r="W74" s="1702"/>
      <c r="X74" s="40"/>
      <c r="Y74" s="40"/>
      <c r="Z74" s="40"/>
      <c r="AA74" s="320"/>
      <c r="AB74" s="320"/>
      <c r="AC74" s="43"/>
      <c r="AD74" s="43"/>
      <c r="AE74" s="40"/>
      <c r="AF74" s="43"/>
      <c r="AG74" s="40"/>
      <c r="AH74" s="43"/>
      <c r="AI74" s="40"/>
      <c r="AJ74" s="40"/>
      <c r="AK74" s="40"/>
      <c r="AL74" s="644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1"/>
      <c r="BA74" s="41"/>
    </row>
    <row r="75" spans="1:53" ht="15.75" thickBot="1">
      <c r="A75" s="46"/>
      <c r="B75" s="47"/>
      <c r="C75" s="48" t="s">
        <v>139</v>
      </c>
      <c r="D75" s="48" t="s">
        <v>140</v>
      </c>
      <c r="E75" s="49" t="s">
        <v>17</v>
      </c>
      <c r="F75" s="107"/>
      <c r="G75" s="1915" t="s">
        <v>289</v>
      </c>
      <c r="H75" s="1916"/>
      <c r="I75" s="107"/>
      <c r="J75" s="666"/>
      <c r="K75" s="40"/>
      <c r="L75" s="40"/>
      <c r="M75" s="40"/>
      <c r="N75" s="40"/>
      <c r="O75" s="40"/>
      <c r="P75" s="40"/>
      <c r="Q75" s="41"/>
      <c r="R75" s="1691"/>
      <c r="S75" s="1691"/>
      <c r="T75" s="234"/>
      <c r="U75" s="234"/>
      <c r="V75" s="1702"/>
      <c r="W75" s="1702"/>
      <c r="X75" s="40"/>
      <c r="Y75" s="40"/>
      <c r="Z75" s="40"/>
      <c r="AA75" s="320"/>
      <c r="AB75" s="320"/>
      <c r="AC75" s="43"/>
      <c r="AD75" s="43"/>
      <c r="AE75" s="40"/>
      <c r="AF75" s="43"/>
      <c r="AG75" s="40"/>
      <c r="AH75" s="43"/>
      <c r="AI75" s="40"/>
      <c r="AJ75" s="40"/>
      <c r="AK75" s="40"/>
      <c r="AL75" s="644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1"/>
      <c r="BA75" s="41"/>
    </row>
    <row r="76" spans="1:53" ht="15.75" thickBot="1">
      <c r="A76" s="1903" t="s">
        <v>258</v>
      </c>
      <c r="B76" s="1904"/>
      <c r="C76" s="50">
        <f>COUNTIF(P2:P72,A76)</f>
        <v>0</v>
      </c>
      <c r="D76" s="51">
        <f>SUMIF(P2:P72,A76,Q2:Q72)</f>
        <v>0</v>
      </c>
      <c r="E76" s="52" t="e">
        <f>AVERAGEIF(P2:P72,A76,U2:U72)</f>
        <v>#DIV/0!</v>
      </c>
      <c r="F76" s="107"/>
      <c r="G76" s="225">
        <v>2025</v>
      </c>
      <c r="H76" s="227">
        <f>COUNTIFS(Z2:Z72,"&gt;="&amp;DATE(2022,1,1),Z2:Z72,"&lt;="&amp;DATE(2022,12,31))</f>
        <v>0</v>
      </c>
      <c r="I76" s="107"/>
      <c r="J76" s="1881" t="s">
        <v>17817</v>
      </c>
      <c r="K76" s="1882"/>
      <c r="L76" s="1882"/>
      <c r="M76" s="1882"/>
      <c r="N76" s="1882"/>
      <c r="O76" s="1882"/>
      <c r="P76" s="1882"/>
      <c r="Q76" s="1882"/>
      <c r="R76" s="1882"/>
      <c r="S76" s="1882"/>
      <c r="T76" s="1882"/>
      <c r="U76" s="1883"/>
      <c r="V76" s="1702"/>
      <c r="W76" s="1702"/>
      <c r="X76" s="40"/>
      <c r="Y76" s="40"/>
      <c r="Z76" s="40"/>
      <c r="AA76" s="320"/>
      <c r="AB76" s="320"/>
      <c r="AC76" s="43"/>
      <c r="AD76" s="43"/>
      <c r="AE76" s="40"/>
      <c r="AF76" s="43"/>
      <c r="AG76" s="40"/>
      <c r="AH76" s="43"/>
      <c r="AI76" s="40"/>
      <c r="AJ76" s="40"/>
      <c r="AK76" s="40"/>
      <c r="AL76" s="644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1"/>
      <c r="BA76" s="41"/>
    </row>
    <row r="77" spans="1:53">
      <c r="A77" s="1905" t="s">
        <v>102</v>
      </c>
      <c r="B77" s="1906"/>
      <c r="C77" s="53">
        <f>COUNTIF(P2:P72,A77)</f>
        <v>0</v>
      </c>
      <c r="D77" s="54">
        <f>SUMIF(P2:P72,A77,R2:R72)</f>
        <v>0</v>
      </c>
      <c r="E77" s="55" t="e">
        <f>AVERAGEIF(P2:P72,A77,V2:V72)</f>
        <v>#DIV/0!</v>
      </c>
      <c r="F77" s="107"/>
      <c r="G77" s="225">
        <v>2026</v>
      </c>
      <c r="H77" s="227">
        <f>COUNTIFS(Z2:Z72,"&gt;="&amp;DATE(2023,1,1),Z2:Z72,"&lt;="&amp;DATE(2023,12,31))</f>
        <v>0</v>
      </c>
      <c r="I77" s="107"/>
      <c r="J77" s="1658" t="s">
        <v>17303</v>
      </c>
      <c r="K77" s="1015" t="s">
        <v>17304</v>
      </c>
      <c r="L77" s="1016" t="s">
        <v>17305</v>
      </c>
      <c r="M77" s="1017" t="s">
        <v>17306</v>
      </c>
      <c r="N77" s="1017" t="s">
        <v>17307</v>
      </c>
      <c r="O77" s="1017" t="s">
        <v>17308</v>
      </c>
      <c r="P77" s="1018" t="s">
        <v>17309</v>
      </c>
      <c r="Q77" s="1018" t="s">
        <v>17310</v>
      </c>
      <c r="R77" s="1692" t="s">
        <v>17311</v>
      </c>
      <c r="S77" s="1692" t="s">
        <v>17312</v>
      </c>
      <c r="T77" s="1018" t="s">
        <v>17313</v>
      </c>
      <c r="U77" s="1659" t="s">
        <v>17314</v>
      </c>
      <c r="V77" s="1702"/>
      <c r="W77" s="1702"/>
      <c r="X77" s="40"/>
      <c r="Y77" s="40"/>
      <c r="Z77" s="40"/>
      <c r="AA77" s="320"/>
      <c r="AB77" s="320"/>
      <c r="AC77" s="43"/>
      <c r="AD77" s="43"/>
      <c r="AE77" s="40"/>
      <c r="AF77" s="43"/>
      <c r="AG77" s="40"/>
      <c r="AH77" s="43"/>
      <c r="AI77" s="40"/>
      <c r="AJ77" s="40"/>
      <c r="AK77" s="40"/>
      <c r="AL77" s="644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1"/>
      <c r="BA77" s="41"/>
    </row>
    <row r="78" spans="1:53" ht="15.75" thickBot="1">
      <c r="A78" s="1907" t="s">
        <v>138</v>
      </c>
      <c r="B78" s="1908"/>
      <c r="C78" s="56">
        <f>COUNTIF(P2:P72,"")</f>
        <v>71</v>
      </c>
      <c r="D78" s="57">
        <f>SUMIF(P2:P72,"",R2:R72)</f>
        <v>36566400</v>
      </c>
      <c r="E78" s="58">
        <f>AVERAGEIF(P2:P72,"",V2:V72)</f>
        <v>4645.9933593537653</v>
      </c>
      <c r="F78" s="107"/>
      <c r="G78" s="226">
        <v>2027</v>
      </c>
      <c r="H78" s="216">
        <f>COUNTIFS(Z2:Z72,"&gt;="&amp;DATE(2024,1,1),Z2:Z72,"&lt;="&amp;DATE(2024,12,31))</f>
        <v>0</v>
      </c>
      <c r="I78" s="107"/>
      <c r="J78" s="1660">
        <f>COUNTIFS(Z2:Z72,"&gt;="&amp;DATE(2025,1,1),Z2:Z72,"&lt;="&amp;DATE(2025,1,31))</f>
        <v>0</v>
      </c>
      <c r="K78" s="1661">
        <f>COUNTIFS(Z2:Z72,"&gt;="&amp;DATE(2025,2,1),Z2:Z72,"&lt;="&amp;DATE(2025,2,28))</f>
        <v>0</v>
      </c>
      <c r="L78" s="1661">
        <f>COUNTIFS(Z2:Z72,"&gt;="&amp;DATE(2025,3,1),Z2:Z72,"&lt;="&amp;DATE(2025,3,31))</f>
        <v>0</v>
      </c>
      <c r="M78" s="1661">
        <f>COUNTIFS(Z2:Z72,"&gt;="&amp;DATE(2025,4,1),Z2:Z72,"&lt;="&amp;DATE(2025,4,30))</f>
        <v>0</v>
      </c>
      <c r="N78" s="1661">
        <f>COUNTIFS(Z2:Z72,"&gt;="&amp;DATE(2025,5,1),Z2:Z72,"&lt;="&amp;DATE(2025,5,31))</f>
        <v>0</v>
      </c>
      <c r="O78" s="1661">
        <f>COUNTIFS(Z2:Z72,"&gt;="&amp;DATE(2025,6,1),Z2:Z72,"&lt;="&amp;DATE(2025,6,30))</f>
        <v>0</v>
      </c>
      <c r="P78" s="1661">
        <f>COUNTIFS(Z2:Z72,"&gt;="&amp;DATE(2025,7,1),Z2:Z72,"&lt;="&amp;DATE(2025,7,31))</f>
        <v>0</v>
      </c>
      <c r="Q78" s="1661">
        <f>COUNTIFS(Z2:Z72,"&gt;="&amp;DATE(2025,8,1),Z2:Z72,"&lt;="&amp;DATE(2025,8,31))</f>
        <v>0</v>
      </c>
      <c r="R78" s="1693">
        <f>COUNTIFS(Z2:Z72,"&gt;="&amp;DATE(2025,9,1),Z2:Z72,"&lt;="&amp;DATE(2025,9,30))</f>
        <v>0</v>
      </c>
      <c r="S78" s="1693">
        <f>COUNTIFS(Z2:Z72,"&gt;="&amp;DATE(2025,10,1),Z2:Z72,"&lt;="&amp;DATE(2025,10,31))</f>
        <v>0</v>
      </c>
      <c r="T78" s="1661">
        <f>COUNTIFS(Z2:Z72,"&gt;="&amp;DATE(2025,11,1),Z2:Z72,"&lt;="&amp;DATE(2025,11,30))</f>
        <v>0</v>
      </c>
      <c r="U78" s="1662">
        <f>COUNTIFS(Z2:Z72,"&gt;="&amp;DATE(2025,12,1),Z2:Z72,"&lt;="&amp;DATE(2025,12,31))</f>
        <v>0</v>
      </c>
      <c r="V78" s="1702"/>
      <c r="W78" s="1702"/>
      <c r="X78" s="40"/>
      <c r="Y78" s="40"/>
      <c r="Z78" s="40"/>
      <c r="AA78" s="320"/>
      <c r="AB78" s="320"/>
      <c r="AC78" s="43"/>
      <c r="AD78" s="43"/>
      <c r="AE78" s="40"/>
      <c r="AF78" s="43"/>
      <c r="AG78" s="40"/>
      <c r="AH78" s="43"/>
      <c r="AI78" s="40"/>
      <c r="AJ78" s="40"/>
      <c r="AK78" s="40"/>
      <c r="AL78" s="644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1"/>
      <c r="BA78" s="41"/>
    </row>
    <row r="79" spans="1:53" ht="15.6" customHeight="1" thickBot="1">
      <c r="A79" s="1897" t="s">
        <v>210</v>
      </c>
      <c r="B79" s="1898"/>
      <c r="C79" s="59">
        <f>COUNTIF(P2:P72,A79)</f>
        <v>0</v>
      </c>
      <c r="D79" s="60">
        <f>SUMIF(P2:P72,A79,Q2:Q72)</f>
        <v>0</v>
      </c>
      <c r="E79" s="61" t="e">
        <f>AVERAGEIF(P2:P72,A79,U2:U72)</f>
        <v>#DIV/0!</v>
      </c>
      <c r="F79" s="107"/>
      <c r="G79" s="308" t="s">
        <v>17472</v>
      </c>
      <c r="H79" s="309">
        <f>C76/C80</f>
        <v>0</v>
      </c>
      <c r="I79" s="107"/>
      <c r="V79" s="1702"/>
      <c r="W79" s="1702"/>
      <c r="X79" s="40"/>
      <c r="Y79" s="40"/>
      <c r="Z79" s="40"/>
      <c r="AA79" s="320"/>
      <c r="AB79" s="320"/>
      <c r="AC79" s="43"/>
      <c r="AD79" s="43"/>
      <c r="AE79" s="40"/>
      <c r="AF79" s="43"/>
      <c r="AG79" s="40"/>
      <c r="AH79" s="43"/>
      <c r="AI79" s="40"/>
      <c r="AJ79" s="40"/>
      <c r="AK79" s="40"/>
      <c r="AL79" s="644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1"/>
      <c r="BA79" s="41"/>
    </row>
    <row r="80" spans="1:53" ht="15.75" thickBot="1">
      <c r="A80" s="1895" t="s">
        <v>269</v>
      </c>
      <c r="B80" s="1896"/>
      <c r="C80" s="205">
        <f>SUBTOTAL(9,C76:C79)</f>
        <v>71</v>
      </c>
      <c r="D80" s="206">
        <f>SUM(D76:D79)</f>
        <v>36566400</v>
      </c>
      <c r="E80" s="207">
        <f>D80/J73</f>
        <v>4648.1480892984828</v>
      </c>
      <c r="F80" s="323"/>
      <c r="G80" s="1706"/>
      <c r="H80" s="376"/>
      <c r="I80" s="107"/>
      <c r="J80" s="1881" t="s">
        <v>18035</v>
      </c>
      <c r="K80" s="1882"/>
      <c r="L80" s="1882"/>
      <c r="M80" s="1882"/>
      <c r="N80" s="1882"/>
      <c r="O80" s="1882"/>
      <c r="P80" s="1882"/>
      <c r="Q80" s="1882"/>
      <c r="R80" s="1882"/>
      <c r="S80" s="1882"/>
      <c r="T80" s="1882"/>
      <c r="U80" s="1883"/>
      <c r="V80" s="1702"/>
      <c r="W80" s="1702"/>
      <c r="X80" s="234"/>
      <c r="Y80" s="43"/>
      <c r="Z80" s="43"/>
      <c r="AA80" s="320"/>
      <c r="AB80" s="320"/>
      <c r="AC80" s="43"/>
      <c r="AD80" s="43"/>
      <c r="AE80" s="40"/>
      <c r="AF80" s="43"/>
      <c r="AG80" s="40"/>
      <c r="AH80" s="43"/>
      <c r="AI80" s="40"/>
      <c r="AJ80" s="40"/>
      <c r="AK80" s="40"/>
      <c r="AL80" s="644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1"/>
      <c r="BA80" s="41"/>
    </row>
    <row r="81" spans="1:54" ht="15.75" thickBot="1">
      <c r="A81" s="3"/>
      <c r="B81" s="3"/>
      <c r="C81" s="3"/>
      <c r="D81" s="3"/>
      <c r="E81" s="3"/>
      <c r="F81" s="107"/>
      <c r="G81" s="107"/>
      <c r="H81" s="107"/>
      <c r="I81" s="107"/>
      <c r="J81" s="1658" t="s">
        <v>17303</v>
      </c>
      <c r="K81" s="1015" t="s">
        <v>17304</v>
      </c>
      <c r="L81" s="1016" t="s">
        <v>17305</v>
      </c>
      <c r="M81" s="1017" t="s">
        <v>17306</v>
      </c>
      <c r="N81" s="1017" t="s">
        <v>17307</v>
      </c>
      <c r="O81" s="1017" t="s">
        <v>17308</v>
      </c>
      <c r="P81" s="1018" t="s">
        <v>17309</v>
      </c>
      <c r="Q81" s="1018" t="s">
        <v>17310</v>
      </c>
      <c r="R81" s="1692" t="s">
        <v>17311</v>
      </c>
      <c r="S81" s="1692" t="s">
        <v>17312</v>
      </c>
      <c r="T81" s="1018" t="s">
        <v>17313</v>
      </c>
      <c r="U81" s="1659" t="s">
        <v>17314</v>
      </c>
      <c r="V81" s="1702"/>
      <c r="W81" s="1702"/>
      <c r="X81" s="320"/>
      <c r="Y81" s="43"/>
      <c r="Z81" s="43"/>
      <c r="AA81" s="40"/>
      <c r="AB81" s="320"/>
      <c r="AC81" s="320"/>
      <c r="AD81" s="43"/>
      <c r="AE81" s="43"/>
      <c r="AF81" s="40"/>
      <c r="AG81" s="43"/>
      <c r="AH81" s="40"/>
      <c r="AI81" s="43"/>
      <c r="AJ81" s="40"/>
      <c r="AK81" s="40"/>
      <c r="AL81" s="40"/>
      <c r="AM81" s="644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1"/>
    </row>
    <row r="82" spans="1:54" ht="15.75" thickBot="1">
      <c r="A82" s="1893" t="s">
        <v>139</v>
      </c>
      <c r="B82" s="2023"/>
      <c r="C82" s="62" t="s">
        <v>144</v>
      </c>
      <c r="D82" s="62" t="s">
        <v>90</v>
      </c>
      <c r="E82" s="62" t="s">
        <v>91</v>
      </c>
      <c r="F82" s="62" t="s">
        <v>89</v>
      </c>
      <c r="G82" s="172" t="s">
        <v>93</v>
      </c>
      <c r="H82" s="49" t="s">
        <v>141</v>
      </c>
      <c r="I82" s="162"/>
      <c r="J82" s="1660">
        <f>COUNTIFS(AB6:AB76,"&gt;="&amp;DATE(2025,1,1),AB6:AB76,"&lt;="&amp;DATE(2025,1,31))</f>
        <v>0</v>
      </c>
      <c r="K82" s="1661">
        <f>COUNTIFS(AB6:AB76,"&gt;="&amp;DATE(2025,2,1),AB6:AB76,"&lt;="&amp;DATE(2025,2,28))</f>
        <v>0</v>
      </c>
      <c r="L82" s="1661">
        <f>COUNTIFS(AB6:AB76,"&gt;="&amp;DATE(2025,3,1),AB6:AB76,"&lt;="&amp;DATE(2025,3,31))</f>
        <v>0</v>
      </c>
      <c r="M82" s="1661">
        <f>COUNTIFS(AB6:AB76,"&gt;="&amp;DATE(2025,4,1),AB6:AB76,"&lt;="&amp;DATE(2025,4,30))</f>
        <v>0</v>
      </c>
      <c r="N82" s="1661">
        <f>COUNTIFS(AB6:AB76,"&gt;="&amp;DATE(2025,5,1),AB6:AB76,"&lt;="&amp;DATE(2025,5,31))</f>
        <v>0</v>
      </c>
      <c r="O82" s="1661">
        <f>COUNTIFS(AB6:AB76,"&gt;="&amp;DATE(2025,6,1),AB6:AB76,"&lt;="&amp;DATE(2025,6,30))</f>
        <v>0</v>
      </c>
      <c r="P82" s="1661">
        <f>COUNTIFS(AB6:AB76,"&gt;="&amp;DATE(2025,7,1),AB6:AB76,"&lt;="&amp;DATE(2025,7,31))</f>
        <v>0</v>
      </c>
      <c r="Q82" s="1661">
        <f>COUNTIFS(AB6:AB76,"&gt;="&amp;DATE(2025,8,1),AB6:AB76,"&lt;="&amp;DATE(2025,8,31))</f>
        <v>0</v>
      </c>
      <c r="R82" s="1693">
        <f>COUNTIFS(AB6:AB76,"&gt;="&amp;DATE(2025,9,1),AB6:AB76,"&lt;="&amp;DATE(2025,9,30))</f>
        <v>0</v>
      </c>
      <c r="S82" s="1693">
        <f>COUNTIFS(AB6:AB76,"&gt;="&amp;DATE(2025,10,1),AB6:AB76,"&lt;="&amp;DATE(2025,10,31))</f>
        <v>0</v>
      </c>
      <c r="T82" s="1661">
        <f>COUNTIFS(AB6:AB76,"&gt;="&amp;DATE(2025,11,1),AB6:AB76,"&lt;="&amp;DATE(2025,11,30))</f>
        <v>0</v>
      </c>
      <c r="U82" s="1662">
        <f>COUNTIFS(AB6:AB76,"&gt;="&amp;DATE(2025,12,1),AB6:AB76,"&lt;="&amp;DATE(2025,12,31))</f>
        <v>0</v>
      </c>
      <c r="V82" s="1702"/>
      <c r="W82" s="1702"/>
      <c r="X82" s="320"/>
      <c r="Y82" s="43"/>
      <c r="Z82" s="43"/>
      <c r="AA82" s="40"/>
      <c r="AB82" s="43"/>
      <c r="AC82" s="40"/>
      <c r="AD82" s="43"/>
      <c r="AE82" s="40"/>
      <c r="AF82" s="40"/>
      <c r="AG82" s="40"/>
      <c r="AH82" s="644"/>
      <c r="AI82" s="40"/>
      <c r="AJ82" s="40"/>
      <c r="AK82" s="40"/>
      <c r="AL82" s="40"/>
      <c r="AM82" s="40"/>
      <c r="AN82" s="40"/>
      <c r="AO82" s="40"/>
      <c r="AP82" s="40"/>
      <c r="AQ82" s="41"/>
      <c r="AR82" s="41"/>
      <c r="AS82" s="41"/>
      <c r="AT82" s="41"/>
      <c r="AU82" s="41"/>
      <c r="AV82" s="41"/>
      <c r="AW82" s="41"/>
      <c r="AX82" s="1"/>
      <c r="AY82" s="1"/>
      <c r="AZ82" s="1"/>
      <c r="BA82" s="1"/>
    </row>
    <row r="83" spans="1:54" ht="15.75" thickBot="1">
      <c r="A83" s="2024" t="s">
        <v>258</v>
      </c>
      <c r="B83" s="2025"/>
      <c r="C83" s="63">
        <f>COUNTIFS(P2:P72,A83,C2:C72,C82)</f>
        <v>0</v>
      </c>
      <c r="D83" s="63">
        <f>COUNTIFS(P2:P72,A83,C2:C72,D82)</f>
        <v>0</v>
      </c>
      <c r="E83" s="63">
        <f>COUNTIFS(P2:P72,A83,C2:C72,E82)</f>
        <v>0</v>
      </c>
      <c r="F83" s="63">
        <f>COUNTIFS(P2:P72,A83,C2:C72,F82)</f>
        <v>0</v>
      </c>
      <c r="G83" s="63">
        <f>COUNTIFS(P2:P72,A83,C2:C72,G82)</f>
        <v>0</v>
      </c>
      <c r="H83" s="64">
        <f>SUM(C83:G83)</f>
        <v>0</v>
      </c>
      <c r="I83" s="162"/>
      <c r="V83" s="1702"/>
      <c r="W83" s="1702"/>
      <c r="X83" s="320"/>
      <c r="Y83" s="43"/>
      <c r="Z83" s="43"/>
      <c r="AA83" s="40"/>
      <c r="AB83" s="43"/>
      <c r="AC83" s="40"/>
      <c r="AD83" s="43"/>
      <c r="AE83" s="40"/>
      <c r="AF83" s="40"/>
      <c r="AG83" s="40"/>
      <c r="AH83" s="644"/>
      <c r="AI83" s="40"/>
      <c r="AJ83" s="40"/>
      <c r="AK83" s="40"/>
      <c r="AL83" s="40"/>
      <c r="AM83" s="40"/>
      <c r="AN83" s="40"/>
      <c r="AO83" s="40"/>
      <c r="AP83" s="40"/>
      <c r="AQ83" s="41"/>
      <c r="AR83" s="41"/>
      <c r="AS83" s="41"/>
      <c r="AT83" s="41"/>
      <c r="AU83" s="41"/>
      <c r="AV83" s="41"/>
      <c r="AW83" s="41"/>
      <c r="AX83" s="1"/>
      <c r="AY83" s="1"/>
      <c r="AZ83" s="1"/>
      <c r="BA83" s="1"/>
    </row>
    <row r="84" spans="1:54" ht="15.75" thickBot="1">
      <c r="A84" s="1905" t="s">
        <v>102</v>
      </c>
      <c r="B84" s="1911"/>
      <c r="C84" s="65">
        <f>COUNTIFS(P2:P72,A84,C2:C72,C82)</f>
        <v>0</v>
      </c>
      <c r="D84" s="65">
        <f>COUNTIFS(P2:P72,A84,C2:C72,D82)</f>
        <v>0</v>
      </c>
      <c r="E84" s="65">
        <f>COUNTIFS(P2:P72,A84,C2:C72,E82)</f>
        <v>0</v>
      </c>
      <c r="F84" s="65">
        <f>COUNTIFS(P2:P72,A84,C2:C72,F82)</f>
        <v>0</v>
      </c>
      <c r="G84" s="65">
        <f>COUNTIFS(P2:P72,A84,C2:C72,G82)</f>
        <v>0</v>
      </c>
      <c r="H84" s="66">
        <f>SUM(C84:G84)</f>
        <v>0</v>
      </c>
      <c r="I84" s="40"/>
      <c r="J84" s="1881" t="s">
        <v>18036</v>
      </c>
      <c r="K84" s="1882"/>
      <c r="L84" s="1882"/>
      <c r="M84" s="1882"/>
      <c r="N84" s="1882"/>
      <c r="O84" s="1882"/>
      <c r="P84" s="1882"/>
      <c r="Q84" s="1882"/>
      <c r="R84" s="1882"/>
      <c r="S84" s="1882"/>
      <c r="T84" s="1882"/>
      <c r="U84" s="1883"/>
      <c r="V84" s="1702"/>
      <c r="W84" s="1702"/>
      <c r="X84" s="41"/>
      <c r="Y84" s="40"/>
      <c r="Z84" s="40"/>
      <c r="AA84" s="320"/>
      <c r="AB84" s="320"/>
      <c r="AC84" s="43"/>
      <c r="AD84" s="43"/>
      <c r="AE84" s="40"/>
      <c r="AF84" s="43"/>
      <c r="AG84" s="40"/>
      <c r="AH84" s="43"/>
      <c r="AI84" s="40"/>
      <c r="AJ84" s="40"/>
      <c r="AK84" s="40"/>
      <c r="AL84" s="644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1"/>
      <c r="BA84" s="41"/>
    </row>
    <row r="85" spans="1:54" ht="15.75" thickBot="1">
      <c r="A85" s="1907" t="s">
        <v>138</v>
      </c>
      <c r="B85" s="1912"/>
      <c r="C85" s="67">
        <f>COUNTIFS(P2:P72,"",C2:C72,C82)</f>
        <v>5</v>
      </c>
      <c r="D85" s="67">
        <f>COUNTIFS(P2:P72,"",C2:C72,D82)</f>
        <v>27</v>
      </c>
      <c r="E85" s="67">
        <f>COUNTIFS(P2:P72,"",C2:C72,E82)</f>
        <v>20</v>
      </c>
      <c r="F85" s="67">
        <f>COUNTIFS(P2:P72,"",C2:C72,F82)</f>
        <v>15</v>
      </c>
      <c r="G85" s="67">
        <f>COUNTIFS(P2:P72,"",C2:C72,G82)</f>
        <v>4</v>
      </c>
      <c r="H85" s="68">
        <f>SUM(C85:G85)</f>
        <v>71</v>
      </c>
      <c r="I85" s="40"/>
      <c r="J85" s="1658" t="s">
        <v>17303</v>
      </c>
      <c r="K85" s="1015" t="s">
        <v>17304</v>
      </c>
      <c r="L85" s="1016" t="s">
        <v>17305</v>
      </c>
      <c r="M85" s="1017" t="s">
        <v>17306</v>
      </c>
      <c r="N85" s="1017" t="s">
        <v>17307</v>
      </c>
      <c r="O85" s="1017" t="s">
        <v>17308</v>
      </c>
      <c r="P85" s="1018" t="s">
        <v>17309</v>
      </c>
      <c r="Q85" s="1018" t="s">
        <v>17310</v>
      </c>
      <c r="R85" s="1692" t="s">
        <v>17311</v>
      </c>
      <c r="S85" s="1692" t="s">
        <v>17312</v>
      </c>
      <c r="T85" s="1018" t="s">
        <v>17313</v>
      </c>
      <c r="U85" s="1659" t="s">
        <v>17314</v>
      </c>
      <c r="V85" s="1702"/>
      <c r="W85" s="1702"/>
      <c r="X85" s="40"/>
      <c r="Y85" s="40"/>
      <c r="Z85" s="40"/>
      <c r="AA85" s="320"/>
      <c r="AB85" s="320"/>
      <c r="AC85" s="43"/>
      <c r="AD85" s="43"/>
      <c r="AE85" s="40"/>
      <c r="AF85" s="43"/>
      <c r="AG85" s="40"/>
      <c r="AH85" s="43"/>
      <c r="AI85" s="40"/>
      <c r="AJ85" s="40"/>
      <c r="AK85" s="40"/>
      <c r="AL85" s="644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1"/>
      <c r="BA85" s="41"/>
    </row>
    <row r="86" spans="1:54" ht="15.75" thickBot="1">
      <c r="A86" s="1913" t="s">
        <v>210</v>
      </c>
      <c r="B86" s="1914"/>
      <c r="C86" s="69">
        <f>COUNTIFS(P2:P72,A86,C2:C72,C82)</f>
        <v>0</v>
      </c>
      <c r="D86" s="69">
        <f>COUNTIFS(P2:P72,A86,C2:C72,D82)</f>
        <v>0</v>
      </c>
      <c r="E86" s="69">
        <f>COUNTIFS(P2:P72,A86,C2:C72,E82)</f>
        <v>0</v>
      </c>
      <c r="F86" s="69">
        <f>COUNTIFS(P2:P72,A86,C2:C72,F82)</f>
        <v>0</v>
      </c>
      <c r="G86" s="69">
        <f>COUNTIFS(Q2:Q72,B86,D2:D72,G82)</f>
        <v>0</v>
      </c>
      <c r="H86" s="70">
        <f>SUM(C86:G86)</f>
        <v>0</v>
      </c>
      <c r="I86" s="40"/>
      <c r="J86" s="1660">
        <f>COUNTIFS(AB10:AB80,"&gt;="&amp;DATE(2025,1,1),AB10:AB80,"&lt;="&amp;DATE(2025,1,31))</f>
        <v>0</v>
      </c>
      <c r="K86" s="1661">
        <f>COUNTIFS(AB10:AB80,"&gt;="&amp;DATE(2025,2,1),AB10:AB80,"&lt;="&amp;DATE(2025,2,28))</f>
        <v>0</v>
      </c>
      <c r="L86" s="1661">
        <f>COUNTIFS(AB10:AB80,"&gt;="&amp;DATE(2025,3,1),AB10:AB80,"&lt;="&amp;DATE(2025,3,31))</f>
        <v>0</v>
      </c>
      <c r="M86" s="1661">
        <f>COUNTIFS(AB10:AB80,"&gt;="&amp;DATE(2025,4,1),AB10:AB80,"&lt;="&amp;DATE(2025,4,30))</f>
        <v>0</v>
      </c>
      <c r="N86" s="1661">
        <f>COUNTIFS(AB10:AB80,"&gt;="&amp;DATE(2025,5,1),AB10:AB80,"&lt;="&amp;DATE(2025,5,31))</f>
        <v>0</v>
      </c>
      <c r="O86" s="1661">
        <f>COUNTIFS(AB10:AB80,"&gt;="&amp;DATE(2025,6,1),AB10:AB80,"&lt;="&amp;DATE(2025,6,30))</f>
        <v>0</v>
      </c>
      <c r="P86" s="1661">
        <f>COUNTIFS(AB10:AB80,"&gt;="&amp;DATE(2025,7,1),AB10:AB80,"&lt;="&amp;DATE(2025,7,31))</f>
        <v>0</v>
      </c>
      <c r="Q86" s="1661">
        <f>COUNTIFS(AB10:AB80,"&gt;="&amp;DATE(2025,8,1),AB10:AB80,"&lt;="&amp;DATE(2025,8,31))</f>
        <v>0</v>
      </c>
      <c r="R86" s="1693">
        <f>COUNTIFS(AB10:AB80,"&gt;="&amp;DATE(2025,9,1),AB10:AB80,"&lt;="&amp;DATE(2025,9,30))</f>
        <v>0</v>
      </c>
      <c r="S86" s="1693">
        <f>COUNTIFS(AB10:AB80,"&gt;="&amp;DATE(2025,10,1),AB10:AB80,"&lt;="&amp;DATE(2025,10,31))</f>
        <v>0</v>
      </c>
      <c r="T86" s="1661">
        <f>COUNTIFS(AB10:AB80,"&gt;="&amp;DATE(2025,11,1),AB10:AB80,"&lt;="&amp;DATE(2025,11,30))</f>
        <v>0</v>
      </c>
      <c r="U86" s="1662">
        <f>COUNTIFS(AB10:AB80,"&gt;="&amp;DATE(2025,12,1),AB10:AB80,"&lt;="&amp;DATE(2025,12,31))</f>
        <v>0</v>
      </c>
      <c r="V86" s="1702"/>
      <c r="W86" s="1702"/>
      <c r="X86" s="40"/>
      <c r="Y86" s="40"/>
      <c r="Z86" s="40"/>
      <c r="AA86" s="320"/>
      <c r="AB86" s="320"/>
      <c r="AC86" s="43"/>
      <c r="AD86" s="43"/>
      <c r="AE86" s="40"/>
      <c r="AF86" s="43"/>
      <c r="AG86" s="40"/>
      <c r="AH86" s="43"/>
      <c r="AI86" s="40"/>
      <c r="AJ86" s="40"/>
      <c r="AK86" s="40"/>
      <c r="AL86" s="644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1"/>
      <c r="BA86" s="41"/>
    </row>
    <row r="87" spans="1:54" ht="15.75" thickBot="1">
      <c r="A87" s="2046" t="s">
        <v>141</v>
      </c>
      <c r="B87" s="2047"/>
      <c r="C87" s="71">
        <f t="shared" ref="C87:H87" si="8">SUM(C83:C86)</f>
        <v>5</v>
      </c>
      <c r="D87" s="72">
        <f t="shared" si="8"/>
        <v>27</v>
      </c>
      <c r="E87" s="72">
        <f t="shared" si="8"/>
        <v>20</v>
      </c>
      <c r="F87" s="72">
        <f t="shared" si="8"/>
        <v>15</v>
      </c>
      <c r="G87" s="72">
        <f t="shared" si="8"/>
        <v>4</v>
      </c>
      <c r="H87" s="73">
        <f t="shared" si="8"/>
        <v>71</v>
      </c>
      <c r="I87" s="40"/>
      <c r="J87" s="508"/>
      <c r="K87" s="289"/>
      <c r="L87" s="289"/>
      <c r="M87" s="289"/>
      <c r="N87" s="289"/>
      <c r="O87" s="289"/>
      <c r="P87" s="289"/>
      <c r="Q87" s="289"/>
      <c r="R87" s="1695"/>
      <c r="S87" s="1695"/>
      <c r="T87" s="289"/>
      <c r="U87" s="289"/>
      <c r="V87" s="1703"/>
      <c r="W87" s="1704"/>
      <c r="X87" s="40"/>
      <c r="Y87" s="40"/>
      <c r="Z87" s="40"/>
      <c r="AA87" s="40"/>
      <c r="AB87" s="320"/>
      <c r="AC87" s="320"/>
      <c r="AD87" s="43"/>
      <c r="AE87" s="43"/>
      <c r="AF87" s="40"/>
      <c r="AG87" s="43"/>
      <c r="AH87" s="40"/>
      <c r="AI87" s="43"/>
      <c r="AJ87" s="40"/>
      <c r="AK87" s="40"/>
      <c r="AL87" s="40"/>
      <c r="AM87" s="644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1"/>
      <c r="BB87" s="41"/>
    </row>
    <row r="88" spans="1:54" ht="15.75" thickBot="1">
      <c r="I88" s="289"/>
      <c r="J88" s="289"/>
      <c r="K88" s="289"/>
      <c r="L88" s="289"/>
      <c r="M88" s="289"/>
      <c r="N88" s="289"/>
      <c r="O88" s="289"/>
      <c r="P88" s="289"/>
      <c r="Q88" s="289"/>
      <c r="R88" s="1695"/>
      <c r="S88" s="1695"/>
      <c r="T88" s="289"/>
      <c r="U88" s="289"/>
      <c r="V88" s="1703"/>
      <c r="W88" s="1703"/>
      <c r="X88" s="289"/>
      <c r="Y88" s="289"/>
      <c r="Z88" s="289"/>
      <c r="AA88" s="289"/>
      <c r="AB88" s="289"/>
      <c r="AC88" s="289"/>
      <c r="AD88" s="289"/>
      <c r="AE88" s="289"/>
      <c r="AF88" s="289"/>
      <c r="AG88" s="289"/>
      <c r="AH88" s="289"/>
      <c r="AI88" s="289"/>
      <c r="AJ88" s="289"/>
      <c r="AK88" s="289"/>
      <c r="AL88" s="289"/>
      <c r="AM88" s="289"/>
      <c r="AN88" s="289"/>
      <c r="AO88" s="289"/>
      <c r="AP88" s="289"/>
      <c r="AQ88" s="289"/>
      <c r="AR88" s="289"/>
      <c r="AS88" s="289"/>
      <c r="AT88" s="289"/>
      <c r="AU88" s="289"/>
      <c r="AV88" s="289"/>
      <c r="AW88" s="289"/>
      <c r="AX88" s="289"/>
      <c r="AY88" s="289"/>
      <c r="AZ88" s="289"/>
      <c r="BA88" s="289"/>
    </row>
    <row r="89" spans="1:54">
      <c r="A89" s="1921" t="s">
        <v>192</v>
      </c>
      <c r="B89" s="1922"/>
      <c r="C89" s="62" t="s">
        <v>144</v>
      </c>
      <c r="D89" s="62" t="s">
        <v>90</v>
      </c>
      <c r="E89" s="62" t="s">
        <v>91</v>
      </c>
      <c r="F89" s="62" t="s">
        <v>89</v>
      </c>
      <c r="G89" s="49" t="s">
        <v>93</v>
      </c>
      <c r="H89" s="49" t="s">
        <v>141</v>
      </c>
      <c r="I89" s="289"/>
      <c r="J89" s="2081" t="s">
        <v>17437</v>
      </c>
      <c r="K89" s="2082"/>
      <c r="L89" s="2082"/>
      <c r="M89" s="2083"/>
      <c r="N89" s="289"/>
      <c r="O89" s="2084" t="s">
        <v>17441</v>
      </c>
      <c r="P89" s="2085"/>
      <c r="Q89" s="2085"/>
      <c r="R89" s="2086"/>
      <c r="S89" s="1695"/>
      <c r="T89" s="289"/>
      <c r="U89" s="289"/>
      <c r="V89" s="1703"/>
      <c r="W89" s="1703"/>
      <c r="X89" s="289"/>
      <c r="Y89" s="289"/>
      <c r="Z89" s="289"/>
      <c r="AA89" s="289"/>
      <c r="AB89" s="289"/>
      <c r="AC89" s="289"/>
      <c r="AD89" s="289"/>
      <c r="AE89" s="289"/>
      <c r="AF89" s="289"/>
      <c r="AG89" s="289"/>
      <c r="AH89" s="289"/>
      <c r="AI89" s="289"/>
      <c r="AJ89" s="289"/>
      <c r="AK89" s="289"/>
      <c r="AL89" s="289"/>
      <c r="AM89" s="289"/>
      <c r="AN89" s="289"/>
      <c r="AO89" s="289"/>
      <c r="AP89" s="289"/>
      <c r="AQ89" s="289"/>
      <c r="AR89" s="289"/>
      <c r="AS89" s="289"/>
      <c r="AT89" s="289"/>
      <c r="AU89" s="289"/>
      <c r="AV89" s="289"/>
      <c r="AW89" s="289"/>
      <c r="AX89" s="289"/>
      <c r="AY89" s="289"/>
      <c r="AZ89" s="289"/>
      <c r="BA89" s="289"/>
    </row>
    <row r="90" spans="1:54">
      <c r="A90" s="2050" t="s">
        <v>258</v>
      </c>
      <c r="B90" s="2051"/>
      <c r="C90" s="75" t="e">
        <f>AVERAGEIFS(Q2:Q72,P2:P72,A90,C2:C72,C89)</f>
        <v>#DIV/0!</v>
      </c>
      <c r="D90" s="51" t="e">
        <f>AVERAGEIFS(Q2:Q72,P2:P72,A90,C2:C72,D89)</f>
        <v>#DIV/0!</v>
      </c>
      <c r="E90" s="51" t="e">
        <f>AVERAGEIFS(Q2:Q72,P2:P72,A90,C2:C72,E89)</f>
        <v>#DIV/0!</v>
      </c>
      <c r="F90" s="51" t="e">
        <f>AVERAGEIFS(Q2:Q72,P2:P72,A90,C2:C72,F89)</f>
        <v>#DIV/0!</v>
      </c>
      <c r="G90" s="76" t="e">
        <f>AVERAGEIFS(Q2:Q72,P2:P72,A90,C2:C72,G89)</f>
        <v>#DIV/0!</v>
      </c>
      <c r="H90" s="1723" t="e">
        <f>AVERAGEIF(P2:P72,A90,Q2:Q72)</f>
        <v>#DIV/0!</v>
      </c>
      <c r="I90" s="289"/>
      <c r="J90" s="1664"/>
      <c r="K90" s="1663" t="s">
        <v>17438</v>
      </c>
      <c r="L90" s="1663">
        <v>2024</v>
      </c>
      <c r="M90" s="1665" t="s">
        <v>17444</v>
      </c>
      <c r="N90" s="289"/>
      <c r="O90" s="1664"/>
      <c r="P90" s="1663" t="s">
        <v>17438</v>
      </c>
      <c r="Q90" s="1663">
        <v>2024</v>
      </c>
      <c r="R90" s="1696" t="s">
        <v>17444</v>
      </c>
      <c r="S90" s="1695"/>
      <c r="T90" s="289"/>
      <c r="U90" s="289"/>
      <c r="V90" s="1703"/>
      <c r="W90" s="1703"/>
      <c r="X90" s="289"/>
      <c r="Y90" s="289"/>
      <c r="Z90" s="289"/>
      <c r="AA90" s="289"/>
      <c r="AB90" s="289"/>
      <c r="AC90" s="289"/>
      <c r="AD90" s="289"/>
      <c r="AE90" s="289"/>
      <c r="AF90" s="289"/>
      <c r="AG90" s="289"/>
      <c r="AH90" s="289"/>
      <c r="AI90" s="289"/>
      <c r="AJ90" s="289"/>
      <c r="AK90" s="289"/>
      <c r="AL90" s="289"/>
      <c r="AM90" s="289"/>
      <c r="AN90" s="289"/>
      <c r="AO90" s="289"/>
      <c r="AP90" s="289"/>
      <c r="AQ90" s="289"/>
      <c r="AR90" s="289"/>
      <c r="AS90" s="289"/>
      <c r="AT90" s="289"/>
      <c r="AU90" s="289"/>
      <c r="AV90" s="289"/>
      <c r="AW90" s="289"/>
      <c r="AX90" s="289"/>
      <c r="AY90" s="289"/>
      <c r="AZ90" s="289"/>
      <c r="BA90" s="289"/>
    </row>
    <row r="91" spans="1:54">
      <c r="A91" s="2044" t="s">
        <v>102</v>
      </c>
      <c r="B91" s="2045"/>
      <c r="C91" s="77" t="e">
        <f>AVERAGEIFS(R2:R72,P2:P72,A91,C2:C72,C89)</f>
        <v>#DIV/0!</v>
      </c>
      <c r="D91" s="54" t="e">
        <f>AVERAGEIFS(R2:R72,P2:P72,A91,C2:C72,D89)</f>
        <v>#DIV/0!</v>
      </c>
      <c r="E91" s="54" t="e">
        <f>AVERAGEIFS(R2:R72,P2:P72,A91,C2:C72,E89)</f>
        <v>#DIV/0!</v>
      </c>
      <c r="F91" s="54" t="e">
        <f>AVERAGEIFS(R2:R72,P2:P72,A91,C2:C72,F89)</f>
        <v>#DIV/0!</v>
      </c>
      <c r="G91" s="78" t="e">
        <f>AVERAGEIFS(R2:R72,P2:P72,A91,C2:C72,G89)</f>
        <v>#DIV/0!</v>
      </c>
      <c r="H91" s="1724" t="e">
        <f>AVERAGEIF(P2:P72,A91,R2:R72)</f>
        <v>#DIV/0!</v>
      </c>
      <c r="I91" s="289"/>
      <c r="J91" s="1664" t="s">
        <v>222</v>
      </c>
      <c r="K91" s="1663"/>
      <c r="L91" s="1663"/>
      <c r="M91" s="1665"/>
      <c r="N91" s="289"/>
      <c r="O91" s="1664" t="s">
        <v>265</v>
      </c>
      <c r="P91" s="1663"/>
      <c r="Q91" s="1663"/>
      <c r="R91" s="1696"/>
      <c r="S91" s="1695"/>
      <c r="T91" s="289"/>
      <c r="U91" s="289"/>
      <c r="V91" s="1703"/>
      <c r="W91" s="1703"/>
      <c r="X91" s="289"/>
      <c r="Y91" s="289"/>
      <c r="Z91" s="289"/>
      <c r="AA91" s="289"/>
      <c r="AB91" s="289"/>
      <c r="AC91" s="289"/>
      <c r="AD91" s="289"/>
      <c r="AE91" s="289"/>
      <c r="AF91" s="289"/>
      <c r="AG91" s="289"/>
      <c r="AH91" s="289"/>
      <c r="AI91" s="289"/>
      <c r="AJ91" s="289"/>
      <c r="AK91" s="289"/>
      <c r="AL91" s="289"/>
      <c r="AM91" s="289"/>
      <c r="AN91" s="289"/>
      <c r="AO91" s="289"/>
      <c r="AP91" s="289"/>
      <c r="AQ91" s="289"/>
      <c r="AR91" s="289"/>
      <c r="AS91" s="289"/>
      <c r="AT91" s="289"/>
      <c r="AU91" s="289"/>
      <c r="AV91" s="289"/>
      <c r="AW91" s="289"/>
      <c r="AX91" s="289"/>
      <c r="AY91" s="289"/>
      <c r="AZ91" s="289"/>
      <c r="BA91" s="289"/>
    </row>
    <row r="92" spans="1:54" ht="15.75" thickBot="1">
      <c r="A92" s="2021" t="s">
        <v>138</v>
      </c>
      <c r="B92" s="2022"/>
      <c r="C92" s="84">
        <f>AVERAGEIFS(R2:R72,P2:P72,"",C2:C72,C89)</f>
        <v>239040</v>
      </c>
      <c r="D92" s="85">
        <f>AVERAGEIFS(R2:R72,P2:P72,"",C2:C72,D89)</f>
        <v>332622.22222222225</v>
      </c>
      <c r="E92" s="85">
        <f>AVERAGEIFS(R2:R72,P2:P72,"",C2:C72,E89)</f>
        <v>519360</v>
      </c>
      <c r="F92" s="85">
        <f>AVERAGEIFS(R2:R72,P2:P72,"",C2:C72,F89)</f>
        <v>750080</v>
      </c>
      <c r="G92" s="86">
        <f>AVERAGEIFS(R2:R72,P2:P72,"",C2:C72,G89)</f>
        <v>1188000</v>
      </c>
      <c r="H92" s="1725">
        <f>AVERAGEIF(P2:P72,"",R2:R72)</f>
        <v>515019.71830985916</v>
      </c>
      <c r="I92" s="289"/>
      <c r="J92" s="1664" t="s">
        <v>17439</v>
      </c>
      <c r="K92" s="1663"/>
      <c r="L92" s="1663"/>
      <c r="M92" s="1665"/>
      <c r="N92" s="289"/>
      <c r="O92" s="1664" t="s">
        <v>517</v>
      </c>
      <c r="P92" s="1663"/>
      <c r="Q92" s="1663"/>
      <c r="R92" s="1696"/>
      <c r="S92" s="1695"/>
      <c r="T92" s="289"/>
      <c r="U92" s="289"/>
      <c r="V92" s="1703"/>
      <c r="W92" s="1703"/>
      <c r="X92" s="289"/>
      <c r="Y92" s="289"/>
      <c r="Z92" s="289"/>
      <c r="AA92" s="289"/>
      <c r="AB92" s="289"/>
      <c r="AC92" s="289"/>
      <c r="AD92" s="289"/>
      <c r="AE92" s="289"/>
      <c r="AF92" s="289"/>
      <c r="AG92" s="289"/>
      <c r="AH92" s="289"/>
      <c r="AI92" s="289"/>
      <c r="AJ92" s="289"/>
      <c r="AK92" s="289"/>
      <c r="AL92" s="289"/>
      <c r="AM92" s="289"/>
      <c r="AN92" s="289"/>
      <c r="AO92" s="289"/>
      <c r="AP92" s="289"/>
      <c r="AQ92" s="289"/>
      <c r="AR92" s="289"/>
      <c r="AS92" s="289"/>
      <c r="AT92" s="289"/>
      <c r="AU92" s="289"/>
      <c r="AV92" s="289"/>
      <c r="AW92" s="289"/>
      <c r="AX92" s="289"/>
      <c r="AY92" s="289"/>
      <c r="AZ92" s="289"/>
      <c r="BA92" s="289"/>
    </row>
    <row r="93" spans="1:54" ht="15.75" thickBot="1">
      <c r="A93" s="1913" t="s">
        <v>210</v>
      </c>
      <c r="B93" s="1914"/>
      <c r="C93" s="82" t="e">
        <f>AVERAGEIFS(Q2:Q72,P2:P72,A93,C2:C72,C89)</f>
        <v>#DIV/0!</v>
      </c>
      <c r="D93" s="60" t="e">
        <f>AVERAGEIFS(Q2:Q72,P2:P72,A93,C2:C72,D89)</f>
        <v>#DIV/0!</v>
      </c>
      <c r="E93" s="60" t="e">
        <f>AVERAGEIFS(Q2:Q72,P2:P72,A93,C2:C72,E89)</f>
        <v>#DIV/0!</v>
      </c>
      <c r="F93" s="60" t="e">
        <f>AVERAGEIFS(Q2:Q72,P2:P72,A93,C2:C72,F89)</f>
        <v>#DIV/0!</v>
      </c>
      <c r="G93" s="83" t="e">
        <f>AVERAGEIFS(Q2:Q72,P2:P72,A93,C2:C72,G89)</f>
        <v>#DIV/0!</v>
      </c>
      <c r="H93" s="1726" t="e">
        <f>AVERAGEIF(P2:P72,A93,Q2:Q72)</f>
        <v>#DIV/0!</v>
      </c>
      <c r="I93" s="289"/>
      <c r="J93" s="1664" t="s">
        <v>17440</v>
      </c>
      <c r="K93" s="1663"/>
      <c r="L93" s="1663"/>
      <c r="M93" s="1665"/>
      <c r="N93" s="289"/>
      <c r="O93" s="1664" t="s">
        <v>17448</v>
      </c>
      <c r="P93" s="1663"/>
      <c r="Q93" s="1663"/>
      <c r="R93" s="1696"/>
      <c r="S93" s="1695"/>
      <c r="T93" s="289"/>
      <c r="U93" s="289"/>
      <c r="V93" s="1703"/>
      <c r="W93" s="1703"/>
      <c r="X93" s="289"/>
      <c r="Y93" s="289"/>
      <c r="Z93" s="289"/>
      <c r="AA93" s="289"/>
      <c r="AB93" s="289"/>
      <c r="AC93" s="289"/>
      <c r="AD93" s="289"/>
      <c r="AE93" s="289"/>
      <c r="AF93" s="289"/>
      <c r="AG93" s="289"/>
      <c r="AH93" s="289"/>
      <c r="AI93" s="289"/>
      <c r="AJ93" s="289"/>
      <c r="AK93" s="289"/>
      <c r="AL93" s="289"/>
      <c r="AM93" s="289"/>
      <c r="AN93" s="289"/>
      <c r="AO93" s="289"/>
      <c r="AP93" s="289"/>
      <c r="AQ93" s="289"/>
      <c r="AR93" s="289"/>
      <c r="AS93" s="289"/>
      <c r="AT93" s="289"/>
      <c r="AU93" s="289"/>
      <c r="AV93" s="289"/>
      <c r="AW93" s="289"/>
      <c r="AX93" s="289"/>
      <c r="AY93" s="289"/>
      <c r="AZ93" s="289"/>
      <c r="BA93" s="289"/>
    </row>
    <row r="94" spans="1:54" ht="15.75" thickBot="1">
      <c r="A94" s="106"/>
      <c r="B94" s="106"/>
      <c r="C94" s="106"/>
      <c r="D94" s="106"/>
      <c r="E94" s="106"/>
      <c r="F94" s="106"/>
      <c r="G94" s="289"/>
      <c r="H94" s="289"/>
      <c r="I94" s="289"/>
      <c r="J94" s="1666" t="s">
        <v>17449</v>
      </c>
      <c r="K94" s="1667"/>
      <c r="L94" s="1667"/>
      <c r="M94" s="1668"/>
      <c r="N94" s="289"/>
      <c r="O94" s="1664" t="s">
        <v>525</v>
      </c>
      <c r="P94" s="1663"/>
      <c r="Q94" s="1663"/>
      <c r="R94" s="1696"/>
      <c r="S94" s="1695"/>
      <c r="T94" s="289"/>
      <c r="U94" s="289"/>
      <c r="V94" s="1703"/>
      <c r="W94" s="1703"/>
      <c r="X94" s="289"/>
      <c r="Y94" s="289"/>
      <c r="Z94" s="289"/>
      <c r="AA94" s="289"/>
      <c r="AB94" s="289"/>
      <c r="AC94" s="289"/>
      <c r="AD94" s="289"/>
      <c r="AE94" s="289"/>
      <c r="AF94" s="289"/>
      <c r="AG94" s="289"/>
      <c r="AH94" s="289"/>
      <c r="AI94" s="289"/>
      <c r="AJ94" s="289"/>
      <c r="AK94" s="289"/>
      <c r="AL94" s="289"/>
      <c r="AM94" s="289"/>
      <c r="AN94" s="289"/>
      <c r="AO94" s="289"/>
      <c r="AP94" s="289"/>
      <c r="AQ94" s="289"/>
      <c r="AR94" s="289"/>
      <c r="AS94" s="289"/>
      <c r="AT94" s="289"/>
      <c r="AU94" s="289"/>
      <c r="AV94" s="289"/>
      <c r="AW94" s="289"/>
      <c r="AX94" s="289"/>
      <c r="AY94" s="289"/>
      <c r="AZ94" s="289"/>
      <c r="BA94" s="289"/>
    </row>
    <row r="95" spans="1:54">
      <c r="A95" s="1901" t="s">
        <v>299</v>
      </c>
      <c r="B95" s="1902"/>
      <c r="C95" s="62" t="s">
        <v>144</v>
      </c>
      <c r="D95" s="62" t="s">
        <v>90</v>
      </c>
      <c r="E95" s="62" t="s">
        <v>91</v>
      </c>
      <c r="F95" s="62" t="s">
        <v>89</v>
      </c>
      <c r="G95" s="49" t="s">
        <v>93</v>
      </c>
      <c r="H95" s="49" t="s">
        <v>141</v>
      </c>
      <c r="I95" s="289"/>
      <c r="J95" s="289"/>
      <c r="K95" s="289"/>
      <c r="L95" s="289"/>
      <c r="M95" s="289"/>
      <c r="N95" s="289"/>
      <c r="O95" s="1664" t="s">
        <v>558</v>
      </c>
      <c r="P95" s="1663"/>
      <c r="Q95" s="1663"/>
      <c r="R95" s="1696"/>
      <c r="S95" s="1695"/>
      <c r="T95" s="289"/>
      <c r="U95" s="289"/>
      <c r="V95" s="1703"/>
      <c r="W95" s="1703"/>
      <c r="X95" s="289"/>
      <c r="Y95" s="289"/>
      <c r="Z95" s="289"/>
      <c r="AA95" s="289"/>
      <c r="AB95" s="289"/>
      <c r="AC95" s="289"/>
      <c r="AD95" s="289"/>
      <c r="AE95" s="289"/>
      <c r="AF95" s="289"/>
      <c r="AG95" s="289"/>
      <c r="AH95" s="289"/>
      <c r="AI95" s="289"/>
      <c r="AJ95" s="289"/>
      <c r="AK95" s="289"/>
      <c r="AL95" s="289"/>
      <c r="AM95" s="289"/>
      <c r="AN95" s="289"/>
      <c r="AO95" s="289"/>
      <c r="AP95" s="289"/>
      <c r="AQ95" s="289"/>
      <c r="AR95" s="289"/>
      <c r="AS95" s="289"/>
      <c r="AT95" s="289"/>
      <c r="AU95" s="289"/>
      <c r="AV95" s="289"/>
      <c r="AW95" s="289"/>
      <c r="AX95" s="289"/>
      <c r="AY95" s="289"/>
      <c r="AZ95" s="289"/>
      <c r="BA95" s="289"/>
    </row>
    <row r="96" spans="1:54">
      <c r="A96" s="1903" t="s">
        <v>258</v>
      </c>
      <c r="B96" s="1904"/>
      <c r="C96" s="236" t="e">
        <f>AVERAGEIFS(J2:J72,C2:C72,C95,P2:P72,A96)</f>
        <v>#DIV/0!</v>
      </c>
      <c r="D96" s="236" t="e">
        <f>AVERAGEIFS(J2:J72,C2:C72,D95,P2:P72,A96)</f>
        <v>#DIV/0!</v>
      </c>
      <c r="E96" s="236" t="e">
        <f>AVERAGEIFS(J2:J72,C2:C72,E95,P2:P72,A96)</f>
        <v>#DIV/0!</v>
      </c>
      <c r="F96" s="236" t="e">
        <f>AVERAGEIFS(J2:J72,C2:C72,F95,P2:P72,A96)</f>
        <v>#DIV/0!</v>
      </c>
      <c r="G96" s="242" t="e">
        <f>AVERAGEIFS(J2:J72,C2:C72,G95,P2:P72,A96)</f>
        <v>#DIV/0!</v>
      </c>
      <c r="H96" s="64" t="e">
        <f>AVERAGEIF(P2:P72,A96,J2:J72)</f>
        <v>#DIV/0!</v>
      </c>
      <c r="I96" s="289"/>
      <c r="J96" s="289"/>
      <c r="K96" s="289"/>
      <c r="L96" s="289"/>
      <c r="M96" s="289"/>
      <c r="N96" s="289"/>
      <c r="O96" s="1664" t="s">
        <v>541</v>
      </c>
      <c r="P96" s="1663"/>
      <c r="Q96" s="1663"/>
      <c r="R96" s="1696"/>
      <c r="S96" s="1695"/>
      <c r="T96" s="289"/>
      <c r="U96" s="289"/>
      <c r="V96" s="1703"/>
      <c r="W96" s="1703"/>
      <c r="X96" s="289"/>
      <c r="Y96" s="289"/>
      <c r="Z96" s="289"/>
      <c r="AA96" s="289"/>
      <c r="AB96" s="289"/>
      <c r="AC96" s="289"/>
      <c r="AD96" s="289"/>
      <c r="AE96" s="289"/>
      <c r="AF96" s="289"/>
      <c r="AG96" s="289"/>
      <c r="AH96" s="289"/>
      <c r="AI96" s="289"/>
      <c r="AJ96" s="289"/>
      <c r="AK96" s="289"/>
      <c r="AL96" s="289"/>
      <c r="AM96" s="289"/>
      <c r="AN96" s="289"/>
      <c r="AO96" s="289"/>
      <c r="AP96" s="289"/>
      <c r="AQ96" s="289"/>
      <c r="AR96" s="289"/>
      <c r="AS96" s="289"/>
      <c r="AT96" s="289"/>
      <c r="AU96" s="289"/>
      <c r="AV96" s="289"/>
      <c r="AW96" s="289"/>
      <c r="AX96" s="289"/>
      <c r="AY96" s="289"/>
      <c r="AZ96" s="289"/>
      <c r="BA96" s="289"/>
    </row>
    <row r="97" spans="1:53">
      <c r="A97" s="1905" t="s">
        <v>102</v>
      </c>
      <c r="B97" s="1906"/>
      <c r="C97" s="237" t="e">
        <f>AVERAGEIFS(J2:J72,C2:C72,C95,P2:P72,A97)</f>
        <v>#DIV/0!</v>
      </c>
      <c r="D97" s="237" t="e">
        <f>AVERAGEIFS(J2:J72,C2:C72,D95,P2:P72,A97)</f>
        <v>#DIV/0!</v>
      </c>
      <c r="E97" s="237" t="e">
        <f>AVERAGEIFS(J2:J72,C2:C72,E95,P2:P72,A97)</f>
        <v>#DIV/0!</v>
      </c>
      <c r="F97" s="237" t="e">
        <f>AVERAGEIFS(J2:J72,C2:C72,F95,P2:P72,A97)</f>
        <v>#DIV/0!</v>
      </c>
      <c r="G97" s="243" t="e">
        <f>AVERAGEIFS(J2:J72,C2:C72,G95,P2:P72,A97)</f>
        <v>#DIV/0!</v>
      </c>
      <c r="H97" s="66" t="e">
        <f>AVERAGEIF(P2:P72,A97,J2:J72)</f>
        <v>#DIV/0!</v>
      </c>
      <c r="I97" s="289"/>
      <c r="J97" s="289"/>
      <c r="K97" s="289"/>
      <c r="L97" s="289"/>
      <c r="M97" s="289"/>
      <c r="N97" s="289"/>
      <c r="O97" s="1664" t="s">
        <v>561</v>
      </c>
      <c r="P97" s="1663"/>
      <c r="Q97" s="1663"/>
      <c r="R97" s="1696"/>
      <c r="S97" s="1695"/>
      <c r="T97" s="289"/>
      <c r="U97" s="289"/>
      <c r="V97" s="1703"/>
      <c r="W97" s="1703"/>
      <c r="X97" s="289"/>
      <c r="Y97" s="289"/>
      <c r="Z97" s="289"/>
      <c r="AA97" s="289"/>
      <c r="AB97" s="289"/>
      <c r="AC97" s="289"/>
      <c r="AD97" s="289"/>
      <c r="AE97" s="289"/>
      <c r="AF97" s="289"/>
      <c r="AG97" s="289"/>
      <c r="AH97" s="289"/>
      <c r="AI97" s="289"/>
      <c r="AJ97" s="289"/>
      <c r="AK97" s="289"/>
      <c r="AL97" s="289"/>
      <c r="AM97" s="289"/>
      <c r="AN97" s="289"/>
      <c r="AO97" s="289"/>
      <c r="AP97" s="289"/>
      <c r="AQ97" s="289"/>
      <c r="AR97" s="289"/>
      <c r="AS97" s="289"/>
      <c r="AT97" s="289"/>
      <c r="AU97" s="289"/>
      <c r="AV97" s="289"/>
      <c r="AW97" s="289"/>
      <c r="AX97" s="289"/>
      <c r="AY97" s="289"/>
      <c r="AZ97" s="289"/>
      <c r="BA97" s="289"/>
    </row>
    <row r="98" spans="1:53">
      <c r="A98" s="1917" t="s">
        <v>138</v>
      </c>
      <c r="B98" s="1918"/>
      <c r="C98" s="238">
        <f>AVERAGEIFS($J$2:$J$72,$C$2:$C$72,C95,$P$2:$P$72,"")</f>
        <v>54.5</v>
      </c>
      <c r="D98" s="238">
        <f>AVERAGEIFS($J$2:$J$72,$C$2:$C$72,D95,$P$2:$P$72,"")</f>
        <v>72.695740740740732</v>
      </c>
      <c r="E98" s="238">
        <f>AVERAGEIFS($J$2:$J$72,$C$2:$C$72,E95,$P$2:$P$72,"")</f>
        <v>110.07525000000001</v>
      </c>
      <c r="F98" s="238">
        <f>AVERAGEIFS($J$2:$J$72,$C$2:$C$72,F95,$P$2:$P$72,"")</f>
        <v>167.73766666666663</v>
      </c>
      <c r="G98" s="238">
        <f>AVERAGEIFS($J$2:$J$72,$C$2:$C$72,G95,$P$2:$P$72,"")</f>
        <v>228.505</v>
      </c>
      <c r="H98" s="1727">
        <f>AVERAGEIF(P2:P72,"",J2:J72)</f>
        <v>110.80105633802818</v>
      </c>
      <c r="I98" s="289"/>
      <c r="J98" s="289"/>
      <c r="K98" s="289"/>
      <c r="L98" s="289"/>
      <c r="M98" s="289"/>
      <c r="N98" s="289"/>
      <c r="O98" s="1664" t="s">
        <v>563</v>
      </c>
      <c r="P98" s="1663"/>
      <c r="Q98" s="1663"/>
      <c r="R98" s="1696"/>
      <c r="S98" s="1695"/>
      <c r="T98" s="289"/>
      <c r="U98" s="289"/>
      <c r="V98" s="1703"/>
      <c r="W98" s="1703"/>
      <c r="X98" s="289"/>
      <c r="Y98" s="289"/>
      <c r="Z98" s="289"/>
      <c r="AA98" s="289"/>
      <c r="AB98" s="289"/>
      <c r="AC98" s="289"/>
      <c r="AD98" s="289"/>
      <c r="AE98" s="289"/>
      <c r="AF98" s="289"/>
      <c r="AG98" s="289"/>
      <c r="AH98" s="289"/>
      <c r="AI98" s="289"/>
      <c r="AJ98" s="289"/>
      <c r="AK98" s="289"/>
      <c r="AL98" s="289"/>
      <c r="AM98" s="289"/>
      <c r="AN98" s="289"/>
      <c r="AO98" s="289"/>
      <c r="AP98" s="289"/>
      <c r="AQ98" s="289"/>
      <c r="AR98" s="289"/>
      <c r="AS98" s="289"/>
      <c r="AT98" s="289"/>
      <c r="AU98" s="289"/>
      <c r="AV98" s="289"/>
      <c r="AW98" s="289"/>
      <c r="AX98" s="289"/>
      <c r="AY98" s="289"/>
      <c r="AZ98" s="289"/>
      <c r="BA98" s="289"/>
    </row>
    <row r="99" spans="1:53" ht="15.75" thickBot="1">
      <c r="A99" s="1897" t="s">
        <v>210</v>
      </c>
      <c r="B99" s="1898"/>
      <c r="C99" s="253" t="e">
        <f>AVERAGEIFS($J$2:$J$72,$C$2:$C$72,C95,$P$2:$P$72,$A$99)</f>
        <v>#DIV/0!</v>
      </c>
      <c r="D99" s="253" t="e">
        <f>AVERAGEIFS($J$2:$J$72,$C$2:$C$72,D95,$P$2:$P$72,$A$99)</f>
        <v>#DIV/0!</v>
      </c>
      <c r="E99" s="253" t="e">
        <f>AVERAGEIFS($J$2:$J$72,$C$2:$C$72,E95,$P$2:$P$72,$A$99)</f>
        <v>#DIV/0!</v>
      </c>
      <c r="F99" s="253" t="e">
        <f>AVERAGEIFS($J$2:$J$72,$C$2:$C$72,F95,$P$2:$P$72,$A$99)</f>
        <v>#DIV/0!</v>
      </c>
      <c r="G99" s="253" t="e">
        <f>AVERAGEIFS($J$2:$J$72,$C$2:$C$72,G95,$P$2:$P$72,$A$99)</f>
        <v>#DIV/0!</v>
      </c>
      <c r="H99" s="1722" t="e">
        <f>AVERAGEIF(P2:P72,A99,J2:J72)</f>
        <v>#DIV/0!</v>
      </c>
      <c r="I99" s="289"/>
      <c r="J99" s="289"/>
      <c r="K99" s="289"/>
      <c r="L99" s="289"/>
      <c r="M99" s="289"/>
      <c r="N99" s="289"/>
      <c r="O99" s="1664" t="s">
        <v>566</v>
      </c>
      <c r="P99" s="1663"/>
      <c r="Q99" s="1663"/>
      <c r="R99" s="1696"/>
      <c r="S99" s="1695"/>
      <c r="T99" s="289"/>
      <c r="U99" s="289"/>
      <c r="V99" s="1703"/>
      <c r="W99" s="1703"/>
      <c r="X99" s="289"/>
      <c r="Y99" s="289"/>
      <c r="Z99" s="289"/>
      <c r="AA99" s="289"/>
      <c r="AB99" s="289"/>
      <c r="AC99" s="289"/>
      <c r="AD99" s="289"/>
      <c r="AE99" s="289"/>
      <c r="AF99" s="289"/>
      <c r="AG99" s="289"/>
      <c r="AH99" s="289"/>
      <c r="AI99" s="289"/>
      <c r="AJ99" s="289"/>
      <c r="AK99" s="289"/>
      <c r="AL99" s="289"/>
      <c r="AM99" s="289"/>
      <c r="AN99" s="289"/>
      <c r="AO99" s="289"/>
      <c r="AP99" s="289"/>
      <c r="AQ99" s="289"/>
      <c r="AR99" s="289"/>
      <c r="AS99" s="289"/>
      <c r="AT99" s="289"/>
      <c r="AU99" s="289"/>
      <c r="AV99" s="289"/>
      <c r="AW99" s="289"/>
      <c r="AX99" s="289"/>
      <c r="AY99" s="289"/>
      <c r="AZ99" s="289"/>
      <c r="BA99" s="289"/>
    </row>
    <row r="100" spans="1:53">
      <c r="A100" s="106"/>
      <c r="B100" s="106"/>
      <c r="C100" s="106"/>
      <c r="D100" s="106"/>
      <c r="E100" s="106"/>
      <c r="F100" s="106"/>
      <c r="G100" s="106"/>
      <c r="H100" s="289"/>
      <c r="I100" s="289"/>
      <c r="J100" s="289"/>
      <c r="K100" s="289"/>
      <c r="L100" s="289"/>
      <c r="M100" s="289"/>
      <c r="N100" s="289"/>
      <c r="O100" s="1664" t="s">
        <v>17219</v>
      </c>
      <c r="P100" s="1663"/>
      <c r="Q100" s="1663"/>
      <c r="R100" s="1696"/>
      <c r="S100" s="1695"/>
      <c r="T100" s="289"/>
      <c r="U100" s="289"/>
      <c r="V100" s="1703"/>
      <c r="W100" s="1703"/>
      <c r="X100" s="289"/>
      <c r="Y100" s="289"/>
      <c r="Z100" s="289"/>
      <c r="AA100" s="289"/>
      <c r="AB100" s="289"/>
      <c r="AC100" s="289"/>
      <c r="AD100" s="289"/>
      <c r="AE100" s="289"/>
      <c r="AF100" s="289"/>
      <c r="AG100" s="289"/>
      <c r="AH100" s="289"/>
      <c r="AI100" s="289"/>
      <c r="AJ100" s="289"/>
      <c r="AK100" s="289"/>
      <c r="AL100" s="289"/>
      <c r="AM100" s="289"/>
      <c r="AN100" s="289"/>
      <c r="AO100" s="289"/>
      <c r="AP100" s="289"/>
      <c r="AQ100" s="289"/>
      <c r="AR100" s="289"/>
      <c r="AS100" s="289"/>
      <c r="AT100" s="289"/>
      <c r="AU100" s="289"/>
      <c r="AV100" s="289"/>
      <c r="AW100" s="289"/>
      <c r="AX100" s="289"/>
      <c r="AY100" s="289"/>
      <c r="AZ100" s="289"/>
      <c r="BA100" s="289"/>
    </row>
    <row r="101" spans="1:53">
      <c r="A101" s="106"/>
      <c r="B101" s="106"/>
      <c r="C101" s="106"/>
      <c r="D101" s="106"/>
      <c r="E101" s="106"/>
      <c r="F101" s="106"/>
      <c r="G101" s="106"/>
      <c r="H101" s="289"/>
      <c r="I101" s="289"/>
      <c r="J101" s="289"/>
      <c r="K101" s="289"/>
      <c r="L101" s="289"/>
      <c r="M101" s="289"/>
      <c r="N101" s="289"/>
      <c r="O101" s="1664" t="s">
        <v>565</v>
      </c>
      <c r="P101" s="1663"/>
      <c r="Q101" s="1663"/>
      <c r="R101" s="1696"/>
      <c r="S101" s="1695"/>
      <c r="T101" s="289"/>
      <c r="U101" s="289"/>
      <c r="V101" s="1703"/>
      <c r="W101" s="1703"/>
      <c r="X101" s="289"/>
      <c r="Y101" s="289"/>
      <c r="Z101" s="289"/>
      <c r="AA101" s="289"/>
      <c r="AB101" s="289"/>
      <c r="AC101" s="289"/>
      <c r="AD101" s="289"/>
      <c r="AE101" s="289"/>
      <c r="AF101" s="289"/>
      <c r="AG101" s="289"/>
      <c r="AH101" s="289"/>
      <c r="AI101" s="289"/>
      <c r="AJ101" s="289"/>
      <c r="AK101" s="289"/>
      <c r="AL101" s="289"/>
      <c r="AM101" s="289"/>
      <c r="AN101" s="289"/>
      <c r="AO101" s="289"/>
      <c r="AP101" s="289"/>
      <c r="AQ101" s="289"/>
      <c r="AR101" s="289"/>
      <c r="AS101" s="289"/>
      <c r="AT101" s="289"/>
      <c r="AU101" s="289"/>
      <c r="AV101" s="289"/>
      <c r="AW101" s="289"/>
      <c r="AX101" s="289"/>
      <c r="AY101" s="289"/>
      <c r="AZ101" s="289"/>
    </row>
    <row r="102" spans="1:53">
      <c r="A102" s="106"/>
      <c r="B102" s="106"/>
      <c r="C102" s="106"/>
      <c r="D102" s="106"/>
      <c r="E102" s="106"/>
      <c r="F102" s="106"/>
      <c r="G102" s="106"/>
      <c r="H102" s="289"/>
      <c r="I102" s="289"/>
      <c r="J102" s="289"/>
      <c r="K102" s="289"/>
      <c r="L102" s="289"/>
      <c r="M102" s="289"/>
      <c r="N102" s="289"/>
      <c r="O102" s="1664" t="s">
        <v>17442</v>
      </c>
      <c r="P102" s="1663"/>
      <c r="Q102" s="1663"/>
      <c r="R102" s="1696"/>
      <c r="S102" s="1695"/>
      <c r="T102" s="289"/>
      <c r="U102" s="289"/>
      <c r="V102" s="1703"/>
      <c r="W102" s="1703"/>
      <c r="X102" s="289"/>
      <c r="Y102" s="289"/>
      <c r="Z102" s="289"/>
      <c r="AA102" s="289"/>
      <c r="AB102" s="289"/>
      <c r="AC102" s="289"/>
      <c r="AD102" s="289"/>
      <c r="AE102" s="289"/>
      <c r="AF102" s="289"/>
      <c r="AG102" s="289"/>
      <c r="AH102" s="289"/>
      <c r="AI102" s="289"/>
      <c r="AJ102" s="289"/>
      <c r="AK102" s="289"/>
      <c r="AL102" s="289"/>
      <c r="AM102" s="289"/>
      <c r="AN102" s="289"/>
      <c r="AO102" s="289"/>
      <c r="AP102" s="289"/>
      <c r="AQ102" s="289"/>
      <c r="AR102" s="289"/>
      <c r="AS102" s="289"/>
      <c r="AT102" s="289"/>
      <c r="AU102" s="289"/>
      <c r="AV102" s="289"/>
      <c r="AW102" s="289"/>
      <c r="AX102" s="289"/>
      <c r="AY102" s="289"/>
      <c r="AZ102" s="289"/>
    </row>
    <row r="103" spans="1:53" ht="15.75" thickBot="1">
      <c r="A103" s="1"/>
      <c r="B103" s="1"/>
      <c r="C103" s="1">
        <f>C92/C98</f>
        <v>4386.0550458715597</v>
      </c>
      <c r="D103" s="1">
        <f>D92/D98</f>
        <v>4575.5393484258348</v>
      </c>
      <c r="E103" s="1">
        <f>E92/E98</f>
        <v>4718.2268493598694</v>
      </c>
      <c r="F103" s="1">
        <f>F92/F98</f>
        <v>4471.7445693970558</v>
      </c>
      <c r="G103" s="1">
        <f>G92/G98</f>
        <v>5199.0109625609948</v>
      </c>
      <c r="H103" s="106"/>
      <c r="I103" s="289"/>
      <c r="J103" s="289"/>
      <c r="K103" s="289"/>
      <c r="L103" s="289"/>
      <c r="M103" s="289"/>
      <c r="N103" s="289"/>
      <c r="O103" s="1666" t="s">
        <v>514</v>
      </c>
      <c r="P103" s="1667"/>
      <c r="Q103" s="1667"/>
      <c r="R103" s="1697"/>
      <c r="S103" s="1695"/>
      <c r="T103" s="289"/>
      <c r="U103" s="289"/>
      <c r="V103" s="1703"/>
      <c r="W103" s="1703"/>
      <c r="X103" s="289"/>
      <c r="Y103" s="289"/>
      <c r="Z103" s="289"/>
      <c r="AA103" s="289"/>
      <c r="AB103" s="289"/>
      <c r="AC103" s="289"/>
      <c r="AD103" s="289"/>
      <c r="AE103" s="289"/>
      <c r="AF103" s="289"/>
      <c r="AG103" s="289"/>
      <c r="AH103" s="289"/>
      <c r="AI103" s="289"/>
      <c r="AJ103" s="289"/>
      <c r="AK103" s="289"/>
      <c r="AL103" s="289"/>
      <c r="AM103" s="289"/>
      <c r="AN103" s="289"/>
      <c r="AO103" s="289"/>
      <c r="AP103" s="289"/>
      <c r="AQ103" s="289"/>
      <c r="AR103" s="289"/>
      <c r="AS103" s="289"/>
      <c r="AT103" s="289"/>
      <c r="AU103" s="289"/>
      <c r="AV103" s="289"/>
      <c r="AW103" s="289"/>
      <c r="AX103" s="289"/>
      <c r="AY103" s="289"/>
      <c r="AZ103" s="289"/>
    </row>
    <row r="104" spans="1:53">
      <c r="I104" s="106"/>
      <c r="J104" s="1657"/>
      <c r="K104" s="106"/>
      <c r="L104" s="106"/>
      <c r="M104" s="106"/>
      <c r="N104" s="106"/>
      <c r="O104" s="106"/>
      <c r="P104" s="106"/>
      <c r="Q104" s="292"/>
      <c r="R104" s="1698"/>
      <c r="S104" s="1698"/>
      <c r="T104" s="106"/>
      <c r="U104" s="289"/>
      <c r="V104" s="1703"/>
      <c r="W104" s="1703"/>
      <c r="X104" s="289"/>
      <c r="Y104" s="289"/>
      <c r="Z104" s="289"/>
      <c r="AA104" s="289"/>
      <c r="AB104" s="289"/>
      <c r="AC104" s="289"/>
      <c r="AD104" s="289"/>
      <c r="AE104" s="289"/>
      <c r="AF104" s="289"/>
      <c r="AG104" s="289"/>
      <c r="AH104" s="289"/>
      <c r="AI104" s="289"/>
      <c r="AJ104" s="289"/>
      <c r="AK104" s="289"/>
      <c r="AL104" s="289"/>
      <c r="AM104" s="289"/>
      <c r="AN104" s="289"/>
      <c r="AO104" s="289"/>
      <c r="AP104" s="289"/>
      <c r="AQ104" s="289"/>
      <c r="AR104" s="289"/>
      <c r="AS104" s="289"/>
      <c r="AT104" s="289"/>
      <c r="AU104" s="289"/>
      <c r="AV104" s="289"/>
      <c r="AW104" s="289"/>
      <c r="AX104" s="289"/>
      <c r="AY104" s="289"/>
      <c r="AZ104" s="289"/>
    </row>
  </sheetData>
  <autoFilter ref="A1:BB87" xr:uid="{2D52BF01-2797-4F73-99F7-EF7B3E86C04D}"/>
  <mergeCells count="28">
    <mergeCell ref="A73:E73"/>
    <mergeCell ref="G75:H75"/>
    <mergeCell ref="A76:B76"/>
    <mergeCell ref="A77:B77"/>
    <mergeCell ref="A78:B78"/>
    <mergeCell ref="A84:B84"/>
    <mergeCell ref="A85:B85"/>
    <mergeCell ref="A97:B97"/>
    <mergeCell ref="A98:B98"/>
    <mergeCell ref="J76:U76"/>
    <mergeCell ref="A86:B86"/>
    <mergeCell ref="A87:B87"/>
    <mergeCell ref="A79:B79"/>
    <mergeCell ref="A80:B80"/>
    <mergeCell ref="A82:B82"/>
    <mergeCell ref="A83:B83"/>
    <mergeCell ref="J80:U80"/>
    <mergeCell ref="J84:U84"/>
    <mergeCell ref="A99:B99"/>
    <mergeCell ref="J89:M89"/>
    <mergeCell ref="O89:R89"/>
    <mergeCell ref="A90:B90"/>
    <mergeCell ref="A91:B91"/>
    <mergeCell ref="A92:B92"/>
    <mergeCell ref="A93:B93"/>
    <mergeCell ref="A95:B95"/>
    <mergeCell ref="A96:B96"/>
    <mergeCell ref="A89:B89"/>
  </mergeCells>
  <conditionalFormatting sqref="Y1:Y72 AA73:AA80 W80:W83 AB81 AA84:AA86 AB87">
    <cfRule type="cellIs" dxfId="3" priority="1" operator="lessThan">
      <formula>TODAY()-15</formula>
    </cfRule>
  </conditionalFormatting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97A5-CE3C-46C0-8830-0A78BE6958F4}">
  <sheetPr>
    <tabColor rgb="FF7030A0"/>
  </sheetPr>
  <dimension ref="A1:AU63"/>
  <sheetViews>
    <sheetView topLeftCell="A2" zoomScaleNormal="100" workbookViewId="0">
      <selection activeCell="A36" sqref="A36:B36"/>
    </sheetView>
  </sheetViews>
  <sheetFormatPr defaultRowHeight="15"/>
  <cols>
    <col min="3" max="3" width="8.85546875" customWidth="1"/>
    <col min="4" max="4" width="11.28515625" customWidth="1"/>
    <col min="5" max="16" width="8.85546875" customWidth="1"/>
    <col min="17" max="18" width="11.28515625" bestFit="1" customWidth="1"/>
    <col min="19" max="19" width="11.28515625" customWidth="1"/>
    <col min="23" max="23" width="11.42578125" customWidth="1"/>
  </cols>
  <sheetData>
    <row r="1" spans="1:46" ht="38.25">
      <c r="A1" s="6" t="s">
        <v>23</v>
      </c>
      <c r="B1" s="6" t="s">
        <v>5</v>
      </c>
      <c r="C1" s="20" t="s">
        <v>18038</v>
      </c>
      <c r="D1" s="20" t="s">
        <v>1</v>
      </c>
      <c r="E1" s="20" t="s">
        <v>0</v>
      </c>
      <c r="F1" s="20" t="s">
        <v>3</v>
      </c>
      <c r="G1" s="20" t="s">
        <v>6</v>
      </c>
      <c r="H1" s="1146" t="s">
        <v>2</v>
      </c>
      <c r="I1" s="20" t="s">
        <v>212</v>
      </c>
      <c r="J1" s="20" t="s">
        <v>285</v>
      </c>
      <c r="K1" s="20" t="s">
        <v>11</v>
      </c>
      <c r="L1" s="20" t="s">
        <v>17169</v>
      </c>
      <c r="M1" s="20" t="s">
        <v>17365</v>
      </c>
      <c r="N1" s="20" t="s">
        <v>22</v>
      </c>
      <c r="O1" s="20" t="s">
        <v>12</v>
      </c>
      <c r="P1" s="577" t="s">
        <v>221</v>
      </c>
      <c r="Q1" s="20" t="s">
        <v>14</v>
      </c>
      <c r="R1" s="349" t="s">
        <v>15</v>
      </c>
      <c r="S1" s="20" t="s">
        <v>16</v>
      </c>
      <c r="T1" s="20" t="s">
        <v>227</v>
      </c>
      <c r="U1" s="349" t="s">
        <v>551</v>
      </c>
      <c r="V1" s="349" t="s">
        <v>228</v>
      </c>
      <c r="W1" s="350" t="s">
        <v>301</v>
      </c>
      <c r="X1" s="350" t="s">
        <v>4</v>
      </c>
      <c r="Y1" s="349" t="s">
        <v>545</v>
      </c>
      <c r="Z1" s="349" t="s">
        <v>546</v>
      </c>
      <c r="AA1" s="350" t="s">
        <v>553</v>
      </c>
      <c r="AB1" s="351" t="s">
        <v>547</v>
      </c>
      <c r="AC1" s="350" t="s">
        <v>554</v>
      </c>
      <c r="AD1" s="349" t="s">
        <v>548</v>
      </c>
      <c r="AE1" s="20" t="s">
        <v>8</v>
      </c>
      <c r="AF1" s="20" t="s">
        <v>255</v>
      </c>
      <c r="AG1" s="20" t="s">
        <v>18</v>
      </c>
      <c r="AH1" s="20" t="s">
        <v>542</v>
      </c>
      <c r="AI1" s="20" t="s">
        <v>543</v>
      </c>
      <c r="AJ1" s="20" t="s">
        <v>19</v>
      </c>
      <c r="AK1" s="20" t="s">
        <v>261</v>
      </c>
      <c r="AL1" s="20" t="s">
        <v>17891</v>
      </c>
      <c r="AM1" s="20" t="s">
        <v>17892</v>
      </c>
      <c r="AN1" s="20" t="s">
        <v>17893</v>
      </c>
      <c r="AO1" s="20" t="s">
        <v>17599</v>
      </c>
      <c r="AP1" s="20" t="s">
        <v>17600</v>
      </c>
      <c r="AQ1" s="20" t="s">
        <v>262</v>
      </c>
      <c r="AR1" s="20" t="s">
        <v>263</v>
      </c>
      <c r="AS1" s="20" t="s">
        <v>20</v>
      </c>
      <c r="AT1" s="20" t="s">
        <v>21</v>
      </c>
    </row>
    <row r="2" spans="1:46">
      <c r="A2" s="91">
        <v>1</v>
      </c>
      <c r="B2" s="1432" t="s">
        <v>24</v>
      </c>
      <c r="C2" s="1432">
        <v>8</v>
      </c>
      <c r="D2" s="1021" t="s">
        <v>89</v>
      </c>
      <c r="E2" s="1433">
        <v>1</v>
      </c>
      <c r="F2" s="1433" t="s">
        <v>18040</v>
      </c>
      <c r="G2" s="1021">
        <v>126</v>
      </c>
      <c r="H2" s="287"/>
      <c r="I2" s="287">
        <v>56</v>
      </c>
      <c r="J2" s="287"/>
      <c r="K2" s="1434">
        <f>G2+0.5*H2+0.5*I2</f>
        <v>154</v>
      </c>
      <c r="L2" s="1012"/>
      <c r="M2" s="1012"/>
      <c r="N2" s="1012"/>
      <c r="O2" s="91"/>
      <c r="P2" s="1435"/>
      <c r="Q2" s="1436">
        <f>0.96*R2</f>
        <v>487680</v>
      </c>
      <c r="R2" s="1436">
        <v>508000</v>
      </c>
      <c r="S2" s="1437">
        <f t="shared" ref="S2:S29" si="0">1-(P2/R2)</f>
        <v>1</v>
      </c>
      <c r="T2" s="1438">
        <f t="shared" ref="T2:T29" si="1">P2/K2</f>
        <v>0</v>
      </c>
      <c r="U2" s="1435">
        <f t="shared" ref="U2:U29" si="2">Q2/K2</f>
        <v>3166.7532467532469</v>
      </c>
      <c r="V2" s="1435">
        <f t="shared" ref="V2:V29" si="3">R2/K2</f>
        <v>3298.7012987012986</v>
      </c>
      <c r="W2" s="1439"/>
      <c r="X2" s="1440"/>
      <c r="Y2" s="1441"/>
      <c r="Z2" s="1441"/>
      <c r="AA2" s="1440"/>
      <c r="AB2" s="1442"/>
      <c r="AC2" s="1440"/>
      <c r="AD2" s="1441"/>
      <c r="AE2" s="91"/>
      <c r="AF2" s="91"/>
      <c r="AG2" s="91"/>
      <c r="AH2" s="91"/>
      <c r="AI2" s="91"/>
      <c r="AJ2" s="1443"/>
      <c r="AK2" s="1443"/>
      <c r="AL2" s="1443"/>
      <c r="AM2" s="1443"/>
      <c r="AN2" s="1443"/>
      <c r="AO2" s="1443"/>
      <c r="AP2" s="1443"/>
      <c r="AQ2" s="1443"/>
      <c r="AR2" s="1443"/>
      <c r="AS2" s="1435"/>
      <c r="AT2" s="1435"/>
    </row>
    <row r="3" spans="1:46">
      <c r="A3" s="91">
        <v>2</v>
      </c>
      <c r="B3" s="1432" t="s">
        <v>25</v>
      </c>
      <c r="C3" s="1432">
        <v>8</v>
      </c>
      <c r="D3" s="1021" t="s">
        <v>91</v>
      </c>
      <c r="E3" s="1433">
        <v>1</v>
      </c>
      <c r="F3" s="1433" t="s">
        <v>18041</v>
      </c>
      <c r="G3" s="1021">
        <v>92</v>
      </c>
      <c r="H3" s="287"/>
      <c r="I3" s="287">
        <v>17</v>
      </c>
      <c r="J3" s="287"/>
      <c r="K3" s="1434">
        <f t="shared" ref="K3:K29" si="4">G3+0.5*H3+0.5*I3</f>
        <v>100.5</v>
      </c>
      <c r="L3" s="1012"/>
      <c r="M3" s="1012"/>
      <c r="N3" s="1012"/>
      <c r="O3" s="91"/>
      <c r="P3" s="1435"/>
      <c r="Q3" s="1436">
        <f>0.96*R3</f>
        <v>388800</v>
      </c>
      <c r="R3" s="1436">
        <v>405000</v>
      </c>
      <c r="S3" s="1437">
        <f t="shared" si="0"/>
        <v>1</v>
      </c>
      <c r="T3" s="1438">
        <f t="shared" si="1"/>
        <v>0</v>
      </c>
      <c r="U3" s="1435">
        <f t="shared" si="2"/>
        <v>3868.6567164179105</v>
      </c>
      <c r="V3" s="1435">
        <f t="shared" si="3"/>
        <v>4029.8507462686566</v>
      </c>
      <c r="W3" s="1439"/>
      <c r="X3" s="1440"/>
      <c r="Y3" s="1441"/>
      <c r="Z3" s="1441"/>
      <c r="AA3" s="1440"/>
      <c r="AB3" s="1442"/>
      <c r="AC3" s="1440"/>
      <c r="AD3" s="1441"/>
      <c r="AE3" s="91"/>
      <c r="AF3" s="91"/>
      <c r="AG3" s="91"/>
      <c r="AH3" s="91"/>
      <c r="AI3" s="91"/>
      <c r="AJ3" s="1443"/>
      <c r="AK3" s="1443"/>
      <c r="AL3" s="1443"/>
      <c r="AM3" s="1443"/>
      <c r="AN3" s="1443"/>
      <c r="AO3" s="1443"/>
      <c r="AP3" s="1443"/>
      <c r="AQ3" s="1443"/>
      <c r="AR3" s="1443"/>
      <c r="AS3" s="1435"/>
      <c r="AT3" s="1435"/>
    </row>
    <row r="4" spans="1:46">
      <c r="A4" s="91">
        <v>3</v>
      </c>
      <c r="B4" s="1445" t="s">
        <v>26</v>
      </c>
      <c r="C4" s="1445">
        <v>8</v>
      </c>
      <c r="D4" s="1021" t="s">
        <v>89</v>
      </c>
      <c r="E4" s="1433">
        <v>2</v>
      </c>
      <c r="F4" s="1433" t="s">
        <v>18040</v>
      </c>
      <c r="G4" s="1021">
        <v>126</v>
      </c>
      <c r="H4" s="287">
        <v>22</v>
      </c>
      <c r="I4" s="287"/>
      <c r="J4" s="287"/>
      <c r="K4" s="1434">
        <f t="shared" si="4"/>
        <v>137</v>
      </c>
      <c r="L4" s="1012"/>
      <c r="M4" s="1012"/>
      <c r="N4" s="1012"/>
      <c r="O4" s="91"/>
      <c r="P4" s="1435"/>
      <c r="Q4" s="1436">
        <f t="shared" ref="Q4:Q29" si="5">0.96*R4</f>
        <v>480000</v>
      </c>
      <c r="R4" s="1436">
        <v>500000</v>
      </c>
      <c r="S4" s="1437">
        <f t="shared" si="0"/>
        <v>1</v>
      </c>
      <c r="T4" s="1438">
        <f t="shared" si="1"/>
        <v>0</v>
      </c>
      <c r="U4" s="1435">
        <f t="shared" si="2"/>
        <v>3503.6496350364964</v>
      </c>
      <c r="V4" s="1435">
        <f t="shared" si="3"/>
        <v>3649.6350364963505</v>
      </c>
      <c r="W4" s="1439"/>
      <c r="X4" s="1440"/>
      <c r="Y4" s="1441"/>
      <c r="Z4" s="1441"/>
      <c r="AA4" s="1440"/>
      <c r="AB4" s="1442"/>
      <c r="AC4" s="1440"/>
      <c r="AD4" s="1441"/>
      <c r="AE4" s="91"/>
      <c r="AF4" s="91"/>
      <c r="AG4" s="91"/>
      <c r="AH4" s="91"/>
      <c r="AI4" s="91"/>
      <c r="AJ4" s="1443"/>
      <c r="AK4" s="1443"/>
      <c r="AL4" s="1443"/>
      <c r="AM4" s="1443"/>
      <c r="AN4" s="1443"/>
      <c r="AO4" s="1443"/>
      <c r="AP4" s="1443"/>
      <c r="AQ4" s="1443"/>
      <c r="AR4" s="1443"/>
      <c r="AS4" s="1435"/>
      <c r="AT4" s="1435"/>
    </row>
    <row r="5" spans="1:46">
      <c r="A5" s="91">
        <v>4</v>
      </c>
      <c r="B5" s="1445" t="s">
        <v>27</v>
      </c>
      <c r="C5" s="1445">
        <v>8</v>
      </c>
      <c r="D5" s="1021" t="s">
        <v>91</v>
      </c>
      <c r="E5" s="1433">
        <v>2</v>
      </c>
      <c r="F5" s="1433" t="s">
        <v>18041</v>
      </c>
      <c r="G5" s="1021">
        <v>92</v>
      </c>
      <c r="H5" s="287">
        <v>14</v>
      </c>
      <c r="I5" s="287"/>
      <c r="J5" s="287"/>
      <c r="K5" s="1434">
        <f t="shared" si="4"/>
        <v>99</v>
      </c>
      <c r="L5" s="1012"/>
      <c r="M5" s="1012"/>
      <c r="N5" s="1012"/>
      <c r="O5" s="91"/>
      <c r="P5" s="1435"/>
      <c r="Q5" s="1436">
        <f t="shared" si="5"/>
        <v>395520</v>
      </c>
      <c r="R5" s="1436">
        <v>412000</v>
      </c>
      <c r="S5" s="1437">
        <f t="shared" si="0"/>
        <v>1</v>
      </c>
      <c r="T5" s="1438">
        <f t="shared" si="1"/>
        <v>0</v>
      </c>
      <c r="U5" s="1435">
        <f t="shared" si="2"/>
        <v>3995.151515151515</v>
      </c>
      <c r="V5" s="1435">
        <f t="shared" si="3"/>
        <v>4161.6161616161617</v>
      </c>
      <c r="W5" s="1439"/>
      <c r="X5" s="1440"/>
      <c r="Y5" s="1441"/>
      <c r="Z5" s="1441"/>
      <c r="AA5" s="1440"/>
      <c r="AB5" s="1442"/>
      <c r="AC5" s="1440"/>
      <c r="AD5" s="1441"/>
      <c r="AE5" s="91"/>
      <c r="AF5" s="91"/>
      <c r="AG5" s="91"/>
      <c r="AH5" s="91"/>
      <c r="AI5" s="91"/>
      <c r="AJ5" s="1443"/>
      <c r="AK5" s="1443"/>
      <c r="AL5" s="1443"/>
      <c r="AM5" s="1443"/>
      <c r="AN5" s="1443"/>
      <c r="AO5" s="1443"/>
      <c r="AP5" s="1443"/>
      <c r="AQ5" s="1443"/>
      <c r="AR5" s="1443"/>
      <c r="AS5" s="1435"/>
      <c r="AT5" s="1435"/>
    </row>
    <row r="6" spans="1:46">
      <c r="A6" s="91">
        <v>5</v>
      </c>
      <c r="B6" s="1445" t="s">
        <v>28</v>
      </c>
      <c r="C6" s="1432">
        <v>8</v>
      </c>
      <c r="D6" s="1021" t="s">
        <v>89</v>
      </c>
      <c r="E6" s="1433">
        <v>3</v>
      </c>
      <c r="F6" s="1433" t="s">
        <v>18040</v>
      </c>
      <c r="G6" s="1021">
        <v>126</v>
      </c>
      <c r="H6" s="287">
        <v>22</v>
      </c>
      <c r="I6" s="287"/>
      <c r="J6" s="287"/>
      <c r="K6" s="1434">
        <f t="shared" si="4"/>
        <v>137</v>
      </c>
      <c r="L6" s="1012"/>
      <c r="M6" s="1012"/>
      <c r="N6" s="1012"/>
      <c r="O6" s="91"/>
      <c r="P6" s="1436"/>
      <c r="Q6" s="1436">
        <f t="shared" si="5"/>
        <v>484800</v>
      </c>
      <c r="R6" s="1436">
        <v>505000</v>
      </c>
      <c r="S6" s="1437">
        <f t="shared" si="0"/>
        <v>1</v>
      </c>
      <c r="T6" s="1438">
        <f t="shared" si="1"/>
        <v>0</v>
      </c>
      <c r="U6" s="1435">
        <f t="shared" si="2"/>
        <v>3538.6861313868612</v>
      </c>
      <c r="V6" s="1435">
        <f t="shared" si="3"/>
        <v>3686.1313868613138</v>
      </c>
      <c r="W6" s="1439"/>
      <c r="X6" s="1440"/>
      <c r="Y6" s="1441"/>
      <c r="Z6" s="1441"/>
      <c r="AA6" s="1440"/>
      <c r="AB6" s="1442"/>
      <c r="AC6" s="1440"/>
      <c r="AD6" s="1441"/>
      <c r="AE6" s="91"/>
      <c r="AF6" s="91"/>
      <c r="AG6" s="91"/>
      <c r="AH6" s="91"/>
      <c r="AI6" s="91"/>
      <c r="AJ6" s="1443"/>
      <c r="AK6" s="1443"/>
      <c r="AL6" s="1443"/>
      <c r="AM6" s="1443"/>
      <c r="AN6" s="1443"/>
      <c r="AO6" s="1443"/>
      <c r="AP6" s="1443"/>
      <c r="AQ6" s="1443"/>
      <c r="AR6" s="1443"/>
      <c r="AS6" s="1435"/>
      <c r="AT6" s="1435"/>
    </row>
    <row r="7" spans="1:46">
      <c r="A7" s="91">
        <v>6</v>
      </c>
      <c r="B7" s="1445" t="s">
        <v>29</v>
      </c>
      <c r="C7" s="1432">
        <v>8</v>
      </c>
      <c r="D7" s="1021" t="s">
        <v>91</v>
      </c>
      <c r="E7" s="1433">
        <v>3</v>
      </c>
      <c r="F7" s="1433" t="s">
        <v>18041</v>
      </c>
      <c r="G7" s="1021">
        <v>92</v>
      </c>
      <c r="H7" s="287">
        <v>14</v>
      </c>
      <c r="I7" s="287"/>
      <c r="J7" s="287"/>
      <c r="K7" s="1434">
        <f t="shared" si="4"/>
        <v>99</v>
      </c>
      <c r="L7" s="1012"/>
      <c r="M7" s="1012"/>
      <c r="N7" s="1012"/>
      <c r="O7" s="91"/>
      <c r="P7" s="1436"/>
      <c r="Q7" s="1436">
        <f t="shared" si="5"/>
        <v>400320</v>
      </c>
      <c r="R7" s="1436">
        <v>417000</v>
      </c>
      <c r="S7" s="1437">
        <f t="shared" si="0"/>
        <v>1</v>
      </c>
      <c r="T7" s="1438">
        <f t="shared" si="1"/>
        <v>0</v>
      </c>
      <c r="U7" s="1435">
        <f t="shared" si="2"/>
        <v>4043.6363636363635</v>
      </c>
      <c r="V7" s="1435">
        <f t="shared" si="3"/>
        <v>4212.121212121212</v>
      </c>
      <c r="W7" s="1439"/>
      <c r="X7" s="1439"/>
      <c r="Y7" s="1435"/>
      <c r="Z7" s="1435"/>
      <c r="AA7" s="1439"/>
      <c r="AB7" s="1438"/>
      <c r="AC7" s="1439"/>
      <c r="AD7" s="1435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1435"/>
      <c r="AT7" s="1435"/>
    </row>
    <row r="8" spans="1:46">
      <c r="A8" s="91">
        <v>7</v>
      </c>
      <c r="B8" s="1445" t="s">
        <v>30</v>
      </c>
      <c r="C8" s="1445">
        <v>8</v>
      </c>
      <c r="D8" s="1021" t="s">
        <v>89</v>
      </c>
      <c r="E8" s="1433">
        <v>4</v>
      </c>
      <c r="F8" s="1433" t="s">
        <v>18040</v>
      </c>
      <c r="G8" s="1021">
        <v>126</v>
      </c>
      <c r="H8" s="1446">
        <v>22</v>
      </c>
      <c r="I8" s="287"/>
      <c r="J8" s="287"/>
      <c r="K8" s="1434">
        <f t="shared" si="4"/>
        <v>137</v>
      </c>
      <c r="L8" s="1012"/>
      <c r="M8" s="1012"/>
      <c r="N8" s="1012"/>
      <c r="O8" s="91"/>
      <c r="P8" s="1436"/>
      <c r="Q8" s="1436">
        <f t="shared" si="5"/>
        <v>489600</v>
      </c>
      <c r="R8" s="1436">
        <v>510000</v>
      </c>
      <c r="S8" s="1437">
        <f t="shared" si="0"/>
        <v>1</v>
      </c>
      <c r="T8" s="1438">
        <f t="shared" si="1"/>
        <v>0</v>
      </c>
      <c r="U8" s="1435">
        <f t="shared" si="2"/>
        <v>3573.7226277372265</v>
      </c>
      <c r="V8" s="1435">
        <f t="shared" si="3"/>
        <v>3722.6277372262775</v>
      </c>
      <c r="W8" s="1439"/>
      <c r="X8" s="1439"/>
      <c r="Y8" s="1435"/>
      <c r="Z8" s="1435"/>
      <c r="AA8" s="1439"/>
      <c r="AB8" s="1438"/>
      <c r="AC8" s="1439"/>
      <c r="AD8" s="1435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1435"/>
      <c r="AT8" s="1435"/>
    </row>
    <row r="9" spans="1:46">
      <c r="A9" s="91">
        <v>8</v>
      </c>
      <c r="B9" s="1445" t="s">
        <v>31</v>
      </c>
      <c r="C9" s="1445">
        <v>8</v>
      </c>
      <c r="D9" s="1021" t="s">
        <v>91</v>
      </c>
      <c r="E9" s="1433">
        <v>4</v>
      </c>
      <c r="F9" s="1433" t="s">
        <v>18041</v>
      </c>
      <c r="G9" s="1021">
        <v>92</v>
      </c>
      <c r="H9" s="1446">
        <v>14</v>
      </c>
      <c r="I9" s="287"/>
      <c r="J9" s="287"/>
      <c r="K9" s="1434">
        <f t="shared" si="4"/>
        <v>99</v>
      </c>
      <c r="L9" s="1012"/>
      <c r="M9" s="1012"/>
      <c r="N9" s="1012"/>
      <c r="O9" s="91"/>
      <c r="P9" s="1436"/>
      <c r="Q9" s="1436">
        <f t="shared" si="5"/>
        <v>405120</v>
      </c>
      <c r="R9" s="1436">
        <v>422000</v>
      </c>
      <c r="S9" s="1437">
        <f t="shared" si="0"/>
        <v>1</v>
      </c>
      <c r="T9" s="1438">
        <f t="shared" si="1"/>
        <v>0</v>
      </c>
      <c r="U9" s="1435">
        <f t="shared" si="2"/>
        <v>4092.121212121212</v>
      </c>
      <c r="V9" s="1435">
        <f t="shared" si="3"/>
        <v>4262.6262626262624</v>
      </c>
      <c r="W9" s="1439"/>
      <c r="X9" s="1454"/>
      <c r="Y9" s="1455"/>
      <c r="Z9" s="1455"/>
      <c r="AA9" s="1454"/>
      <c r="AB9" s="1456"/>
      <c r="AC9" s="1454"/>
      <c r="AD9" s="1455"/>
      <c r="AE9" s="91"/>
      <c r="AF9" s="91"/>
      <c r="AG9" s="91"/>
      <c r="AH9" s="91"/>
      <c r="AI9" s="91"/>
      <c r="AJ9" s="1457"/>
      <c r="AK9" s="1443"/>
      <c r="AL9" s="1443"/>
      <c r="AM9" s="1443"/>
      <c r="AN9" s="1443"/>
      <c r="AO9" s="1443"/>
      <c r="AP9" s="1443"/>
      <c r="AQ9" s="1457"/>
      <c r="AR9" s="1457"/>
      <c r="AS9" s="1435"/>
      <c r="AT9" s="1435"/>
    </row>
    <row r="10" spans="1:46">
      <c r="A10" s="91">
        <v>9</v>
      </c>
      <c r="B10" s="1445" t="s">
        <v>32</v>
      </c>
      <c r="C10" s="1432">
        <v>8</v>
      </c>
      <c r="D10" s="1021" t="s">
        <v>89</v>
      </c>
      <c r="E10" s="1433">
        <v>5</v>
      </c>
      <c r="F10" s="1433" t="s">
        <v>18040</v>
      </c>
      <c r="G10" s="1021">
        <v>126</v>
      </c>
      <c r="H10" s="1446">
        <v>22</v>
      </c>
      <c r="I10" s="287"/>
      <c r="J10" s="287"/>
      <c r="K10" s="1434">
        <f t="shared" si="4"/>
        <v>137</v>
      </c>
      <c r="L10" s="1012"/>
      <c r="M10" s="1012"/>
      <c r="N10" s="1012"/>
      <c r="O10" s="91"/>
      <c r="P10" s="1436"/>
      <c r="Q10" s="1436">
        <f t="shared" si="5"/>
        <v>494400</v>
      </c>
      <c r="R10" s="1436">
        <v>515000</v>
      </c>
      <c r="S10" s="1437">
        <f t="shared" si="0"/>
        <v>1</v>
      </c>
      <c r="T10" s="1438">
        <f t="shared" si="1"/>
        <v>0</v>
      </c>
      <c r="U10" s="1435">
        <f t="shared" si="2"/>
        <v>3608.7591240875913</v>
      </c>
      <c r="V10" s="1435">
        <f t="shared" si="3"/>
        <v>3759.1240875912408</v>
      </c>
      <c r="W10" s="1439"/>
      <c r="X10" s="1440"/>
      <c r="Y10" s="1441"/>
      <c r="Z10" s="1441"/>
      <c r="AA10" s="1440"/>
      <c r="AB10" s="1442"/>
      <c r="AC10" s="1440"/>
      <c r="AD10" s="1441"/>
      <c r="AE10" s="91"/>
      <c r="AF10" s="91"/>
      <c r="AG10" s="91"/>
      <c r="AH10" s="91"/>
      <c r="AI10" s="91"/>
      <c r="AJ10" s="1443"/>
      <c r="AK10" s="1443"/>
      <c r="AL10" s="1443"/>
      <c r="AM10" s="1443"/>
      <c r="AN10" s="1443"/>
      <c r="AO10" s="1443"/>
      <c r="AP10" s="1443"/>
      <c r="AQ10" s="1443"/>
      <c r="AR10" s="1443"/>
      <c r="AS10" s="1435"/>
      <c r="AT10" s="1435"/>
    </row>
    <row r="11" spans="1:46">
      <c r="A11" s="91">
        <v>10</v>
      </c>
      <c r="B11" s="1445" t="s">
        <v>33</v>
      </c>
      <c r="C11" s="1432">
        <v>8</v>
      </c>
      <c r="D11" s="1021" t="s">
        <v>91</v>
      </c>
      <c r="E11" s="1433">
        <v>5</v>
      </c>
      <c r="F11" s="1433" t="s">
        <v>18041</v>
      </c>
      <c r="G11" s="1021">
        <v>92</v>
      </c>
      <c r="H11" s="1446">
        <v>14</v>
      </c>
      <c r="I11" s="287"/>
      <c r="J11" s="287"/>
      <c r="K11" s="1434">
        <f t="shared" si="4"/>
        <v>99</v>
      </c>
      <c r="L11" s="1012"/>
      <c r="M11" s="1012"/>
      <c r="N11" s="1012"/>
      <c r="O11" s="91"/>
      <c r="P11" s="1436"/>
      <c r="Q11" s="1436">
        <f t="shared" si="5"/>
        <v>409920</v>
      </c>
      <c r="R11" s="1436">
        <v>427000</v>
      </c>
      <c r="S11" s="1437">
        <f t="shared" si="0"/>
        <v>1</v>
      </c>
      <c r="T11" s="1438">
        <f t="shared" si="1"/>
        <v>0</v>
      </c>
      <c r="U11" s="1435">
        <f t="shared" si="2"/>
        <v>4140.606060606061</v>
      </c>
      <c r="V11" s="1435">
        <f t="shared" si="3"/>
        <v>4313.1313131313127</v>
      </c>
      <c r="W11" s="1439"/>
      <c r="X11" s="1440"/>
      <c r="Y11" s="1441"/>
      <c r="Z11" s="1441"/>
      <c r="AA11" s="1440"/>
      <c r="AB11" s="1442"/>
      <c r="AC11" s="1440"/>
      <c r="AD11" s="1441"/>
      <c r="AE11" s="91"/>
      <c r="AF11" s="91"/>
      <c r="AG11" s="1447"/>
      <c r="AH11" s="91"/>
      <c r="AI11" s="91"/>
      <c r="AJ11" s="1443"/>
      <c r="AK11" s="1443"/>
      <c r="AL11" s="1443"/>
      <c r="AM11" s="1443"/>
      <c r="AN11" s="1443"/>
      <c r="AO11" s="1443"/>
      <c r="AP11" s="1443"/>
      <c r="AQ11" s="1443"/>
      <c r="AR11" s="1443"/>
      <c r="AS11" s="1435"/>
      <c r="AT11" s="1435"/>
    </row>
    <row r="12" spans="1:46">
      <c r="A12" s="91">
        <v>11</v>
      </c>
      <c r="B12" s="1445" t="s">
        <v>34</v>
      </c>
      <c r="C12" s="1445">
        <v>8</v>
      </c>
      <c r="D12" s="1021" t="s">
        <v>89</v>
      </c>
      <c r="E12" s="1433">
        <v>6</v>
      </c>
      <c r="F12" s="1433" t="s">
        <v>18040</v>
      </c>
      <c r="G12" s="1021">
        <v>126</v>
      </c>
      <c r="H12" s="1446">
        <v>22</v>
      </c>
      <c r="I12" s="287"/>
      <c r="J12" s="287"/>
      <c r="K12" s="1434">
        <f t="shared" si="4"/>
        <v>137</v>
      </c>
      <c r="L12" s="1012"/>
      <c r="M12" s="1012"/>
      <c r="N12" s="1012"/>
      <c r="O12" s="91"/>
      <c r="P12" s="1436"/>
      <c r="Q12" s="1436">
        <f t="shared" si="5"/>
        <v>499200</v>
      </c>
      <c r="R12" s="1436">
        <v>520000</v>
      </c>
      <c r="S12" s="1437">
        <f t="shared" si="0"/>
        <v>1</v>
      </c>
      <c r="T12" s="1438">
        <f t="shared" si="1"/>
        <v>0</v>
      </c>
      <c r="U12" s="1435">
        <f t="shared" si="2"/>
        <v>3643.7956204379561</v>
      </c>
      <c r="V12" s="1435">
        <f t="shared" si="3"/>
        <v>3795.6204379562046</v>
      </c>
      <c r="W12" s="1439"/>
      <c r="X12" s="1440"/>
      <c r="Y12" s="1441"/>
      <c r="Z12" s="1441"/>
      <c r="AA12" s="1440"/>
      <c r="AB12" s="1442"/>
      <c r="AC12" s="1440"/>
      <c r="AD12" s="1441"/>
      <c r="AE12" s="91"/>
      <c r="AF12" s="91"/>
      <c r="AG12" s="1447"/>
      <c r="AH12" s="91"/>
      <c r="AI12" s="91"/>
      <c r="AJ12" s="1443"/>
      <c r="AK12" s="1443"/>
      <c r="AL12" s="1443"/>
      <c r="AM12" s="1443"/>
      <c r="AN12" s="1443"/>
      <c r="AO12" s="1448"/>
      <c r="AP12" s="1443"/>
      <c r="AQ12" s="1443"/>
      <c r="AR12" s="1443"/>
      <c r="AS12" s="1435"/>
      <c r="AT12" s="1435"/>
    </row>
    <row r="13" spans="1:46">
      <c r="A13" s="91">
        <v>12</v>
      </c>
      <c r="B13" s="1445" t="s">
        <v>35</v>
      </c>
      <c r="C13" s="1445">
        <v>8</v>
      </c>
      <c r="D13" s="1021" t="s">
        <v>91</v>
      </c>
      <c r="E13" s="1433">
        <v>6</v>
      </c>
      <c r="F13" s="1433" t="s">
        <v>18041</v>
      </c>
      <c r="G13" s="1021">
        <v>92</v>
      </c>
      <c r="H13" s="1451">
        <v>14</v>
      </c>
      <c r="I13" s="287"/>
      <c r="J13" s="287"/>
      <c r="K13" s="1434">
        <f t="shared" si="4"/>
        <v>99</v>
      </c>
      <c r="L13" s="1012"/>
      <c r="M13" s="1012"/>
      <c r="N13" s="1012"/>
      <c r="O13" s="91"/>
      <c r="P13" s="1436"/>
      <c r="Q13" s="1436">
        <f t="shared" si="5"/>
        <v>414720</v>
      </c>
      <c r="R13" s="1436">
        <v>432000</v>
      </c>
      <c r="S13" s="1437">
        <f t="shared" si="0"/>
        <v>1</v>
      </c>
      <c r="T13" s="1438">
        <f t="shared" si="1"/>
        <v>0</v>
      </c>
      <c r="U13" s="1435">
        <f t="shared" si="2"/>
        <v>4189.090909090909</v>
      </c>
      <c r="V13" s="1435">
        <f t="shared" si="3"/>
        <v>4363.636363636364</v>
      </c>
      <c r="W13" s="1439"/>
      <c r="X13" s="1440"/>
      <c r="Y13" s="1441"/>
      <c r="Z13" s="1441"/>
      <c r="AA13" s="1440"/>
      <c r="AB13" s="1442"/>
      <c r="AC13" s="1440"/>
      <c r="AD13" s="1441"/>
      <c r="AE13" s="91"/>
      <c r="AF13" s="91"/>
      <c r="AG13" s="91"/>
      <c r="AH13" s="91"/>
      <c r="AI13" s="91"/>
      <c r="AJ13" s="1457"/>
      <c r="AK13" s="1443"/>
      <c r="AL13" s="1443"/>
      <c r="AM13" s="1443"/>
      <c r="AN13" s="1443"/>
      <c r="AO13" s="1443"/>
      <c r="AP13" s="1443"/>
      <c r="AQ13" s="1443"/>
      <c r="AR13" s="1443"/>
      <c r="AS13" s="1435"/>
      <c r="AT13" s="1435"/>
    </row>
    <row r="14" spans="1:46">
      <c r="A14" s="91">
        <v>13</v>
      </c>
      <c r="B14" s="1445" t="s">
        <v>36</v>
      </c>
      <c r="C14" s="1432">
        <v>8</v>
      </c>
      <c r="D14" s="1021" t="s">
        <v>89</v>
      </c>
      <c r="E14" s="1433">
        <v>7</v>
      </c>
      <c r="F14" s="1433" t="s">
        <v>18040</v>
      </c>
      <c r="G14" s="1021">
        <v>126</v>
      </c>
      <c r="H14" s="1446">
        <v>22</v>
      </c>
      <c r="I14" s="287"/>
      <c r="J14" s="287"/>
      <c r="K14" s="1434">
        <f t="shared" si="4"/>
        <v>137</v>
      </c>
      <c r="L14" s="1012"/>
      <c r="M14" s="1012"/>
      <c r="N14" s="1012"/>
      <c r="O14" s="91"/>
      <c r="P14" s="1436"/>
      <c r="Q14" s="1436">
        <f t="shared" si="5"/>
        <v>506400</v>
      </c>
      <c r="R14" s="1436">
        <v>527500</v>
      </c>
      <c r="S14" s="1437">
        <f t="shared" si="0"/>
        <v>1</v>
      </c>
      <c r="T14" s="1438">
        <f t="shared" si="1"/>
        <v>0</v>
      </c>
      <c r="U14" s="1435">
        <f t="shared" si="2"/>
        <v>3696.3503649635036</v>
      </c>
      <c r="V14" s="1435">
        <f t="shared" si="3"/>
        <v>3850.3649635036495</v>
      </c>
      <c r="W14" s="1440"/>
      <c r="X14" s="1440"/>
      <c r="Y14" s="1441"/>
      <c r="Z14" s="1441"/>
      <c r="AA14" s="1440"/>
      <c r="AB14" s="1442"/>
      <c r="AC14" s="1440"/>
      <c r="AD14" s="1441"/>
      <c r="AE14" s="91"/>
      <c r="AF14" s="91"/>
      <c r="AG14" s="91"/>
      <c r="AH14" s="91"/>
      <c r="AI14" s="91"/>
      <c r="AJ14" s="1443"/>
      <c r="AK14" s="1443"/>
      <c r="AL14" s="1443"/>
      <c r="AM14" s="1443"/>
      <c r="AN14" s="1443"/>
      <c r="AO14" s="1443"/>
      <c r="AP14" s="1443"/>
      <c r="AQ14" s="1443"/>
      <c r="AR14" s="1443"/>
      <c r="AS14" s="1435"/>
      <c r="AT14" s="1435"/>
    </row>
    <row r="15" spans="1:46">
      <c r="A15" s="91">
        <v>14</v>
      </c>
      <c r="B15" s="1445" t="s">
        <v>37</v>
      </c>
      <c r="C15" s="1432">
        <v>8</v>
      </c>
      <c r="D15" s="1021" t="s">
        <v>91</v>
      </c>
      <c r="E15" s="1433">
        <v>7</v>
      </c>
      <c r="F15" s="1433" t="s">
        <v>18041</v>
      </c>
      <c r="G15" s="1021">
        <v>92</v>
      </c>
      <c r="H15" s="1446">
        <v>14</v>
      </c>
      <c r="I15" s="287"/>
      <c r="J15" s="287"/>
      <c r="K15" s="1434">
        <f t="shared" si="4"/>
        <v>99</v>
      </c>
      <c r="L15" s="1012"/>
      <c r="M15" s="1012"/>
      <c r="N15" s="1012"/>
      <c r="O15" s="91"/>
      <c r="P15" s="1436"/>
      <c r="Q15" s="1436">
        <f t="shared" si="5"/>
        <v>422400</v>
      </c>
      <c r="R15" s="1436">
        <v>440000</v>
      </c>
      <c r="S15" s="1437">
        <f t="shared" si="0"/>
        <v>1</v>
      </c>
      <c r="T15" s="1438">
        <f t="shared" si="1"/>
        <v>0</v>
      </c>
      <c r="U15" s="1435">
        <f t="shared" si="2"/>
        <v>4266.666666666667</v>
      </c>
      <c r="V15" s="1435">
        <f t="shared" si="3"/>
        <v>4444.4444444444443</v>
      </c>
      <c r="W15" s="1439"/>
      <c r="X15" s="1440"/>
      <c r="Y15" s="1441"/>
      <c r="Z15" s="1441"/>
      <c r="AA15" s="1440"/>
      <c r="AB15" s="1442"/>
      <c r="AC15" s="1440"/>
      <c r="AD15" s="1441"/>
      <c r="AE15" s="91"/>
      <c r="AF15" s="91"/>
      <c r="AG15" s="1447"/>
      <c r="AH15" s="91"/>
      <c r="AI15" s="91"/>
      <c r="AJ15" s="1443"/>
      <c r="AK15" s="1443"/>
      <c r="AL15" s="1443"/>
      <c r="AM15" s="1443"/>
      <c r="AN15" s="1443"/>
      <c r="AO15" s="1443"/>
      <c r="AP15" s="1443"/>
      <c r="AQ15" s="1443"/>
      <c r="AR15" s="1443"/>
      <c r="AS15" s="1435"/>
      <c r="AT15" s="1435"/>
    </row>
    <row r="16" spans="1:46">
      <c r="A16" s="91">
        <v>15</v>
      </c>
      <c r="B16" s="1445" t="s">
        <v>24</v>
      </c>
      <c r="C16" s="1445" t="s">
        <v>18039</v>
      </c>
      <c r="D16" s="1021" t="s">
        <v>89</v>
      </c>
      <c r="E16" s="1433">
        <v>1</v>
      </c>
      <c r="F16" s="1433" t="s">
        <v>18042</v>
      </c>
      <c r="G16" s="1021">
        <v>126</v>
      </c>
      <c r="H16" s="1446"/>
      <c r="I16" s="287">
        <v>56</v>
      </c>
      <c r="J16" s="287"/>
      <c r="K16" s="1434">
        <f t="shared" si="4"/>
        <v>154</v>
      </c>
      <c r="L16" s="1012"/>
      <c r="M16" s="1012"/>
      <c r="N16" s="1012"/>
      <c r="O16" s="91"/>
      <c r="P16" s="1436"/>
      <c r="Q16" s="1436">
        <f t="shared" si="5"/>
        <v>502080</v>
      </c>
      <c r="R16" s="1436">
        <v>523000</v>
      </c>
      <c r="S16" s="1437">
        <f t="shared" si="0"/>
        <v>1</v>
      </c>
      <c r="T16" s="1438">
        <f t="shared" si="1"/>
        <v>0</v>
      </c>
      <c r="U16" s="1435">
        <f t="shared" si="2"/>
        <v>3260.2597402597403</v>
      </c>
      <c r="V16" s="1435">
        <f t="shared" si="3"/>
        <v>3396.1038961038962</v>
      </c>
      <c r="W16" s="1439"/>
      <c r="X16" s="1440"/>
      <c r="Y16" s="1441"/>
      <c r="Z16" s="1441"/>
      <c r="AA16" s="1440"/>
      <c r="AB16" s="1442"/>
      <c r="AC16" s="1440"/>
      <c r="AD16" s="1441"/>
      <c r="AE16" s="91"/>
      <c r="AF16" s="91"/>
      <c r="AG16" s="1447"/>
      <c r="AH16" s="91"/>
      <c r="AI16" s="91"/>
      <c r="AJ16" s="1443"/>
      <c r="AK16" s="1443"/>
      <c r="AL16" s="1443"/>
      <c r="AM16" s="1443"/>
      <c r="AN16" s="1443"/>
      <c r="AO16" s="1443"/>
      <c r="AP16" s="1443"/>
      <c r="AQ16" s="1443"/>
      <c r="AR16" s="1443"/>
      <c r="AS16" s="1435"/>
      <c r="AT16" s="1435"/>
    </row>
    <row r="17" spans="1:47">
      <c r="A17" s="91">
        <v>16</v>
      </c>
      <c r="B17" s="1445" t="s">
        <v>25</v>
      </c>
      <c r="C17" s="1445" t="s">
        <v>18039</v>
      </c>
      <c r="D17" s="1021" t="s">
        <v>91</v>
      </c>
      <c r="E17" s="1433">
        <v>1</v>
      </c>
      <c r="F17" s="1433" t="s">
        <v>18041</v>
      </c>
      <c r="G17" s="1021">
        <v>92</v>
      </c>
      <c r="H17" s="1446"/>
      <c r="I17" s="287">
        <v>17</v>
      </c>
      <c r="J17" s="287"/>
      <c r="K17" s="1434">
        <f t="shared" si="4"/>
        <v>100.5</v>
      </c>
      <c r="L17" s="1012"/>
      <c r="M17" s="1012"/>
      <c r="N17" s="1012"/>
      <c r="O17" s="91"/>
      <c r="P17" s="1436"/>
      <c r="Q17" s="1436">
        <f t="shared" si="5"/>
        <v>388800</v>
      </c>
      <c r="R17" s="1436">
        <v>405000</v>
      </c>
      <c r="S17" s="1437">
        <f t="shared" si="0"/>
        <v>1</v>
      </c>
      <c r="T17" s="1438">
        <f t="shared" si="1"/>
        <v>0</v>
      </c>
      <c r="U17" s="1435">
        <f t="shared" si="2"/>
        <v>3868.6567164179105</v>
      </c>
      <c r="V17" s="1435">
        <f t="shared" si="3"/>
        <v>4029.8507462686566</v>
      </c>
      <c r="W17" s="1439"/>
      <c r="X17" s="1440"/>
      <c r="Y17" s="1441"/>
      <c r="Z17" s="1441"/>
      <c r="AA17" s="1440"/>
      <c r="AB17" s="1442"/>
      <c r="AC17" s="1440"/>
      <c r="AD17" s="1441"/>
      <c r="AE17" s="91"/>
      <c r="AF17" s="91"/>
      <c r="AG17" s="91"/>
      <c r="AH17" s="91"/>
      <c r="AI17" s="91"/>
      <c r="AJ17" s="91"/>
      <c r="AK17" s="1443"/>
      <c r="AL17" s="1443"/>
      <c r="AM17" s="1443"/>
      <c r="AN17" s="1443"/>
      <c r="AO17" s="1443"/>
      <c r="AP17" s="1443"/>
      <c r="AQ17" s="1443"/>
      <c r="AR17" s="1443"/>
      <c r="AS17" s="1435"/>
      <c r="AT17" s="1435"/>
    </row>
    <row r="18" spans="1:47">
      <c r="A18" s="91">
        <v>17</v>
      </c>
      <c r="B18" s="1445" t="s">
        <v>26</v>
      </c>
      <c r="C18" s="1432" t="s">
        <v>18039</v>
      </c>
      <c r="D18" s="1021" t="s">
        <v>89</v>
      </c>
      <c r="E18" s="1433">
        <v>2</v>
      </c>
      <c r="F18" s="1433" t="s">
        <v>18042</v>
      </c>
      <c r="G18" s="1021">
        <v>126</v>
      </c>
      <c r="H18" s="1446">
        <v>22</v>
      </c>
      <c r="I18" s="287"/>
      <c r="J18" s="287"/>
      <c r="K18" s="1434">
        <f t="shared" si="4"/>
        <v>137</v>
      </c>
      <c r="L18" s="1012"/>
      <c r="M18" s="1012"/>
      <c r="N18" s="1012"/>
      <c r="O18" s="91"/>
      <c r="P18" s="1436"/>
      <c r="Q18" s="1436">
        <f t="shared" si="5"/>
        <v>499200</v>
      </c>
      <c r="R18" s="1436">
        <v>520000</v>
      </c>
      <c r="S18" s="1437">
        <f t="shared" si="0"/>
        <v>1</v>
      </c>
      <c r="T18" s="1438">
        <f t="shared" si="1"/>
        <v>0</v>
      </c>
      <c r="U18" s="1435">
        <f t="shared" si="2"/>
        <v>3643.7956204379561</v>
      </c>
      <c r="V18" s="1435">
        <f t="shared" si="3"/>
        <v>3795.6204379562046</v>
      </c>
      <c r="W18" s="1439"/>
      <c r="X18" s="1440"/>
      <c r="Y18" s="1441"/>
      <c r="Z18" s="1441"/>
      <c r="AA18" s="1440"/>
      <c r="AB18" s="1442"/>
      <c r="AC18" s="1440"/>
      <c r="AD18" s="1441"/>
      <c r="AE18" s="91"/>
      <c r="AF18" s="91"/>
      <c r="AG18" s="91"/>
      <c r="AH18" s="91"/>
      <c r="AI18" s="91"/>
      <c r="AJ18" s="91"/>
      <c r="AK18" s="1443"/>
      <c r="AL18" s="1443"/>
      <c r="AM18" s="1443"/>
      <c r="AN18" s="1443"/>
      <c r="AO18" s="1443"/>
      <c r="AP18" s="1443"/>
      <c r="AQ18" s="1443"/>
      <c r="AR18" s="1443"/>
      <c r="AS18" s="1435"/>
      <c r="AT18" s="1435"/>
    </row>
    <row r="19" spans="1:47">
      <c r="A19" s="91">
        <v>18</v>
      </c>
      <c r="B19" s="1445" t="s">
        <v>27</v>
      </c>
      <c r="C19" s="1432" t="s">
        <v>18039</v>
      </c>
      <c r="D19" s="1021" t="s">
        <v>91</v>
      </c>
      <c r="E19" s="1433">
        <v>2</v>
      </c>
      <c r="F19" s="1433" t="s">
        <v>18041</v>
      </c>
      <c r="G19" s="1021">
        <v>92</v>
      </c>
      <c r="H19" s="1446">
        <v>14</v>
      </c>
      <c r="I19" s="287"/>
      <c r="J19" s="287"/>
      <c r="K19" s="1434">
        <f t="shared" si="4"/>
        <v>99</v>
      </c>
      <c r="L19" s="1012"/>
      <c r="M19" s="1012"/>
      <c r="N19" s="1012"/>
      <c r="O19" s="91"/>
      <c r="P19" s="1436"/>
      <c r="Q19" s="1436">
        <f t="shared" si="5"/>
        <v>395520</v>
      </c>
      <c r="R19" s="1436">
        <v>412000</v>
      </c>
      <c r="S19" s="1437">
        <f t="shared" si="0"/>
        <v>1</v>
      </c>
      <c r="T19" s="1438">
        <f t="shared" si="1"/>
        <v>0</v>
      </c>
      <c r="U19" s="1435">
        <f t="shared" si="2"/>
        <v>3995.151515151515</v>
      </c>
      <c r="V19" s="1435">
        <f t="shared" si="3"/>
        <v>4161.6161616161617</v>
      </c>
      <c r="W19" s="1439"/>
      <c r="X19" s="1440"/>
      <c r="Y19" s="1441"/>
      <c r="Z19" s="1441"/>
      <c r="AA19" s="1440"/>
      <c r="AB19" s="1442"/>
      <c r="AC19" s="1440"/>
      <c r="AD19" s="1441"/>
      <c r="AE19" s="91"/>
      <c r="AF19" s="91"/>
      <c r="AG19" s="91"/>
      <c r="AH19" s="91"/>
      <c r="AI19" s="91"/>
      <c r="AJ19" s="1457"/>
      <c r="AK19" s="1443"/>
      <c r="AL19" s="1443"/>
      <c r="AM19" s="1443"/>
      <c r="AN19" s="1443"/>
      <c r="AO19" s="1443"/>
      <c r="AP19" s="1443"/>
      <c r="AQ19" s="1443"/>
      <c r="AR19" s="1443"/>
      <c r="AS19" s="1435"/>
      <c r="AT19" s="1435"/>
    </row>
    <row r="20" spans="1:47">
      <c r="A20" s="91">
        <v>19</v>
      </c>
      <c r="B20" s="1445" t="s">
        <v>28</v>
      </c>
      <c r="C20" s="1445" t="s">
        <v>18039</v>
      </c>
      <c r="D20" s="1021" t="s">
        <v>89</v>
      </c>
      <c r="E20" s="1433">
        <v>3</v>
      </c>
      <c r="F20" s="1433" t="s">
        <v>18042</v>
      </c>
      <c r="G20" s="1021">
        <v>126</v>
      </c>
      <c r="H20" s="1451">
        <v>22</v>
      </c>
      <c r="I20" s="287"/>
      <c r="J20" s="287"/>
      <c r="K20" s="1434">
        <f t="shared" si="4"/>
        <v>137</v>
      </c>
      <c r="L20" s="1012"/>
      <c r="M20" s="1012"/>
      <c r="N20" s="1012"/>
      <c r="O20" s="91"/>
      <c r="P20" s="1436"/>
      <c r="Q20" s="1436">
        <f t="shared" si="5"/>
        <v>504000</v>
      </c>
      <c r="R20" s="1436">
        <v>525000</v>
      </c>
      <c r="S20" s="1437">
        <f t="shared" si="0"/>
        <v>1</v>
      </c>
      <c r="T20" s="1438">
        <f t="shared" si="1"/>
        <v>0</v>
      </c>
      <c r="U20" s="1435">
        <f t="shared" si="2"/>
        <v>3678.8321167883209</v>
      </c>
      <c r="V20" s="1435">
        <f t="shared" si="3"/>
        <v>3832.1167883211679</v>
      </c>
      <c r="W20" s="1440"/>
      <c r="X20" s="1440"/>
      <c r="Y20" s="1441"/>
      <c r="Z20" s="1441"/>
      <c r="AA20" s="1440"/>
      <c r="AB20" s="1442"/>
      <c r="AC20" s="1440"/>
      <c r="AD20" s="1441"/>
      <c r="AE20" s="91"/>
      <c r="AF20" s="91"/>
      <c r="AG20" s="91"/>
      <c r="AH20" s="91"/>
      <c r="AI20" s="91"/>
      <c r="AJ20" s="1457"/>
      <c r="AK20" s="1443"/>
      <c r="AL20" s="1443"/>
      <c r="AM20" s="1443"/>
      <c r="AN20" s="1443"/>
      <c r="AO20" s="1443"/>
      <c r="AP20" s="1443"/>
      <c r="AQ20" s="1443"/>
      <c r="AR20" s="1443"/>
      <c r="AS20" s="1435"/>
      <c r="AT20" s="1435"/>
    </row>
    <row r="21" spans="1:47">
      <c r="A21" s="91">
        <v>20</v>
      </c>
      <c r="B21" s="1445" t="s">
        <v>29</v>
      </c>
      <c r="C21" s="1445" t="s">
        <v>18039</v>
      </c>
      <c r="D21" s="1021" t="s">
        <v>91</v>
      </c>
      <c r="E21" s="1433">
        <v>3</v>
      </c>
      <c r="F21" s="1433" t="s">
        <v>18041</v>
      </c>
      <c r="G21" s="1021">
        <v>92</v>
      </c>
      <c r="H21" s="1446">
        <v>14</v>
      </c>
      <c r="I21" s="287"/>
      <c r="J21" s="287"/>
      <c r="K21" s="1434">
        <f t="shared" si="4"/>
        <v>99</v>
      </c>
      <c r="L21" s="1012"/>
      <c r="M21" s="1012"/>
      <c r="N21" s="1012"/>
      <c r="O21" s="91"/>
      <c r="P21" s="1436"/>
      <c r="Q21" s="1436">
        <f t="shared" si="5"/>
        <v>400320</v>
      </c>
      <c r="R21" s="1436">
        <v>417000</v>
      </c>
      <c r="S21" s="1437">
        <f t="shared" si="0"/>
        <v>1</v>
      </c>
      <c r="T21" s="1438">
        <f t="shared" si="1"/>
        <v>0</v>
      </c>
      <c r="U21" s="1435">
        <f t="shared" si="2"/>
        <v>4043.6363636363635</v>
      </c>
      <c r="V21" s="1435">
        <f t="shared" si="3"/>
        <v>4212.121212121212</v>
      </c>
      <c r="W21" s="1439"/>
      <c r="X21" s="1440"/>
      <c r="Y21" s="1441"/>
      <c r="Z21" s="1441"/>
      <c r="AA21" s="1440"/>
      <c r="AB21" s="1442"/>
      <c r="AC21" s="1440"/>
      <c r="AD21" s="1441"/>
      <c r="AE21" s="91"/>
      <c r="AF21" s="91"/>
      <c r="AG21" s="1447"/>
      <c r="AH21" s="91"/>
      <c r="AI21" s="91"/>
      <c r="AJ21" s="1443"/>
      <c r="AK21" s="1443"/>
      <c r="AL21" s="1443"/>
      <c r="AM21" s="1443"/>
      <c r="AN21" s="1443"/>
      <c r="AO21" s="1443"/>
      <c r="AP21" s="1443"/>
      <c r="AQ21" s="1443"/>
      <c r="AR21" s="1443"/>
      <c r="AS21" s="1435"/>
      <c r="AT21" s="1435"/>
    </row>
    <row r="22" spans="1:47" s="289" customFormat="1">
      <c r="A22" s="91">
        <v>21</v>
      </c>
      <c r="B22" s="1445" t="s">
        <v>30</v>
      </c>
      <c r="C22" s="1432" t="s">
        <v>18039</v>
      </c>
      <c r="D22" s="1021" t="s">
        <v>89</v>
      </c>
      <c r="E22" s="1433">
        <v>4</v>
      </c>
      <c r="F22" s="1433" t="s">
        <v>18042</v>
      </c>
      <c r="G22" s="1021">
        <v>126</v>
      </c>
      <c r="H22" s="1446">
        <v>22</v>
      </c>
      <c r="I22" s="287"/>
      <c r="J22" s="287"/>
      <c r="K22" s="1434">
        <f t="shared" si="4"/>
        <v>137</v>
      </c>
      <c r="L22" s="1012"/>
      <c r="M22" s="1012"/>
      <c r="N22" s="1012"/>
      <c r="O22" s="91"/>
      <c r="P22" s="1436"/>
      <c r="Q22" s="1436">
        <f t="shared" si="5"/>
        <v>508800</v>
      </c>
      <c r="R22" s="1436">
        <v>530000</v>
      </c>
      <c r="S22" s="1437">
        <f t="shared" si="0"/>
        <v>1</v>
      </c>
      <c r="T22" s="1438">
        <f t="shared" si="1"/>
        <v>0</v>
      </c>
      <c r="U22" s="1435">
        <f t="shared" si="2"/>
        <v>3713.8686131386862</v>
      </c>
      <c r="V22" s="1435">
        <f t="shared" si="3"/>
        <v>3868.6131386861316</v>
      </c>
      <c r="W22" s="1439"/>
      <c r="X22" s="1440"/>
      <c r="Y22" s="1441"/>
      <c r="Z22" s="1441"/>
      <c r="AA22" s="1440"/>
      <c r="AB22" s="1442"/>
      <c r="AC22" s="1440"/>
      <c r="AD22" s="1441"/>
      <c r="AE22" s="91"/>
      <c r="AF22" s="91"/>
      <c r="AG22" s="1447"/>
      <c r="AH22" s="91"/>
      <c r="AI22" s="91"/>
      <c r="AJ22" s="91"/>
      <c r="AK22" s="1443"/>
      <c r="AL22" s="1443"/>
      <c r="AM22" s="1443"/>
      <c r="AN22" s="1443"/>
      <c r="AO22" s="1443"/>
      <c r="AP22" s="1443"/>
      <c r="AQ22" s="1443"/>
      <c r="AR22" s="1443"/>
      <c r="AS22" s="1435"/>
      <c r="AT22" s="1435"/>
    </row>
    <row r="23" spans="1:47" s="289" customFormat="1">
      <c r="A23" s="91">
        <v>22</v>
      </c>
      <c r="B23" s="1445" t="s">
        <v>31</v>
      </c>
      <c r="C23" s="1432" t="s">
        <v>18039</v>
      </c>
      <c r="D23" s="1021" t="s">
        <v>91</v>
      </c>
      <c r="E23" s="1433">
        <v>4</v>
      </c>
      <c r="F23" s="1433" t="s">
        <v>18041</v>
      </c>
      <c r="G23" s="1021">
        <v>92</v>
      </c>
      <c r="H23" s="1446">
        <v>14</v>
      </c>
      <c r="I23" s="287"/>
      <c r="J23" s="287"/>
      <c r="K23" s="1434">
        <f t="shared" si="4"/>
        <v>99</v>
      </c>
      <c r="L23" s="1012"/>
      <c r="M23" s="1012"/>
      <c r="N23" s="1012"/>
      <c r="O23" s="91"/>
      <c r="P23" s="1436"/>
      <c r="Q23" s="1436">
        <f t="shared" si="5"/>
        <v>405120</v>
      </c>
      <c r="R23" s="1436">
        <v>422000</v>
      </c>
      <c r="S23" s="1437">
        <f t="shared" si="0"/>
        <v>1</v>
      </c>
      <c r="T23" s="1438">
        <f t="shared" si="1"/>
        <v>0</v>
      </c>
      <c r="U23" s="1435">
        <f t="shared" si="2"/>
        <v>4092.121212121212</v>
      </c>
      <c r="V23" s="1435">
        <f t="shared" si="3"/>
        <v>4262.6262626262624</v>
      </c>
      <c r="W23" s="1439"/>
      <c r="X23" s="1440"/>
      <c r="Y23" s="1441"/>
      <c r="Z23" s="1441"/>
      <c r="AA23" s="1440"/>
      <c r="AB23" s="1442"/>
      <c r="AC23" s="1440"/>
      <c r="AD23" s="1441"/>
      <c r="AE23" s="91"/>
      <c r="AF23" s="91"/>
      <c r="AG23" s="91"/>
      <c r="AH23" s="91"/>
      <c r="AI23" s="91"/>
      <c r="AJ23" s="1449"/>
      <c r="AK23" s="1443"/>
      <c r="AL23" s="1443"/>
      <c r="AM23" s="1443"/>
      <c r="AN23" s="1443"/>
      <c r="AO23" s="1443"/>
      <c r="AP23" s="1443"/>
      <c r="AQ23" s="1443"/>
      <c r="AR23" s="1443"/>
      <c r="AS23" s="1435"/>
      <c r="AT23" s="1435"/>
    </row>
    <row r="24" spans="1:47" s="289" customFormat="1">
      <c r="A24" s="91">
        <v>23</v>
      </c>
      <c r="B24" s="1445" t="s">
        <v>32</v>
      </c>
      <c r="C24" s="1445" t="s">
        <v>18039</v>
      </c>
      <c r="D24" s="1021" t="s">
        <v>89</v>
      </c>
      <c r="E24" s="1433">
        <v>5</v>
      </c>
      <c r="F24" s="1433" t="s">
        <v>18042</v>
      </c>
      <c r="G24" s="1021">
        <v>126</v>
      </c>
      <c r="H24" s="1446">
        <v>22</v>
      </c>
      <c r="I24" s="287"/>
      <c r="J24" s="287"/>
      <c r="K24" s="1434">
        <f t="shared" si="4"/>
        <v>137</v>
      </c>
      <c r="L24" s="1012"/>
      <c r="M24" s="1012"/>
      <c r="N24" s="1012"/>
      <c r="O24" s="91"/>
      <c r="P24" s="1436"/>
      <c r="Q24" s="1436">
        <f t="shared" si="5"/>
        <v>513600</v>
      </c>
      <c r="R24" s="1436">
        <v>535000</v>
      </c>
      <c r="S24" s="1437">
        <f t="shared" si="0"/>
        <v>1</v>
      </c>
      <c r="T24" s="1438">
        <f t="shared" si="1"/>
        <v>0</v>
      </c>
      <c r="U24" s="1435">
        <f t="shared" si="2"/>
        <v>3748.905109489051</v>
      </c>
      <c r="V24" s="1435">
        <f t="shared" si="3"/>
        <v>3905.1094890510949</v>
      </c>
      <c r="W24" s="1439"/>
      <c r="X24" s="1440"/>
      <c r="Y24" s="1441"/>
      <c r="Z24" s="1441"/>
      <c r="AA24" s="1440"/>
      <c r="AB24" s="1442"/>
      <c r="AC24" s="1440"/>
      <c r="AD24" s="1441"/>
      <c r="AE24" s="91"/>
      <c r="AF24" s="91"/>
      <c r="AG24" s="91"/>
      <c r="AH24" s="91"/>
      <c r="AI24" s="91"/>
      <c r="AJ24" s="91"/>
      <c r="AK24" s="1443"/>
      <c r="AL24" s="1443"/>
      <c r="AM24" s="1443"/>
      <c r="AN24" s="1443"/>
      <c r="AO24" s="1443"/>
      <c r="AP24" s="1443"/>
      <c r="AQ24" s="1443"/>
      <c r="AR24" s="1443"/>
      <c r="AS24" s="1435"/>
      <c r="AT24" s="1435"/>
    </row>
    <row r="25" spans="1:47" s="289" customFormat="1">
      <c r="A25" s="91">
        <v>24</v>
      </c>
      <c r="B25" s="1445" t="s">
        <v>33</v>
      </c>
      <c r="C25" s="1445" t="s">
        <v>18039</v>
      </c>
      <c r="D25" s="1021" t="s">
        <v>91</v>
      </c>
      <c r="E25" s="1433">
        <v>5</v>
      </c>
      <c r="F25" s="1433" t="s">
        <v>18041</v>
      </c>
      <c r="G25" s="1021">
        <v>92</v>
      </c>
      <c r="H25" s="1446">
        <v>14</v>
      </c>
      <c r="I25" s="287"/>
      <c r="J25" s="287"/>
      <c r="K25" s="1434">
        <f t="shared" si="4"/>
        <v>99</v>
      </c>
      <c r="L25" s="1012"/>
      <c r="M25" s="1012"/>
      <c r="N25" s="1012"/>
      <c r="O25" s="91"/>
      <c r="P25" s="1436"/>
      <c r="Q25" s="1436">
        <f t="shared" si="5"/>
        <v>409920</v>
      </c>
      <c r="R25" s="1436">
        <v>427000</v>
      </c>
      <c r="S25" s="1437">
        <f t="shared" si="0"/>
        <v>1</v>
      </c>
      <c r="T25" s="1438">
        <f t="shared" si="1"/>
        <v>0</v>
      </c>
      <c r="U25" s="1435">
        <f t="shared" si="2"/>
        <v>4140.606060606061</v>
      </c>
      <c r="V25" s="1435">
        <f t="shared" si="3"/>
        <v>4313.1313131313127</v>
      </c>
      <c r="W25" s="1439"/>
      <c r="X25" s="1440"/>
      <c r="Y25" s="1441"/>
      <c r="Z25" s="1441"/>
      <c r="AA25" s="1440"/>
      <c r="AB25" s="1442"/>
      <c r="AC25" s="1440"/>
      <c r="AD25" s="1441"/>
      <c r="AE25" s="91"/>
      <c r="AF25" s="91"/>
      <c r="AG25" s="91"/>
      <c r="AH25" s="91"/>
      <c r="AI25" s="91"/>
      <c r="AJ25" s="91"/>
      <c r="AK25" s="1443"/>
      <c r="AL25" s="1443"/>
      <c r="AM25" s="1443"/>
      <c r="AN25" s="1443"/>
      <c r="AO25" s="1443"/>
      <c r="AP25" s="1443"/>
      <c r="AQ25" s="1443"/>
      <c r="AR25" s="1443"/>
      <c r="AS25" s="1435"/>
      <c r="AT25" s="1435"/>
    </row>
    <row r="26" spans="1:47" s="289" customFormat="1">
      <c r="A26" s="91">
        <v>25</v>
      </c>
      <c r="B26" s="1445" t="s">
        <v>34</v>
      </c>
      <c r="C26" s="1432" t="s">
        <v>18039</v>
      </c>
      <c r="D26" s="1021" t="s">
        <v>89</v>
      </c>
      <c r="E26" s="1433">
        <v>6</v>
      </c>
      <c r="F26" s="1433" t="s">
        <v>18042</v>
      </c>
      <c r="G26" s="1021">
        <v>126</v>
      </c>
      <c r="H26" s="1446">
        <v>22</v>
      </c>
      <c r="I26" s="287"/>
      <c r="J26" s="287"/>
      <c r="K26" s="1434">
        <f t="shared" si="4"/>
        <v>137</v>
      </c>
      <c r="L26" s="1012"/>
      <c r="M26" s="1012"/>
      <c r="N26" s="1012"/>
      <c r="O26" s="91"/>
      <c r="P26" s="1436"/>
      <c r="Q26" s="1436">
        <f t="shared" si="5"/>
        <v>518400</v>
      </c>
      <c r="R26" s="1436">
        <v>540000</v>
      </c>
      <c r="S26" s="1437">
        <f t="shared" si="0"/>
        <v>1</v>
      </c>
      <c r="T26" s="1438">
        <f t="shared" si="1"/>
        <v>0</v>
      </c>
      <c r="U26" s="1435">
        <f t="shared" si="2"/>
        <v>3783.9416058394158</v>
      </c>
      <c r="V26" s="1435">
        <f t="shared" si="3"/>
        <v>3941.6058394160582</v>
      </c>
      <c r="W26" s="1439"/>
      <c r="X26" s="1440"/>
      <c r="Y26" s="1450"/>
      <c r="Z26" s="1450"/>
      <c r="AA26" s="1450"/>
      <c r="AB26" s="1450"/>
      <c r="AC26" s="1440"/>
      <c r="AD26" s="1441"/>
      <c r="AE26" s="91"/>
      <c r="AF26" s="91"/>
      <c r="AG26" s="91"/>
      <c r="AH26" s="91"/>
      <c r="AI26" s="91"/>
      <c r="AJ26" s="91"/>
      <c r="AK26" s="1443"/>
      <c r="AL26" s="1443"/>
      <c r="AM26" s="1443"/>
      <c r="AN26" s="1443"/>
      <c r="AO26" s="1443"/>
      <c r="AP26" s="1443"/>
      <c r="AQ26" s="1443"/>
      <c r="AR26" s="1443"/>
      <c r="AS26" s="1435"/>
      <c r="AT26" s="1435"/>
    </row>
    <row r="27" spans="1:47" s="289" customFormat="1">
      <c r="A27" s="91">
        <v>26</v>
      </c>
      <c r="B27" s="1445" t="s">
        <v>35</v>
      </c>
      <c r="C27" s="1432" t="s">
        <v>18039</v>
      </c>
      <c r="D27" s="1021" t="s">
        <v>91</v>
      </c>
      <c r="E27" s="1433">
        <v>6</v>
      </c>
      <c r="F27" s="1433" t="s">
        <v>18041</v>
      </c>
      <c r="G27" s="1021">
        <v>92</v>
      </c>
      <c r="H27" s="1451">
        <v>14</v>
      </c>
      <c r="I27" s="287"/>
      <c r="J27" s="287"/>
      <c r="K27" s="1434">
        <f t="shared" si="4"/>
        <v>99</v>
      </c>
      <c r="L27" s="1012"/>
      <c r="M27" s="1012"/>
      <c r="N27" s="1012"/>
      <c r="O27" s="91"/>
      <c r="P27" s="1436"/>
      <c r="Q27" s="1436">
        <f t="shared" si="5"/>
        <v>414720</v>
      </c>
      <c r="R27" s="1436">
        <v>432000</v>
      </c>
      <c r="S27" s="1437">
        <f t="shared" si="0"/>
        <v>1</v>
      </c>
      <c r="T27" s="1438">
        <f t="shared" si="1"/>
        <v>0</v>
      </c>
      <c r="U27" s="1435">
        <f t="shared" si="2"/>
        <v>4189.090909090909</v>
      </c>
      <c r="V27" s="1435">
        <f t="shared" si="3"/>
        <v>4363.636363636364</v>
      </c>
      <c r="W27" s="1439"/>
      <c r="X27" s="1440"/>
      <c r="Y27" s="1441"/>
      <c r="Z27" s="1441"/>
      <c r="AA27" s="1440"/>
      <c r="AB27" s="1442"/>
      <c r="AC27" s="1440"/>
      <c r="AD27" s="1441"/>
      <c r="AE27" s="91"/>
      <c r="AF27" s="91"/>
      <c r="AG27" s="91"/>
      <c r="AH27" s="91"/>
      <c r="AI27" s="91"/>
      <c r="AJ27" s="91"/>
      <c r="AK27" s="1443"/>
      <c r="AL27" s="1443"/>
      <c r="AM27" s="1443"/>
      <c r="AN27" s="1443"/>
      <c r="AO27" s="1443"/>
      <c r="AP27" s="1443"/>
      <c r="AQ27" s="1443"/>
      <c r="AR27" s="1443"/>
      <c r="AS27" s="1435"/>
      <c r="AT27" s="1435"/>
    </row>
    <row r="28" spans="1:47" s="289" customFormat="1">
      <c r="A28" s="91">
        <v>27</v>
      </c>
      <c r="B28" s="1445" t="s">
        <v>36</v>
      </c>
      <c r="C28" s="1445" t="s">
        <v>18039</v>
      </c>
      <c r="D28" s="1021" t="s">
        <v>89</v>
      </c>
      <c r="E28" s="1433">
        <v>7</v>
      </c>
      <c r="F28" s="1433" t="s">
        <v>18042</v>
      </c>
      <c r="G28" s="1021">
        <v>126</v>
      </c>
      <c r="H28" s="1446">
        <v>22</v>
      </c>
      <c r="I28" s="287"/>
      <c r="J28" s="287"/>
      <c r="K28" s="1434">
        <f t="shared" si="4"/>
        <v>137</v>
      </c>
      <c r="L28" s="1012"/>
      <c r="M28" s="1012"/>
      <c r="N28" s="1012"/>
      <c r="O28" s="91"/>
      <c r="P28" s="1436"/>
      <c r="Q28" s="1436">
        <f t="shared" si="5"/>
        <v>525600</v>
      </c>
      <c r="R28" s="1436">
        <v>547500</v>
      </c>
      <c r="S28" s="1437">
        <f t="shared" si="0"/>
        <v>1</v>
      </c>
      <c r="T28" s="1438">
        <f t="shared" si="1"/>
        <v>0</v>
      </c>
      <c r="U28" s="1435">
        <f t="shared" si="2"/>
        <v>3836.4963503649633</v>
      </c>
      <c r="V28" s="1435">
        <f t="shared" si="3"/>
        <v>3996.3503649635036</v>
      </c>
      <c r="W28" s="1439"/>
      <c r="X28" s="1440"/>
      <c r="Y28" s="1441"/>
      <c r="Z28" s="1441"/>
      <c r="AA28" s="1440"/>
      <c r="AB28" s="1442"/>
      <c r="AC28" s="1440"/>
      <c r="AD28" s="1441"/>
      <c r="AE28" s="91"/>
      <c r="AF28" s="91"/>
      <c r="AG28" s="91"/>
      <c r="AH28" s="91"/>
      <c r="AI28" s="91"/>
      <c r="AJ28" s="91"/>
      <c r="AK28" s="1443"/>
      <c r="AL28" s="1443"/>
      <c r="AM28" s="1443"/>
      <c r="AN28" s="1443"/>
      <c r="AO28" s="1443"/>
      <c r="AP28" s="1443"/>
      <c r="AQ28" s="1443"/>
      <c r="AR28" s="1443"/>
      <c r="AS28" s="1435"/>
      <c r="AT28" s="1435"/>
    </row>
    <row r="29" spans="1:47">
      <c r="A29" s="91">
        <v>28</v>
      </c>
      <c r="B29" s="1445" t="s">
        <v>37</v>
      </c>
      <c r="C29" s="1445" t="s">
        <v>18039</v>
      </c>
      <c r="D29" s="1021" t="s">
        <v>91</v>
      </c>
      <c r="E29" s="1433">
        <v>7</v>
      </c>
      <c r="F29" s="1433" t="s">
        <v>18041</v>
      </c>
      <c r="G29" s="1021">
        <v>92</v>
      </c>
      <c r="H29" s="1446">
        <v>14</v>
      </c>
      <c r="I29" s="287"/>
      <c r="J29" s="287"/>
      <c r="K29" s="1434">
        <f t="shared" si="4"/>
        <v>99</v>
      </c>
      <c r="L29" s="1012"/>
      <c r="M29" s="1012"/>
      <c r="N29" s="1012"/>
      <c r="O29" s="91"/>
      <c r="P29" s="1436"/>
      <c r="Q29" s="1436">
        <f t="shared" si="5"/>
        <v>422400</v>
      </c>
      <c r="R29" s="1436">
        <v>440000</v>
      </c>
      <c r="S29" s="1437">
        <f t="shared" si="0"/>
        <v>1</v>
      </c>
      <c r="T29" s="1438">
        <f t="shared" si="1"/>
        <v>0</v>
      </c>
      <c r="U29" s="1435">
        <f t="shared" si="2"/>
        <v>4266.666666666667</v>
      </c>
      <c r="V29" s="1435">
        <f t="shared" si="3"/>
        <v>4444.4444444444443</v>
      </c>
      <c r="W29" s="1439"/>
      <c r="X29" s="1440"/>
      <c r="Y29" s="1441"/>
      <c r="Z29" s="1441"/>
      <c r="AA29" s="1440"/>
      <c r="AB29" s="1442"/>
      <c r="AC29" s="1440"/>
      <c r="AD29" s="1441"/>
      <c r="AE29" s="91"/>
      <c r="AF29" s="91"/>
      <c r="AG29" s="91"/>
      <c r="AH29" s="91"/>
      <c r="AI29" s="91"/>
      <c r="AJ29" s="91"/>
      <c r="AK29" s="1443"/>
      <c r="AL29" s="1443"/>
      <c r="AM29" s="1443"/>
      <c r="AN29" s="1443"/>
      <c r="AO29" s="1443"/>
      <c r="AP29" s="1443"/>
      <c r="AQ29" s="1443"/>
      <c r="AR29" s="1443"/>
      <c r="AS29" s="1435"/>
      <c r="AT29" s="1435"/>
    </row>
    <row r="30" spans="1:47">
      <c r="A30" s="192"/>
      <c r="B30" s="192"/>
      <c r="C30" s="192"/>
      <c r="D30" s="192"/>
      <c r="E30" s="192"/>
      <c r="F30" s="192"/>
      <c r="G30" s="19"/>
      <c r="H30" s="1147"/>
      <c r="I30" s="192"/>
      <c r="J30" s="192"/>
      <c r="K30" s="345">
        <f>SUM(K2:K29)</f>
        <v>3341</v>
      </c>
      <c r="L30" s="345"/>
      <c r="M30" s="345"/>
      <c r="N30" s="345"/>
      <c r="O30" s="192"/>
      <c r="P30" s="346"/>
      <c r="Q30" s="345"/>
      <c r="R30" s="345"/>
      <c r="S30" s="345"/>
      <c r="T30" s="346"/>
      <c r="U30" s="192"/>
      <c r="V30" s="192"/>
      <c r="W30" s="192"/>
      <c r="X30" s="347"/>
      <c r="Y30" s="347"/>
      <c r="Z30" s="346"/>
      <c r="AA30" s="346"/>
      <c r="AB30" s="347"/>
      <c r="AC30" s="348"/>
      <c r="AD30" s="347"/>
      <c r="AE30" s="346"/>
      <c r="AF30" s="192"/>
      <c r="AG30" s="192"/>
      <c r="AH30" s="192"/>
      <c r="AI30" s="192"/>
      <c r="AJ30" s="192"/>
      <c r="AK30" s="192"/>
      <c r="AL30" s="192"/>
      <c r="AM30" s="192"/>
      <c r="AN30" s="192"/>
      <c r="AO30" s="192"/>
      <c r="AP30" s="192"/>
      <c r="AQ30" s="192"/>
      <c r="AR30" s="192"/>
      <c r="AS30" s="192"/>
      <c r="AT30" s="192"/>
      <c r="AU30" s="192"/>
    </row>
    <row r="31" spans="1:47" ht="15.75" thickBot="1">
      <c r="A31" s="192"/>
      <c r="B31" s="192"/>
      <c r="C31" s="192"/>
      <c r="D31" s="192"/>
      <c r="E31" s="192"/>
      <c r="F31" s="192"/>
      <c r="G31" s="19"/>
      <c r="H31" s="1147"/>
      <c r="I31" s="192"/>
      <c r="J31" s="192"/>
      <c r="K31" s="192"/>
      <c r="L31" s="192"/>
      <c r="M31" s="192"/>
      <c r="N31" s="192"/>
      <c r="O31" s="192"/>
      <c r="P31" s="346"/>
      <c r="Q31" s="346">
        <f>SUM(Q2:Q29)</f>
        <v>12687360</v>
      </c>
      <c r="R31" s="346">
        <f>SUM(R2:R29)</f>
        <v>13216000</v>
      </c>
      <c r="S31" s="346"/>
      <c r="T31" s="192"/>
      <c r="U31" s="192"/>
      <c r="V31" s="346">
        <f>AVERAGE(U2:U29)</f>
        <v>3842.4883855036542</v>
      </c>
      <c r="W31" s="346">
        <f>AVERAGE(V2:V29)</f>
        <v>4002.5920682329729</v>
      </c>
      <c r="X31" s="347"/>
      <c r="Y31" s="348"/>
      <c r="Z31" s="346"/>
      <c r="AA31" s="346"/>
      <c r="AB31" s="348"/>
      <c r="AC31" s="347"/>
      <c r="AD31" s="348"/>
      <c r="AE31" s="346"/>
      <c r="AF31" s="192"/>
      <c r="AG31" s="192"/>
      <c r="AH31" s="192"/>
      <c r="AI31" s="192"/>
      <c r="AJ31" s="192"/>
      <c r="AK31" s="192"/>
      <c r="AL31" s="192"/>
      <c r="AM31" s="192"/>
      <c r="AN31" s="192"/>
      <c r="AO31" s="192"/>
      <c r="AP31" s="192"/>
      <c r="AQ31" s="192"/>
      <c r="AR31" s="192"/>
      <c r="AS31" s="192"/>
      <c r="AT31" s="192"/>
      <c r="AU31" s="192"/>
    </row>
    <row r="32" spans="1:47" ht="15.75" thickBot="1">
      <c r="A32" s="196"/>
      <c r="B32" s="48"/>
      <c r="C32" s="48" t="s">
        <v>139</v>
      </c>
      <c r="D32" s="48" t="s">
        <v>140</v>
      </c>
      <c r="E32" s="197" t="s">
        <v>17</v>
      </c>
      <c r="F32" s="19"/>
      <c r="G32" s="2016" t="s">
        <v>555</v>
      </c>
      <c r="H32" s="2017"/>
      <c r="I32" s="198"/>
      <c r="J32" s="188"/>
      <c r="K32" s="188"/>
      <c r="L32" s="188"/>
      <c r="M32" s="188"/>
      <c r="N32" s="188"/>
      <c r="O32" s="188"/>
      <c r="P32" s="195"/>
      <c r="Q32" s="188"/>
      <c r="R32" s="188"/>
      <c r="S32" s="188"/>
      <c r="T32" s="188"/>
      <c r="U32" s="188"/>
      <c r="V32" s="195"/>
      <c r="W32" s="195"/>
      <c r="X32" s="283"/>
      <c r="Y32" s="315"/>
      <c r="Z32" s="195"/>
      <c r="AA32" s="195"/>
      <c r="AB32" s="315"/>
      <c r="AC32" s="283"/>
      <c r="AD32" s="315"/>
      <c r="AE32" s="195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  <c r="AP32" s="188"/>
      <c r="AQ32" s="188"/>
      <c r="AR32" s="188"/>
      <c r="AS32" s="188"/>
      <c r="AT32" s="188"/>
      <c r="AU32" s="188"/>
    </row>
    <row r="33" spans="1:47" ht="14.45" customHeight="1">
      <c r="A33" s="1996" t="s">
        <v>258</v>
      </c>
      <c r="B33" s="1997"/>
      <c r="C33" s="50">
        <f>COUNTIF(O2:O29,A33)</f>
        <v>0</v>
      </c>
      <c r="D33" s="51">
        <f>SUMIF(O2:O29,A33,P2:P29)</f>
        <v>0</v>
      </c>
      <c r="E33" s="76" t="e">
        <f>AVERAGEIF(O2:O29,A33,T2:T29)</f>
        <v>#DIV/0!</v>
      </c>
      <c r="F33" s="19"/>
      <c r="G33" s="599">
        <v>2025</v>
      </c>
      <c r="H33" s="227">
        <f>COUNTIFS(X2:X29,"&gt;="&amp;DATE(2024,1,1),X2:X29,"&lt;="&amp;DATE(2024,12,31))</f>
        <v>0</v>
      </c>
      <c r="I33" s="198"/>
      <c r="J33" s="2089" t="s">
        <v>17817</v>
      </c>
      <c r="K33" s="2090"/>
      <c r="L33" s="2090"/>
      <c r="M33" s="2090"/>
      <c r="N33" s="2090"/>
      <c r="O33" s="2090"/>
      <c r="P33" s="2090"/>
      <c r="Q33" s="2090"/>
      <c r="R33" s="2090"/>
      <c r="S33" s="2090"/>
      <c r="T33" s="2090"/>
      <c r="U33" s="2090"/>
      <c r="V33" s="2090"/>
      <c r="W33" s="195"/>
      <c r="X33" s="283"/>
      <c r="Y33" s="315"/>
      <c r="Z33" s="195"/>
      <c r="AA33" s="195"/>
      <c r="AB33" s="315"/>
      <c r="AC33" s="283"/>
      <c r="AD33" s="315"/>
      <c r="AE33" s="195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  <c r="AP33" s="188"/>
      <c r="AQ33" s="188"/>
      <c r="AR33" s="188"/>
      <c r="AS33" s="188"/>
      <c r="AT33" s="188"/>
      <c r="AU33" s="188"/>
    </row>
    <row r="34" spans="1:47">
      <c r="A34" s="2002" t="s">
        <v>102</v>
      </c>
      <c r="B34" s="2003"/>
      <c r="C34" s="53">
        <f>COUNTIF(O2:O29,A34)</f>
        <v>0</v>
      </c>
      <c r="D34" s="54">
        <f>SUMIF(O2:O29,A34,Q2:Q29)</f>
        <v>0</v>
      </c>
      <c r="E34" s="78" t="e">
        <f>AVERAGEIF(O2:O29,A34,U2:U29)</f>
        <v>#DIV/0!</v>
      </c>
      <c r="F34" s="19"/>
      <c r="G34" s="599">
        <v>2026</v>
      </c>
      <c r="H34" s="227">
        <f>COUNTIFS(X2:X29,"&gt;="&amp;DATE(2023,1,1),X2:X29,"&lt;="&amp;DATE(2023,12,31))</f>
        <v>0</v>
      </c>
      <c r="I34" s="198"/>
      <c r="J34" s="1707" t="s">
        <v>17303</v>
      </c>
      <c r="K34" s="691" t="s">
        <v>17304</v>
      </c>
      <c r="L34" s="692" t="s">
        <v>17305</v>
      </c>
      <c r="M34" s="693" t="s">
        <v>17306</v>
      </c>
      <c r="N34" s="693" t="s">
        <v>17307</v>
      </c>
      <c r="O34" s="693" t="s">
        <v>17308</v>
      </c>
      <c r="P34" s="694" t="s">
        <v>17309</v>
      </c>
      <c r="Q34" s="694" t="s">
        <v>17310</v>
      </c>
      <c r="R34" s="694"/>
      <c r="S34" s="695" t="s">
        <v>17311</v>
      </c>
      <c r="T34" s="691" t="s">
        <v>17312</v>
      </c>
      <c r="U34" s="692" t="s">
        <v>17313</v>
      </c>
      <c r="V34" s="1708" t="s">
        <v>17314</v>
      </c>
      <c r="W34" s="195"/>
      <c r="X34" s="315"/>
      <c r="Y34" s="195"/>
      <c r="Z34" s="195"/>
      <c r="AA34" s="315"/>
      <c r="AB34" s="283"/>
      <c r="AC34" s="315"/>
      <c r="AD34" s="195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  <c r="AP34" s="188"/>
      <c r="AQ34" s="188"/>
      <c r="AR34" s="188"/>
      <c r="AS34" s="188"/>
      <c r="AT34" s="188"/>
    </row>
    <row r="35" spans="1:47" ht="15.75" thickBot="1">
      <c r="A35" s="2008" t="s">
        <v>138</v>
      </c>
      <c r="B35" s="2009"/>
      <c r="C35" s="138">
        <f>COUNTIF(O2:O29,"")</f>
        <v>28</v>
      </c>
      <c r="D35" s="200">
        <f>SUMIF(O2:O29,"",Q2:Q29)</f>
        <v>12687360</v>
      </c>
      <c r="E35" s="201">
        <f>AVERAGEIF(O2:O29,"",U2:U29)</f>
        <v>3842.4883855036542</v>
      </c>
      <c r="F35" s="19"/>
      <c r="G35" s="600">
        <v>2027</v>
      </c>
      <c r="H35" s="216">
        <f>COUNTIFS(X2:X29,"&gt;="&amp;DATE(2024,1,1),X2:X29,"&lt;="&amp;DATE(2024,12,31))</f>
        <v>0</v>
      </c>
      <c r="I35" s="198"/>
      <c r="J35" s="1707">
        <f>COUNTIFS(X2:X29,"&gt;="&amp;DATE(2025,1,1),X2:X29,"&lt;="&amp;DATE(2025,1,31))</f>
        <v>0</v>
      </c>
      <c r="K35" s="695">
        <f>COUNTIFS(X2:X29,"&gt;="&amp;DATE(2025,2,1),X2:X29,"&lt;="&amp;DATE(2025,2,28))</f>
        <v>0</v>
      </c>
      <c r="L35" s="695">
        <f>COUNTIFS(X2:X29,"&gt;="&amp;DATE(2025,3,1),X2:X29,"&lt;="&amp;DATE(2025,3,31))</f>
        <v>0</v>
      </c>
      <c r="M35" s="695">
        <f>COUNTIFS(X2:X29,"&gt;="&amp;DATE(2025,4,1),X2:X29,"&lt;="&amp;DATE(2025,4,30))</f>
        <v>0</v>
      </c>
      <c r="N35" s="695">
        <f>COUNTIFS(X2:X29,"&gt;="&amp;DATE(2025,5,1),X2:X29,"&lt;="&amp;DATE(2025,5,31))</f>
        <v>0</v>
      </c>
      <c r="O35" s="695">
        <f>COUNTIFS(X2:X29,"&gt;="&amp;DATE(2025,6,1),X2:X29,"&lt;="&amp;DATE(2025,6,30))</f>
        <v>0</v>
      </c>
      <c r="P35" s="695">
        <f>COUNTIFS(X2:X29,"&gt;="&amp;DATE(2025,7,1),X2:X29,"&lt;="&amp;DATE(2025,7,31))</f>
        <v>0</v>
      </c>
      <c r="Q35" s="695">
        <f>COUNTIFS(X2:X29,"&gt;="&amp;DATE(2025,8,1),X2:X29,"&lt;="&amp;DATE(2025,8,31))</f>
        <v>0</v>
      </c>
      <c r="R35" s="695"/>
      <c r="S35" s="695">
        <f>COUNTIFS(AF2:AF29,"&gt;="&amp;DATE(2025,9,1),AF2:AF29,"&lt;="&amp;DATE(2025,9,30))</f>
        <v>0</v>
      </c>
      <c r="T35" s="695">
        <f>COUNTIFS(X2:X29,"&gt;="&amp;DATE(2025,10,1),X2:X29,"&lt;="&amp;DATE(2025,10,31))</f>
        <v>0</v>
      </c>
      <c r="U35" s="695">
        <f>COUNTIFS(AF2:AF29,"&gt;="&amp;DATE(2025,11,1),AF2:AF29,"&lt;="&amp;DATE(2025,11,30))</f>
        <v>0</v>
      </c>
      <c r="V35" s="1285">
        <f>COUNTIFS(X2:X29,"&gt;="&amp;DATE(2025,12,1),X2:X29,"&lt;="&amp;DATE(2025,12,31))</f>
        <v>0</v>
      </c>
      <c r="W35" s="195"/>
      <c r="X35" s="315"/>
      <c r="Y35" s="195"/>
      <c r="Z35" s="195"/>
      <c r="AA35" s="315"/>
      <c r="AB35" s="283"/>
      <c r="AC35" s="315"/>
      <c r="AD35" s="195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  <c r="AP35" s="188"/>
      <c r="AQ35" s="188"/>
      <c r="AR35" s="188"/>
      <c r="AS35" s="188"/>
      <c r="AT35" s="188"/>
    </row>
    <row r="36" spans="1:47" ht="15.75" thickBot="1">
      <c r="A36" s="2010" t="s">
        <v>210</v>
      </c>
      <c r="B36" s="2011"/>
      <c r="C36" s="202">
        <f>COUNTIF(O1:O29,A36)</f>
        <v>0</v>
      </c>
      <c r="D36" s="203">
        <f>SUMIF(O2:O29,A36,P2:P29)</f>
        <v>0</v>
      </c>
      <c r="E36" s="204" t="e">
        <f>AVERAGEIF(O2:O29,A36,T2:T29)</f>
        <v>#DIV/0!</v>
      </c>
      <c r="F36" s="19"/>
      <c r="G36" s="1148"/>
      <c r="H36" s="198"/>
      <c r="I36" s="198"/>
      <c r="J36" s="2091">
        <v>2026</v>
      </c>
      <c r="K36" s="1924"/>
      <c r="L36" s="1924"/>
      <c r="M36" s="1924"/>
      <c r="N36" s="1924"/>
      <c r="O36" s="1924"/>
      <c r="P36" s="1924"/>
      <c r="Q36" s="1924"/>
      <c r="R36" s="1924"/>
      <c r="S36" s="1924"/>
      <c r="T36" s="1924"/>
      <c r="U36" s="1924"/>
      <c r="V36" s="1924"/>
      <c r="W36" s="195"/>
      <c r="X36" s="283"/>
      <c r="Y36" s="315"/>
      <c r="Z36" s="195"/>
      <c r="AA36" s="195"/>
      <c r="AB36" s="315"/>
      <c r="AC36" s="283"/>
      <c r="AD36" s="315"/>
      <c r="AE36" s="195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  <c r="AP36" s="188"/>
      <c r="AQ36" s="188"/>
      <c r="AR36" s="188"/>
      <c r="AS36" s="188"/>
      <c r="AT36" s="188"/>
      <c r="AU36" s="188"/>
    </row>
    <row r="37" spans="1:47" ht="26.25" thickBot="1">
      <c r="A37" s="1895" t="s">
        <v>269</v>
      </c>
      <c r="B37" s="1896"/>
      <c r="C37" s="205">
        <f>SUBTOTAL(9,C33:C36)</f>
        <v>28</v>
      </c>
      <c r="D37" s="206">
        <f>SUBTOTAL(9,D33:D36)</f>
        <v>12687360</v>
      </c>
      <c r="E37" s="207">
        <f>D37/K30</f>
        <v>3797.4738102364563</v>
      </c>
      <c r="F37" s="19"/>
      <c r="G37" s="1149" t="s">
        <v>544</v>
      </c>
      <c r="H37" s="309">
        <f>(C33)/C37</f>
        <v>0</v>
      </c>
      <c r="I37" s="376"/>
      <c r="J37" s="1707" t="s">
        <v>17303</v>
      </c>
      <c r="K37" s="691" t="s">
        <v>17304</v>
      </c>
      <c r="L37" s="692" t="s">
        <v>17305</v>
      </c>
      <c r="M37" s="693" t="s">
        <v>17306</v>
      </c>
      <c r="N37" s="693" t="s">
        <v>17307</v>
      </c>
      <c r="O37" s="693" t="s">
        <v>17308</v>
      </c>
      <c r="P37" s="694" t="s">
        <v>17309</v>
      </c>
      <c r="Q37" s="694" t="s">
        <v>17310</v>
      </c>
      <c r="R37" s="694"/>
      <c r="S37" s="695" t="s">
        <v>17311</v>
      </c>
      <c r="T37" s="691" t="s">
        <v>17312</v>
      </c>
      <c r="U37" s="692" t="s">
        <v>17313</v>
      </c>
      <c r="V37" s="1708" t="s">
        <v>17314</v>
      </c>
      <c r="W37" s="195"/>
      <c r="X37" s="315"/>
      <c r="Y37" s="195"/>
      <c r="Z37" s="195"/>
      <c r="AA37" s="315"/>
      <c r="AB37" s="283"/>
      <c r="AC37" s="315"/>
      <c r="AD37" s="195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  <c r="AP37" s="188"/>
      <c r="AQ37" s="188"/>
      <c r="AR37" s="188"/>
      <c r="AS37" s="188"/>
      <c r="AT37" s="188"/>
    </row>
    <row r="38" spans="1:47" ht="15.75" thickBot="1">
      <c r="A38" s="198"/>
      <c r="B38" s="198"/>
      <c r="C38" s="198"/>
      <c r="D38" s="198"/>
      <c r="E38" s="357"/>
      <c r="F38" s="198"/>
      <c r="G38" s="647"/>
      <c r="H38" s="188"/>
      <c r="I38" s="188"/>
      <c r="J38" s="1709">
        <f>COUNTIFS(Y5:Y32,"&gt;="&amp;DATE(2026,1,1),Y5:Y32,"&lt;="&amp;DATE(2026,1,31))</f>
        <v>0</v>
      </c>
      <c r="K38" s="1710">
        <f>COUNTIFS(Y5:Y32,"&gt;="&amp;DATE(2026,2,1),Y5:Y32,"&lt;="&amp;DATE(2026,2,28))</f>
        <v>0</v>
      </c>
      <c r="L38" s="1710">
        <f>COUNTIFS(Y5:Y32,"&gt;="&amp;DATE(2026,3,1),Y5:Y32,"&lt;="&amp;DATE(2026,3,31))</f>
        <v>0</v>
      </c>
      <c r="M38" s="1710">
        <f>COUNTIFS(Y5:Y32,"&gt;="&amp;DATE(2026,4,1),Y5:Y32,"&lt;="&amp;DATE(2026,4,30))</f>
        <v>0</v>
      </c>
      <c r="N38" s="1710">
        <f>COUNTIFS(Y5:Y32,"&gt;="&amp;DATE(2026,5,1),Y5:Y32,"&lt;="&amp;DATE(2026,5,31))</f>
        <v>0</v>
      </c>
      <c r="O38" s="1710">
        <f>COUNTIFS(Y5:Y32,"&gt;="&amp;DATE(2026,6,1),Y5:Y32,"&lt;="&amp;DATE(2026,6,30))</f>
        <v>0</v>
      </c>
      <c r="P38" s="1710">
        <f>COUNTIFS(Y5:Y32,"&gt;="&amp;DATE(2026,7,1),Y5:Y32,"&lt;="&amp;DATE(2026,7,31))</f>
        <v>0</v>
      </c>
      <c r="Q38" s="1710">
        <f>COUNTIFS(Y5:Y32,"&gt;="&amp;DATE(2026,8,1),Y5:Y32,"&lt;="&amp;DATE(2026,8,31))</f>
        <v>0</v>
      </c>
      <c r="R38" s="1710"/>
      <c r="S38" s="1710">
        <f>COUNTIFS(AG5:AG32,"&gt;="&amp;DATE(2026,9,1),AG5:AG32,"&lt;="&amp;DATE(2026,9,30))</f>
        <v>0</v>
      </c>
      <c r="T38" s="1710">
        <f>COUNTIFS(AG5:AG32,"&gt;="&amp;DATE(2026,10,1),AG5:AG32,"&lt;="&amp;DATE(2026,10,31))</f>
        <v>0</v>
      </c>
      <c r="U38" s="1710">
        <f>COUNTIFS(AG5:AG32,"&gt;="&amp;DATE(2026,11,1),AG5:AG32,"&lt;="&amp;DATE(2026,11,30))</f>
        <v>0</v>
      </c>
      <c r="V38" s="1287">
        <f>COUNTIFS(AG5:AG32,"&gt;="&amp;DATE(2026,12,1),AG5:AG32,"&lt;="&amp;DATE(2026,12,31))</f>
        <v>0</v>
      </c>
      <c r="W38" s="195"/>
      <c r="X38" s="195"/>
      <c r="Y38" s="315"/>
      <c r="Z38" s="283"/>
      <c r="AA38" s="315"/>
      <c r="AB38" s="195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</row>
    <row r="39" spans="1:47" ht="15.75" thickBot="1">
      <c r="A39" s="2006" t="s">
        <v>139</v>
      </c>
      <c r="B39" s="2007"/>
      <c r="C39" s="48" t="s">
        <v>91</v>
      </c>
      <c r="D39" s="48" t="s">
        <v>89</v>
      </c>
      <c r="E39" s="359" t="s">
        <v>141</v>
      </c>
      <c r="F39" s="198"/>
      <c r="G39" s="198"/>
      <c r="H39" s="198"/>
      <c r="I39" s="1465"/>
      <c r="J39" s="1465"/>
      <c r="K39" s="1465"/>
      <c r="L39" s="1465"/>
      <c r="M39" s="1465"/>
      <c r="N39" s="1465"/>
      <c r="O39" s="1465"/>
      <c r="P39" s="1465"/>
      <c r="Q39" s="1465"/>
      <c r="R39" s="1465"/>
      <c r="S39" s="1465"/>
      <c r="T39" s="1465"/>
      <c r="U39" s="1465"/>
      <c r="V39" s="192"/>
      <c r="W39" s="283"/>
      <c r="X39" s="315"/>
      <c r="Y39" s="195"/>
      <c r="Z39" s="195"/>
      <c r="AA39" s="315"/>
      <c r="AB39" s="283"/>
      <c r="AC39" s="315"/>
      <c r="AD39" s="195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</row>
    <row r="40" spans="1:47">
      <c r="A40" s="1996" t="s">
        <v>258</v>
      </c>
      <c r="B40" s="1997"/>
      <c r="C40" s="50">
        <f>COUNTIFS($O$2:$O$29,$A$40,$D$2:$D$29,C39)</f>
        <v>0</v>
      </c>
      <c r="D40" s="50">
        <v>0</v>
      </c>
      <c r="E40" s="260">
        <f>SUM(C40:D40)</f>
        <v>0</v>
      </c>
      <c r="F40" s="198"/>
      <c r="G40" s="198"/>
      <c r="H40" s="198"/>
      <c r="I40" s="1465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346"/>
      <c r="V40" s="346"/>
      <c r="W40" s="195"/>
      <c r="X40" s="195"/>
      <c r="Y40" s="315"/>
      <c r="Z40" s="283"/>
      <c r="AA40" s="315"/>
      <c r="AB40" s="195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</row>
    <row r="41" spans="1:47" ht="15.75" thickBot="1">
      <c r="A41" s="2002" t="s">
        <v>102</v>
      </c>
      <c r="B41" s="2015"/>
      <c r="C41" s="53">
        <f>COUNTIFS($O$2:$O$29,$A$41,$D$2:$D$29,C39)</f>
        <v>0</v>
      </c>
      <c r="D41" s="53">
        <v>0</v>
      </c>
      <c r="E41" s="263">
        <f>SUM(C41:D41)</f>
        <v>0</v>
      </c>
      <c r="F41" s="198"/>
      <c r="G41" s="198"/>
      <c r="H41" s="198"/>
      <c r="I41" s="1465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346"/>
      <c r="V41" s="346"/>
      <c r="W41" s="195"/>
      <c r="X41" s="195"/>
      <c r="Y41" s="315"/>
      <c r="Z41" s="283"/>
      <c r="AA41" s="315"/>
      <c r="AB41" s="195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  <c r="AP41" s="188"/>
      <c r="AQ41" s="188"/>
      <c r="AR41" s="188"/>
      <c r="AS41" s="188"/>
      <c r="AT41" s="188"/>
    </row>
    <row r="42" spans="1:47" ht="15.75" thickBot="1">
      <c r="A42" s="1988" t="s">
        <v>138</v>
      </c>
      <c r="B42" s="1989"/>
      <c r="C42" s="138">
        <f>COUNTIFS(O2:O29,"",D2:D29,C39)</f>
        <v>14</v>
      </c>
      <c r="D42" s="138">
        <f>COUNTIFS(O2:O29,"",D2:D29,D39)</f>
        <v>14</v>
      </c>
      <c r="E42" s="377">
        <f>SUM(C42:D42)</f>
        <v>28</v>
      </c>
      <c r="F42" s="198"/>
      <c r="G42" s="198"/>
      <c r="H42" s="198"/>
      <c r="I42" s="1465"/>
      <c r="J42" s="1890" t="s">
        <v>17437</v>
      </c>
      <c r="K42" s="1891"/>
      <c r="L42" s="1891"/>
      <c r="M42" s="1892"/>
      <c r="N42" s="40"/>
      <c r="O42" s="40"/>
      <c r="P42" s="1890" t="s">
        <v>17441</v>
      </c>
      <c r="Q42" s="1891"/>
      <c r="R42" s="1892"/>
      <c r="S42" s="40"/>
      <c r="T42" s="40"/>
      <c r="U42" s="40"/>
      <c r="V42" s="346"/>
      <c r="W42" s="283"/>
      <c r="X42" s="315"/>
      <c r="Y42" s="195"/>
      <c r="Z42" s="195"/>
      <c r="AA42" s="315"/>
      <c r="AB42" s="283"/>
      <c r="AC42" s="315"/>
      <c r="AD42" s="195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  <c r="AP42" s="188"/>
      <c r="AQ42" s="188"/>
      <c r="AR42" s="188"/>
      <c r="AS42" s="188"/>
      <c r="AT42" s="188"/>
    </row>
    <row r="43" spans="1:47" ht="15.75" thickBot="1">
      <c r="A43" s="1990" t="s">
        <v>210</v>
      </c>
      <c r="B43" s="1991"/>
      <c r="C43" s="202">
        <f>COUNTIFS(O2:O29,A43,D2:D29,C39)</f>
        <v>0</v>
      </c>
      <c r="D43" s="202">
        <v>0</v>
      </c>
      <c r="E43" s="378">
        <f>SUM(C43:D43)</f>
        <v>0</v>
      </c>
      <c r="F43" s="198"/>
      <c r="G43" s="198"/>
      <c r="H43" s="198"/>
      <c r="I43" s="1465"/>
      <c r="J43" s="1150"/>
      <c r="K43" s="1011" t="s">
        <v>17438</v>
      </c>
      <c r="L43" s="1011">
        <v>2025</v>
      </c>
      <c r="M43" s="1011" t="s">
        <v>17444</v>
      </c>
      <c r="N43" s="40"/>
      <c r="O43" s="40"/>
      <c r="P43" s="1010"/>
      <c r="Q43" s="1011" t="s">
        <v>17438</v>
      </c>
      <c r="R43" s="1011">
        <v>2025</v>
      </c>
      <c r="S43" s="40"/>
      <c r="T43" s="40"/>
      <c r="U43" s="40"/>
      <c r="V43" s="346"/>
      <c r="W43" s="283"/>
      <c r="X43" s="315"/>
      <c r="Y43" s="195"/>
      <c r="Z43" s="195"/>
      <c r="AA43" s="315"/>
      <c r="AB43" s="283"/>
      <c r="AC43" s="315"/>
      <c r="AD43" s="195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  <c r="AP43" s="188"/>
      <c r="AQ43" s="188"/>
      <c r="AR43" s="188"/>
      <c r="AS43" s="188"/>
      <c r="AT43" s="188"/>
    </row>
    <row r="44" spans="1:47" ht="15.75" thickBot="1">
      <c r="A44" s="1992" t="s">
        <v>141</v>
      </c>
      <c r="B44" s="1993"/>
      <c r="C44" s="56">
        <f>SUM(C40:C43)</f>
        <v>14</v>
      </c>
      <c r="D44" s="56">
        <v>5</v>
      </c>
      <c r="E44" s="264">
        <f>SUM(E40:E43)</f>
        <v>28</v>
      </c>
      <c r="F44" s="198"/>
      <c r="G44" s="198"/>
      <c r="H44" s="198"/>
      <c r="I44" s="644"/>
      <c r="J44" s="436"/>
      <c r="K44" s="129" cm="1">
        <f t="array" ref="K44">COUNTIFS(O2:O29,CPCV,AE2:AE29,J44)</f>
        <v>0</v>
      </c>
      <c r="L44" s="129">
        <f>COUNTIFS(X2:X29,"&gt;="&amp;DATE(2024,1,1),X2:X29,"&lt;="&amp;DATE(2024,12,31),AE2:AE29,J44)</f>
        <v>0</v>
      </c>
      <c r="M44" s="129" t="e">
        <f>K44/(K44+K45+K46)</f>
        <v>#DIV/0!</v>
      </c>
      <c r="N44" s="40"/>
      <c r="O44" s="40"/>
      <c r="P44" s="34" t="s">
        <v>265</v>
      </c>
      <c r="Q44" s="719" cm="1">
        <f t="array" ref="Q44">COUNTIFS(O2:O29,CPCV,AK2:AK29,P44)</f>
        <v>0</v>
      </c>
      <c r="R44" s="129">
        <f>COUNTIFS(X2:X29,"&gt;="&amp;DATE(2024,1,1),X2:X29,"&lt;="&amp;DATE(2024,12,31),AK2:AK29,P44)</f>
        <v>0</v>
      </c>
      <c r="S44" s="192"/>
      <c r="T44" s="40"/>
      <c r="U44" s="40"/>
      <c r="V44" s="346"/>
      <c r="W44" s="283"/>
      <c r="X44" s="315"/>
      <c r="Y44" s="195"/>
      <c r="Z44" s="195"/>
      <c r="AA44" s="315"/>
      <c r="AB44" s="283"/>
      <c r="AC44" s="315"/>
      <c r="AD44" s="195"/>
      <c r="AE44" s="188">
        <v>248640</v>
      </c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</row>
    <row r="45" spans="1:47">
      <c r="A45" s="198"/>
      <c r="B45" s="198"/>
      <c r="C45" s="198"/>
      <c r="D45" s="198"/>
      <c r="E45" s="357"/>
      <c r="F45" s="198"/>
      <c r="G45" s="198"/>
      <c r="H45" s="198"/>
      <c r="I45" s="644"/>
      <c r="J45" s="1001"/>
      <c r="K45" s="129" cm="1">
        <f t="array" ref="K45">COUNTIFS(O2:O29,CPCV,AE2:AE29,J45)</f>
        <v>0</v>
      </c>
      <c r="L45" s="129">
        <f>COUNTIFS(X2:X29,"&gt;="&amp;DATE(2024,1,1),X2:X29,"&lt;="&amp;DATE(2024,12,31),AE2:AE29,J45)</f>
        <v>0</v>
      </c>
      <c r="M45" s="343" t="e">
        <f>K45/(K44+K45+K46)</f>
        <v>#DIV/0!</v>
      </c>
      <c r="N45" s="1526"/>
      <c r="O45" s="40"/>
      <c r="P45" s="34" t="s">
        <v>517</v>
      </c>
      <c r="Q45" s="719" cm="1">
        <f t="array" ref="Q45">COUNTIFS(O2:O29,CPCV,AK2:AK29,P45)</f>
        <v>0</v>
      </c>
      <c r="R45" s="129">
        <f>COUNTIFS(X2:X29,"&gt;="&amp;DATE(2024,1,1),X2:X29,"&lt;="&amp;DATE(2024,12,31),AK2:AK29,P45)</f>
        <v>0</v>
      </c>
      <c r="S45" s="192"/>
      <c r="T45" s="40"/>
      <c r="U45" s="40"/>
      <c r="V45" s="346"/>
      <c r="W45" s="283"/>
      <c r="X45" s="315"/>
      <c r="Y45" s="195"/>
      <c r="Z45" s="195"/>
      <c r="AA45" s="315"/>
      <c r="AB45" s="283"/>
      <c r="AC45" s="315"/>
      <c r="AD45" s="195"/>
      <c r="AE45" s="315">
        <v>33100</v>
      </c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8"/>
      <c r="AQ45" s="188"/>
      <c r="AR45" s="188"/>
      <c r="AS45" s="188"/>
      <c r="AT45" s="188"/>
    </row>
    <row r="46" spans="1:47" ht="15.75" thickBot="1">
      <c r="A46" s="198"/>
      <c r="B46" s="198"/>
      <c r="C46" s="198"/>
      <c r="D46" s="198"/>
      <c r="E46" s="332"/>
      <c r="F46" s="198"/>
      <c r="G46" s="198"/>
      <c r="H46" s="198"/>
      <c r="I46" s="1706"/>
      <c r="J46" s="1001"/>
      <c r="K46" s="129" cm="1">
        <f t="array" ref="K46">COUNTIFS(O2:O29,CPCV,AE2:AE29,J46)</f>
        <v>0</v>
      </c>
      <c r="L46" s="129">
        <f>COUNTIFS(X2:X29,"&gt;="&amp;DATE(2024,1,1),X2:X29,"&lt;="&amp;DATE(2024,12,31),AE2:AE29,J46)</f>
        <v>0</v>
      </c>
      <c r="M46" s="343" t="e">
        <f>K46/(K44+K45+K46)</f>
        <v>#DIV/0!</v>
      </c>
      <c r="N46" s="1526"/>
      <c r="O46" s="40"/>
      <c r="P46" s="34" t="s">
        <v>565</v>
      </c>
      <c r="Q46" s="719" cm="1">
        <f t="array" ref="Q46">COUNTIFS(O2:O29,CPCV,AK2:AK29,P46)</f>
        <v>0</v>
      </c>
      <c r="R46" s="129">
        <f>COUNTIFS(X2:X29,"&gt;="&amp;DATE(2024,1,1),X2:X29,"&lt;="&amp;DATE(2024,12,31),AK2:AK29,P46)</f>
        <v>0</v>
      </c>
      <c r="S46" s="192"/>
      <c r="T46" s="40"/>
      <c r="U46" s="40"/>
      <c r="V46" s="346"/>
      <c r="W46" s="195"/>
      <c r="X46" s="283"/>
      <c r="Y46" s="315"/>
      <c r="Z46" s="195"/>
      <c r="AA46" s="195"/>
      <c r="AB46" s="315"/>
      <c r="AC46" s="283"/>
      <c r="AD46" s="315"/>
      <c r="AE46" s="195"/>
      <c r="AF46" s="315">
        <f>(20%*AE44)-AE45</f>
        <v>16628</v>
      </c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</row>
    <row r="47" spans="1:47">
      <c r="A47" s="1994" t="s">
        <v>142</v>
      </c>
      <c r="B47" s="1995"/>
      <c r="C47" s="48" t="s">
        <v>91</v>
      </c>
      <c r="D47" s="48" t="s">
        <v>89</v>
      </c>
      <c r="E47" s="359" t="s">
        <v>141</v>
      </c>
      <c r="F47" s="198"/>
      <c r="G47" s="198"/>
      <c r="H47" s="198"/>
      <c r="I47" s="1706"/>
      <c r="J47" s="644"/>
      <c r="K47" s="40"/>
      <c r="L47" s="40"/>
      <c r="M47" s="40"/>
      <c r="N47" s="40"/>
      <c r="O47" s="40"/>
      <c r="P47" s="22" t="s">
        <v>563</v>
      </c>
      <c r="Q47" s="719" cm="1">
        <f t="array" ref="Q47">COUNTIFS(O2:O29,CPCV,AK2:AK29,P47)</f>
        <v>0</v>
      </c>
      <c r="R47" s="5">
        <f>COUNTIFS(X2:X29,"&gt;="&amp;DATE(2024,1,1),X2:X29,"&lt;="&amp;DATE(2024,12,31),AK2:AK29,P47)</f>
        <v>0</v>
      </c>
      <c r="S47" s="192"/>
      <c r="T47" s="40"/>
      <c r="U47" s="40"/>
      <c r="V47" s="346"/>
      <c r="W47" s="195"/>
      <c r="X47" s="283"/>
      <c r="Y47" s="315"/>
      <c r="Z47" s="195"/>
      <c r="AA47" s="195"/>
      <c r="AB47" s="315"/>
      <c r="AC47" s="283"/>
      <c r="AD47" s="315"/>
      <c r="AE47" s="195"/>
      <c r="AF47" s="315">
        <f>AE44-AE45-AF46</f>
        <v>198912</v>
      </c>
      <c r="AG47" s="188"/>
      <c r="AH47" s="188"/>
      <c r="AI47" s="188"/>
      <c r="AJ47" s="188"/>
      <c r="AK47" s="188"/>
      <c r="AL47" s="188"/>
      <c r="AM47" s="188"/>
      <c r="AN47" s="188"/>
      <c r="AO47" s="188"/>
      <c r="AP47" s="188"/>
      <c r="AQ47" s="188"/>
      <c r="AR47" s="188"/>
      <c r="AS47" s="188"/>
      <c r="AT47" s="188"/>
      <c r="AU47" s="188"/>
    </row>
    <row r="48" spans="1:47">
      <c r="A48" s="1996" t="s">
        <v>258</v>
      </c>
      <c r="B48" s="1997"/>
      <c r="C48" s="51" t="e">
        <f>AVERAGEIFS(T2:T29,O2:O29,A48,D2:D29,C47)</f>
        <v>#DIV/0!</v>
      </c>
      <c r="D48" s="51" t="e">
        <f>AVERAGEIFS(T2:T29,O2:O29,A48,D2:D29,D47)</f>
        <v>#DIV/0!</v>
      </c>
      <c r="E48" s="76" t="e">
        <f>AVERAGEIF(O2:O29,A48,T2:T29)</f>
        <v>#DIV/0!</v>
      </c>
      <c r="F48" s="198"/>
      <c r="G48" s="198"/>
      <c r="H48" s="198"/>
      <c r="I48" s="1706"/>
      <c r="J48" s="644"/>
      <c r="K48" s="40"/>
      <c r="L48" s="40"/>
      <c r="M48" s="40"/>
      <c r="N48" s="40"/>
      <c r="O48" s="40"/>
      <c r="P48" s="130" t="s">
        <v>730</v>
      </c>
      <c r="Q48" s="719" cm="1">
        <f t="array" ref="Q48">COUNTIFS(O2:O29,CPCV,AK2:AK29,P48)</f>
        <v>0</v>
      </c>
      <c r="R48" s="5">
        <f>COUNTIFS(X2:X29,"&gt;="&amp;DATE(2024,1,1),X2:X29,"&lt;="&amp;DATE(2024,12,31),AK2:AK29,P48)</f>
        <v>0</v>
      </c>
      <c r="S48" s="192"/>
      <c r="T48" s="40"/>
      <c r="U48" s="40"/>
      <c r="V48" s="346"/>
      <c r="W48" s="195"/>
      <c r="X48" s="283"/>
      <c r="Y48" s="315"/>
      <c r="Z48" s="195"/>
      <c r="AA48" s="195"/>
      <c r="AB48" s="315"/>
      <c r="AC48" s="283"/>
      <c r="AD48" s="315"/>
      <c r="AE48" s="195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  <c r="AP48" s="188"/>
      <c r="AQ48" s="188"/>
      <c r="AR48" s="188"/>
      <c r="AS48" s="188"/>
      <c r="AT48" s="188"/>
      <c r="AU48" s="188"/>
    </row>
    <row r="49" spans="1:47">
      <c r="A49" s="2002" t="s">
        <v>102</v>
      </c>
      <c r="B49" s="2003"/>
      <c r="C49" s="54" t="e">
        <f>AVERAGEIFS($U$2:$U$29,$O$2:$O$29,$A$49,$D$2:$D$29,C47)</f>
        <v>#DIV/0!</v>
      </c>
      <c r="D49" s="54" t="e">
        <f>AVERAGEIFS($U$2:$U$29,$O$2:$O$29,$A$49,$D$2:$D$29,D47)</f>
        <v>#DIV/0!</v>
      </c>
      <c r="E49" s="78" t="e">
        <f>AVERAGEIF(O2:O29,A49,U2:U29)</f>
        <v>#DIV/0!</v>
      </c>
      <c r="F49" s="198"/>
      <c r="G49" s="198"/>
      <c r="H49" s="198"/>
      <c r="I49" s="1706"/>
      <c r="J49" s="644"/>
      <c r="K49" s="40"/>
      <c r="L49" s="40"/>
      <c r="M49" s="40"/>
      <c r="N49" s="40"/>
      <c r="O49" s="40"/>
      <c r="P49" s="5" t="s">
        <v>17219</v>
      </c>
      <c r="Q49" s="719" cm="1">
        <f t="array" ref="Q49">COUNTIFS(O2:O29,CPCV,AK2:AK29,P49)</f>
        <v>0</v>
      </c>
      <c r="R49" s="5">
        <f>COUNTIFS(X2:X29,"&gt;="&amp;DATE(2024,1,1),X2:X29,"&lt;="&amp;DATE(2024,12,31),AK2:AK29,P49)</f>
        <v>0</v>
      </c>
      <c r="S49" s="192"/>
      <c r="T49" s="40"/>
      <c r="U49" s="40"/>
      <c r="V49" s="346"/>
      <c r="W49" s="195"/>
      <c r="X49" s="283"/>
      <c r="Y49" s="315"/>
      <c r="Z49" s="195"/>
      <c r="AA49" s="195"/>
      <c r="AB49" s="315"/>
      <c r="AC49" s="283"/>
      <c r="AD49" s="315"/>
      <c r="AE49" s="195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  <c r="AP49" s="188"/>
      <c r="AQ49" s="188"/>
      <c r="AR49" s="188"/>
      <c r="AS49" s="188"/>
      <c r="AT49" s="188"/>
      <c r="AU49" s="188"/>
    </row>
    <row r="50" spans="1:47">
      <c r="A50" s="2004" t="s">
        <v>138</v>
      </c>
      <c r="B50" s="2005"/>
      <c r="C50" s="80">
        <f>AVERAGEIFS($U$2:$U$29,$O$2:$O$29,"",$D$2:$D$29,C47)</f>
        <v>4085.1327776700914</v>
      </c>
      <c r="D50" s="80">
        <f>AVERAGEIFS($U$2:$U$29,$O$2:$O$29,"",$D$2:$D$29,D47)</f>
        <v>3599.8439933372151</v>
      </c>
      <c r="E50" s="81">
        <f>AVERAGEIF(O2:O29,"",U2:U29)</f>
        <v>3842.4883855036542</v>
      </c>
      <c r="F50" s="198"/>
      <c r="G50" s="198"/>
      <c r="H50" s="198"/>
      <c r="I50" s="1706"/>
      <c r="J50" s="644"/>
      <c r="K50" s="40"/>
      <c r="L50" s="40"/>
      <c r="M50" s="40"/>
      <c r="N50" s="40"/>
      <c r="O50" s="40"/>
      <c r="P50" s="5" t="s">
        <v>17421</v>
      </c>
      <c r="Q50" s="719" cm="1">
        <f t="array" ref="Q50">COUNTIFS(O2:O29,CPCV,AK2:AK29,P50)</f>
        <v>0</v>
      </c>
      <c r="R50" s="5">
        <f>COUNTIFS(X2:X29,"&gt;="&amp;DATE(2024,1,1),X2:X29,"&lt;="&amp;DATE(2024,12,31),AK2:AK29,P50)</f>
        <v>0</v>
      </c>
      <c r="S50" s="192"/>
      <c r="T50" s="40"/>
      <c r="U50" s="40"/>
      <c r="V50" s="346"/>
      <c r="W50" s="195"/>
      <c r="X50" s="283"/>
      <c r="Y50" s="315"/>
      <c r="Z50" s="195"/>
      <c r="AA50" s="195"/>
      <c r="AB50" s="315"/>
      <c r="AC50" s="283"/>
      <c r="AD50" s="315"/>
      <c r="AE50" s="195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  <c r="AP50" s="188"/>
      <c r="AQ50" s="188"/>
      <c r="AR50" s="188"/>
      <c r="AS50" s="188"/>
      <c r="AT50" s="188"/>
      <c r="AU50" s="188"/>
    </row>
    <row r="51" spans="1:47" ht="15.75" thickBot="1">
      <c r="A51" s="2000" t="s">
        <v>210</v>
      </c>
      <c r="B51" s="2001"/>
      <c r="C51" s="60" t="e">
        <f>AVERAGEIFS($T$2:$T$29,$O$2:$O$29,$A$51,$D$2:$D$29,C47)</f>
        <v>#DIV/0!</v>
      </c>
      <c r="D51" s="60" t="e">
        <f>AVERAGEIFS($T$2:$T$29,$O$2:$O$29,$A$51,$D$2:$D$29,D47)</f>
        <v>#DIV/0!</v>
      </c>
      <c r="E51" s="83" t="e">
        <f>AVERAGEIF(O2:O29,A51,T2:T29)</f>
        <v>#DIV/0!</v>
      </c>
      <c r="F51" s="198"/>
      <c r="G51" s="198"/>
      <c r="H51" s="198"/>
      <c r="I51" s="1706"/>
      <c r="J51" s="1147"/>
      <c r="K51" s="192"/>
      <c r="L51" s="192"/>
      <c r="M51" s="192"/>
      <c r="N51" s="192"/>
      <c r="O51" s="192"/>
      <c r="P51" s="192"/>
      <c r="Q51" s="346"/>
      <c r="R51" s="346"/>
      <c r="S51" s="346"/>
      <c r="T51" s="192"/>
      <c r="U51" s="192"/>
      <c r="V51" s="346"/>
      <c r="W51" s="195"/>
      <c r="X51" s="283"/>
      <c r="Y51" s="315"/>
      <c r="Z51" s="195"/>
      <c r="AA51" s="195"/>
      <c r="AB51" s="315"/>
      <c r="AC51" s="283"/>
      <c r="AD51" s="315"/>
      <c r="AE51" s="195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  <c r="AP51" s="188"/>
      <c r="AQ51" s="188"/>
      <c r="AR51" s="188"/>
      <c r="AS51" s="188"/>
      <c r="AT51" s="188"/>
      <c r="AU51" s="188"/>
    </row>
    <row r="52" spans="1:47" ht="15.75" thickBot="1">
      <c r="A52" s="188"/>
      <c r="B52" s="188"/>
      <c r="C52" s="188"/>
      <c r="D52" s="188"/>
      <c r="E52" s="195"/>
      <c r="F52" s="198"/>
      <c r="G52" s="198"/>
      <c r="H52" s="198"/>
      <c r="I52" s="1706"/>
      <c r="J52" s="1147"/>
      <c r="K52" s="1706"/>
      <c r="L52" s="1147"/>
      <c r="M52" s="1706"/>
      <c r="N52" s="1147"/>
      <c r="O52" s="1706"/>
      <c r="P52" s="1147"/>
      <c r="Q52" s="1706"/>
      <c r="R52" s="1147"/>
      <c r="S52" s="1706"/>
      <c r="T52" s="1147"/>
      <c r="U52" s="1706"/>
      <c r="V52" s="1147"/>
      <c r="W52" s="195"/>
      <c r="X52" s="283"/>
      <c r="Y52" s="315"/>
      <c r="Z52" s="195"/>
      <c r="AA52" s="195"/>
      <c r="AB52" s="315"/>
      <c r="AC52" s="283"/>
      <c r="AD52" s="315"/>
      <c r="AE52" s="195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  <c r="AP52" s="188"/>
      <c r="AQ52" s="188"/>
      <c r="AR52" s="188"/>
      <c r="AS52" s="188"/>
      <c r="AT52" s="188"/>
      <c r="AU52" s="188"/>
    </row>
    <row r="53" spans="1:47">
      <c r="A53" s="1994" t="s">
        <v>192</v>
      </c>
      <c r="B53" s="1995"/>
      <c r="C53" s="48" t="s">
        <v>91</v>
      </c>
      <c r="D53" s="48" t="s">
        <v>89</v>
      </c>
      <c r="E53" s="1459" t="s">
        <v>141</v>
      </c>
      <c r="F53" s="198"/>
      <c r="G53" s="198"/>
      <c r="H53" s="198"/>
      <c r="I53" s="1706"/>
      <c r="J53" s="1147"/>
      <c r="K53" s="1706"/>
      <c r="L53" s="1147"/>
      <c r="M53" s="1706"/>
      <c r="N53" s="1147"/>
      <c r="O53" s="1706"/>
      <c r="P53" s="1147"/>
      <c r="Q53" s="1706"/>
      <c r="R53" s="1147"/>
      <c r="S53" s="1706"/>
      <c r="T53" s="1147"/>
      <c r="U53" s="1706"/>
      <c r="V53" s="1147"/>
      <c r="W53" s="195"/>
      <c r="X53" s="283"/>
      <c r="Y53" s="315"/>
      <c r="Z53" s="195"/>
      <c r="AA53" s="195"/>
      <c r="AB53" s="315"/>
      <c r="AC53" s="283"/>
      <c r="AD53" s="315"/>
      <c r="AE53" s="195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  <c r="AP53" s="188"/>
      <c r="AQ53" s="188"/>
      <c r="AR53" s="188"/>
      <c r="AS53" s="188"/>
      <c r="AT53" s="188"/>
      <c r="AU53" s="188"/>
    </row>
    <row r="54" spans="1:47">
      <c r="A54" s="1996" t="s">
        <v>258</v>
      </c>
      <c r="B54" s="1997"/>
      <c r="C54" s="51" t="e">
        <f>AVERAGEIFS($P$2:$P$29,$O$2:$O$29,$A$54,$D$2:$D$29,C53)</f>
        <v>#DIV/0!</v>
      </c>
      <c r="D54" s="51" t="e">
        <f>AVERAGEIFS($P$2:$P$29,$O$2:$O$29,$A$54,$D$2:$D$29,D53)</f>
        <v>#DIV/0!</v>
      </c>
      <c r="E54" s="76" t="e">
        <f>AVERAGEIF(O2:O29,A54,P2:P29)</f>
        <v>#DIV/0!</v>
      </c>
      <c r="F54" s="198"/>
      <c r="G54" s="198"/>
      <c r="H54" s="198"/>
      <c r="W54" s="195"/>
      <c r="X54" s="283"/>
      <c r="Y54" s="315"/>
      <c r="Z54" s="195"/>
      <c r="AA54" s="195"/>
      <c r="AB54" s="315"/>
      <c r="AC54" s="283"/>
      <c r="AD54" s="315"/>
      <c r="AE54" s="195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  <c r="AP54" s="188"/>
      <c r="AQ54" s="188"/>
      <c r="AR54" s="188"/>
      <c r="AS54" s="188"/>
      <c r="AT54" s="188"/>
      <c r="AU54" s="188"/>
    </row>
    <row r="55" spans="1:47">
      <c r="A55" s="2002" t="s">
        <v>102</v>
      </c>
      <c r="B55" s="2003"/>
      <c r="C55" s="54" t="e">
        <f>AVERAGEIFS(P2:P29,O2:O29,A55,D2:D29,C53)</f>
        <v>#DIV/0!</v>
      </c>
      <c r="D55" s="54" t="e">
        <f>AVERAGEIFS(P2:P29,O2:O29,A55,D2:D29,D53)</f>
        <v>#DIV/0!</v>
      </c>
      <c r="E55" s="78" t="e">
        <f>AVERAGEIF(O2:O29,A55,Q2:Q29)</f>
        <v>#DIV/0!</v>
      </c>
      <c r="F55" s="198"/>
      <c r="G55" s="198"/>
      <c r="H55" s="198"/>
      <c r="I55" s="198"/>
      <c r="W55" s="195"/>
      <c r="X55" s="283"/>
      <c r="Y55" s="315"/>
      <c r="Z55" s="195"/>
      <c r="AA55" s="195"/>
      <c r="AB55" s="315"/>
      <c r="AC55" s="283"/>
      <c r="AD55" s="315"/>
      <c r="AE55" s="195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  <c r="AP55" s="188"/>
      <c r="AQ55" s="188"/>
      <c r="AR55" s="188"/>
      <c r="AS55" s="188"/>
      <c r="AT55" s="188"/>
      <c r="AU55" s="188"/>
    </row>
    <row r="56" spans="1:47" ht="15.75" thickBot="1">
      <c r="A56" s="1998" t="s">
        <v>138</v>
      </c>
      <c r="B56" s="1999"/>
      <c r="C56" s="85">
        <f>AVERAGEIFS($Q$2:$Q$29,$O$2:$O$29,"",$D$2:$D$29,C53)</f>
        <v>405257.14285714284</v>
      </c>
      <c r="D56" s="85">
        <f>AVERAGEIFS($Q$2:$Q$29,$O$2:$O$29,"",$D$2:$D$29,D53)</f>
        <v>500982.85714285716</v>
      </c>
      <c r="E56" s="86">
        <f>AVERAGEIF(O2:O29,"",Q2:Q29)</f>
        <v>453120</v>
      </c>
      <c r="F56" s="198"/>
      <c r="G56" s="198"/>
      <c r="H56" s="198"/>
      <c r="I56" s="198"/>
      <c r="W56" s="195"/>
      <c r="X56" s="283"/>
      <c r="Y56" s="315"/>
      <c r="Z56" s="195"/>
      <c r="AA56" s="195"/>
      <c r="AB56" s="315"/>
      <c r="AC56" s="283"/>
      <c r="AD56" s="315"/>
      <c r="AE56" s="195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  <c r="AP56" s="188"/>
      <c r="AQ56" s="188"/>
      <c r="AR56" s="188"/>
      <c r="AS56" s="188"/>
      <c r="AT56" s="188"/>
      <c r="AU56" s="188"/>
    </row>
    <row r="57" spans="1:47" ht="15.75" thickBot="1">
      <c r="A57" s="2000" t="s">
        <v>210</v>
      </c>
      <c r="B57" s="2001"/>
      <c r="C57" s="60" t="e">
        <f>AVERAGEIFS(P2:P29,O2:O29,A57,D2:D29,C53)</f>
        <v>#DIV/0!</v>
      </c>
      <c r="D57" s="60" t="e">
        <f>AVERAGEIFS(P2:P29,O2:O29,A57,D2:D29,D53)</f>
        <v>#DIV/0!</v>
      </c>
      <c r="E57" s="83" t="e">
        <f>AVERAGEIF(O2:O29,A57,P2:P29)</f>
        <v>#DIV/0!</v>
      </c>
      <c r="F57" s="198"/>
      <c r="G57" s="198"/>
      <c r="H57" s="198"/>
      <c r="I57" s="647"/>
      <c r="W57" s="283"/>
      <c r="X57" s="315"/>
      <c r="Y57" s="195"/>
      <c r="Z57" s="195"/>
      <c r="AA57" s="315"/>
      <c r="AB57" s="283"/>
      <c r="AC57" s="315"/>
      <c r="AD57" s="195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  <c r="AP57" s="188"/>
      <c r="AQ57" s="188"/>
      <c r="AR57" s="188"/>
      <c r="AS57" s="188"/>
      <c r="AT57" s="188"/>
    </row>
    <row r="58" spans="1:47" ht="15.75" thickBot="1"/>
    <row r="59" spans="1:47">
      <c r="A59" s="1994" t="s">
        <v>299</v>
      </c>
      <c r="B59" s="1995"/>
      <c r="C59" s="48" t="s">
        <v>91</v>
      </c>
      <c r="D59" s="48" t="s">
        <v>89</v>
      </c>
      <c r="E59" s="1459" t="s">
        <v>141</v>
      </c>
    </row>
    <row r="60" spans="1:47">
      <c r="A60" s="1996" t="s">
        <v>258</v>
      </c>
      <c r="B60" s="1997"/>
      <c r="C60" s="258" t="e">
        <f>AVERAGEIFS($K$2:$K$29,$O$2:$O$29,$A$60,$D$2:$D$29,C59)</f>
        <v>#DIV/0!</v>
      </c>
      <c r="D60" s="258" t="e">
        <f>AVERAGEIFS($K$2:$K$29,$O$2:$O$29,$A$60,$D$2:$D$29,D59)</f>
        <v>#DIV/0!</v>
      </c>
      <c r="E60" s="260" t="e">
        <f>AVERAGEIF(O2:O29,A60,K2:K29)</f>
        <v>#DIV/0!</v>
      </c>
    </row>
    <row r="61" spans="1:47">
      <c r="A61" s="2002" t="s">
        <v>102</v>
      </c>
      <c r="B61" s="2003"/>
      <c r="C61" s="261" t="e">
        <f>AVERAGEIFS($K$2:$K$29,$O$2:$O$29,A61,$D$2:$D$29,C59)</f>
        <v>#DIV/0!</v>
      </c>
      <c r="D61" s="261" t="e">
        <f>AVERAGEIFS($K$2:$K$29,$O$2:$O$29,A61,$D$2:$D$29,D59)</f>
        <v>#DIV/0!</v>
      </c>
      <c r="E61" s="263" t="e">
        <f>AVERAGEIF(O2:O29,A61,K2:K29)</f>
        <v>#DIV/0!</v>
      </c>
    </row>
    <row r="62" spans="1:47" ht="15.75" thickBot="1">
      <c r="A62" s="1998" t="s">
        <v>138</v>
      </c>
      <c r="B62" s="1999"/>
      <c r="C62" s="221">
        <f>AVERAGEIFS($K$2:$K$29,$O$2:$O$29,"",$D$2:$D$29,C59)</f>
        <v>99.214285714285708</v>
      </c>
      <c r="D62" s="221">
        <f>AVERAGEIFS($K$2:$K$29,$O$2:$O$29,"",$D$2:$D$29,D59)</f>
        <v>139.42857142857142</v>
      </c>
      <c r="E62" s="264">
        <f>AVERAGEIF(O2:O29,"",K2:K29)</f>
        <v>119.32142857142857</v>
      </c>
    </row>
    <row r="63" spans="1:47" ht="15.75" thickBot="1">
      <c r="A63" s="2000" t="s">
        <v>210</v>
      </c>
      <c r="B63" s="2001"/>
      <c r="C63" s="265" t="e">
        <f>AVERAGEIFS($K$2:$K$29,$O$2:$O$29,A63,$D$2:$D$29,C59)</f>
        <v>#DIV/0!</v>
      </c>
      <c r="D63" s="265" t="e">
        <f>AVERAGEIFS($K$2:$K$29,$O$2:$O$29,B63,$D$2:$D$29,D59)</f>
        <v>#DIV/0!</v>
      </c>
      <c r="E63" s="267" t="e">
        <f>AVERAGEIF(O2:O29,A63,K2:K29)</f>
        <v>#DIV/0!</v>
      </c>
      <c r="N63">
        <f>0.375%*450000</f>
        <v>1687.5</v>
      </c>
    </row>
  </sheetData>
  <autoFilter ref="A1:AU51" xr:uid="{6AC597A5-CE3C-46C0-8830-0A78BE6958F4}"/>
  <mergeCells count="31">
    <mergeCell ref="G32:H32"/>
    <mergeCell ref="A33:B33"/>
    <mergeCell ref="A34:B34"/>
    <mergeCell ref="A35:B35"/>
    <mergeCell ref="A36:B36"/>
    <mergeCell ref="P42:R42"/>
    <mergeCell ref="A47:B47"/>
    <mergeCell ref="A48:B48"/>
    <mergeCell ref="A49:B49"/>
    <mergeCell ref="A37:B37"/>
    <mergeCell ref="A39:B39"/>
    <mergeCell ref="A40:B40"/>
    <mergeCell ref="A41:B41"/>
    <mergeCell ref="A42:B42"/>
    <mergeCell ref="A43:B43"/>
    <mergeCell ref="A62:B62"/>
    <mergeCell ref="A63:B63"/>
    <mergeCell ref="A57:B57"/>
    <mergeCell ref="J33:V33"/>
    <mergeCell ref="J36:V36"/>
    <mergeCell ref="A59:B59"/>
    <mergeCell ref="A60:B60"/>
    <mergeCell ref="A61:B61"/>
    <mergeCell ref="A50:B50"/>
    <mergeCell ref="A51:B51"/>
    <mergeCell ref="A53:B53"/>
    <mergeCell ref="A54:B54"/>
    <mergeCell ref="A55:B55"/>
    <mergeCell ref="A56:B56"/>
    <mergeCell ref="A44:B44"/>
    <mergeCell ref="J42:M42"/>
  </mergeCells>
  <conditionalFormatting sqref="W1:W13 W15:W19 W21:W29 X30:X33 X36 W39 W42:W45 X46:X56 W57">
    <cfRule type="cellIs" dxfId="2" priority="1" operator="lessThan">
      <formula>TODAY()-15</formula>
    </cfRule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5415B-64C3-40E2-8DFB-83E2C339E978}">
  <sheetPr>
    <tabColor theme="5" tint="0.79998168889431442"/>
  </sheetPr>
  <dimension ref="A1:BW78"/>
  <sheetViews>
    <sheetView zoomScale="120" zoomScaleNormal="120" workbookViewId="0">
      <selection activeCell="Q31" sqref="Q2:Q31"/>
    </sheetView>
  </sheetViews>
  <sheetFormatPr defaultColWidth="10.5703125" defaultRowHeight="12.75"/>
  <cols>
    <col min="1" max="1" width="8.85546875" style="188" bestFit="1" customWidth="1"/>
    <col min="2" max="2" width="11.85546875" style="188" bestFit="1" customWidth="1"/>
    <col min="3" max="3" width="11.85546875" style="188" customWidth="1"/>
    <col min="4" max="4" width="11.28515625" style="188" bestFit="1" customWidth="1"/>
    <col min="5" max="5" width="11.28515625" style="188" customWidth="1"/>
    <col min="6" max="6" width="13.42578125" style="188" customWidth="1"/>
    <col min="7" max="7" width="13.28515625" style="188" customWidth="1"/>
    <col min="8" max="8" width="15.28515625" style="647" customWidth="1"/>
    <col min="9" max="9" width="8.28515625" style="188" customWidth="1"/>
    <col min="10" max="10" width="17.5703125" style="188" customWidth="1"/>
    <col min="11" max="11" width="16.140625" style="188" customWidth="1"/>
    <col min="12" max="12" width="9" style="188" customWidth="1"/>
    <col min="13" max="14" width="11.5703125" style="188" customWidth="1"/>
    <col min="15" max="15" width="10" style="188" customWidth="1"/>
    <col min="16" max="16" width="15.28515625" style="195" customWidth="1"/>
    <col min="17" max="17" width="12.7109375" style="188" customWidth="1"/>
    <col min="18" max="18" width="11" style="188" customWidth="1"/>
    <col min="19" max="19" width="10.7109375" style="188" customWidth="1"/>
    <col min="20" max="20" width="14" style="188" customWidth="1"/>
    <col min="21" max="22" width="14" style="195" customWidth="1"/>
    <col min="23" max="23" width="12.5703125" style="283" customWidth="1"/>
    <col min="24" max="24" width="12.5703125" style="315" customWidth="1"/>
    <col min="25" max="25" width="12.5703125" style="195" customWidth="1"/>
    <col min="26" max="26" width="13.28515625" style="195" customWidth="1"/>
    <col min="27" max="27" width="12.5703125" style="315" customWidth="1"/>
    <col min="28" max="28" width="10.28515625" style="283" customWidth="1"/>
    <col min="29" max="29" width="12.5703125" style="315" customWidth="1"/>
    <col min="30" max="30" width="12.28515625" style="195" customWidth="1"/>
    <col min="31" max="31" width="13.42578125" style="188" customWidth="1"/>
    <col min="32" max="32" width="16.7109375" style="188" bestFit="1" customWidth="1"/>
    <col min="33" max="34" width="16.7109375" style="188" customWidth="1"/>
    <col min="35" max="35" width="10.140625" style="188" bestFit="1" customWidth="1"/>
    <col min="36" max="36" width="14.140625" style="188" bestFit="1" customWidth="1"/>
    <col min="37" max="37" width="13.85546875" style="188" bestFit="1" customWidth="1"/>
    <col min="38" max="42" width="13.85546875" style="188" customWidth="1"/>
    <col min="43" max="43" width="18" style="188" bestFit="1" customWidth="1"/>
    <col min="44" max="44" width="20.28515625" style="188" bestFit="1" customWidth="1"/>
    <col min="45" max="45" width="20.42578125" style="188" bestFit="1" customWidth="1"/>
    <col min="46" max="16384" width="10.5703125" style="188"/>
  </cols>
  <sheetData>
    <row r="1" spans="1:46" ht="23.25" customHeight="1">
      <c r="A1" s="6" t="s">
        <v>23</v>
      </c>
      <c r="B1" s="6" t="s">
        <v>5</v>
      </c>
      <c r="C1" s="20" t="s">
        <v>17812</v>
      </c>
      <c r="D1" s="20" t="s">
        <v>1</v>
      </c>
      <c r="E1" s="20" t="s">
        <v>0</v>
      </c>
      <c r="F1" s="20" t="s">
        <v>3</v>
      </c>
      <c r="G1" s="20" t="s">
        <v>6</v>
      </c>
      <c r="H1" s="1146" t="s">
        <v>2</v>
      </c>
      <c r="I1" s="20" t="s">
        <v>212</v>
      </c>
      <c r="J1" s="20" t="s">
        <v>285</v>
      </c>
      <c r="K1" s="20" t="s">
        <v>11</v>
      </c>
      <c r="L1" s="20" t="s">
        <v>17169</v>
      </c>
      <c r="M1" s="20" t="s">
        <v>17365</v>
      </c>
      <c r="N1" s="20" t="s">
        <v>22</v>
      </c>
      <c r="O1" s="20" t="s">
        <v>12</v>
      </c>
      <c r="P1" s="577" t="s">
        <v>221</v>
      </c>
      <c r="Q1" s="20" t="s">
        <v>14</v>
      </c>
      <c r="R1" s="349" t="s">
        <v>15</v>
      </c>
      <c r="S1" s="20" t="s">
        <v>16</v>
      </c>
      <c r="T1" s="20" t="s">
        <v>227</v>
      </c>
      <c r="U1" s="349" t="s">
        <v>551</v>
      </c>
      <c r="V1" s="349" t="s">
        <v>228</v>
      </c>
      <c r="W1" s="350" t="s">
        <v>301</v>
      </c>
      <c r="X1" s="350" t="s">
        <v>4</v>
      </c>
      <c r="Y1" s="349" t="s">
        <v>545</v>
      </c>
      <c r="Z1" s="349" t="s">
        <v>546</v>
      </c>
      <c r="AA1" s="350" t="s">
        <v>553</v>
      </c>
      <c r="AB1" s="351" t="s">
        <v>547</v>
      </c>
      <c r="AC1" s="350" t="s">
        <v>554</v>
      </c>
      <c r="AD1" s="349" t="s">
        <v>548</v>
      </c>
      <c r="AE1" s="20" t="s">
        <v>8</v>
      </c>
      <c r="AF1" s="20" t="s">
        <v>255</v>
      </c>
      <c r="AG1" s="20" t="s">
        <v>18</v>
      </c>
      <c r="AH1" s="20" t="s">
        <v>542</v>
      </c>
      <c r="AI1" s="20" t="s">
        <v>543</v>
      </c>
      <c r="AJ1" s="20" t="s">
        <v>19</v>
      </c>
      <c r="AK1" s="20" t="s">
        <v>261</v>
      </c>
      <c r="AL1" s="20" t="s">
        <v>17891</v>
      </c>
      <c r="AM1" s="20" t="s">
        <v>17892</v>
      </c>
      <c r="AN1" s="20" t="s">
        <v>17893</v>
      </c>
      <c r="AO1" s="20" t="s">
        <v>17599</v>
      </c>
      <c r="AP1" s="20" t="s">
        <v>17600</v>
      </c>
      <c r="AQ1" s="20" t="s">
        <v>262</v>
      </c>
      <c r="AR1" s="20" t="s">
        <v>263</v>
      </c>
      <c r="AS1" s="20" t="s">
        <v>20</v>
      </c>
      <c r="AT1" s="20" t="s">
        <v>21</v>
      </c>
    </row>
    <row r="2" spans="1:46" s="1444" customFormat="1" ht="13.5" customHeight="1">
      <c r="A2" s="91">
        <v>1</v>
      </c>
      <c r="B2" s="1432" t="s">
        <v>24</v>
      </c>
      <c r="C2" s="1432" t="s">
        <v>17782</v>
      </c>
      <c r="D2" s="1021" t="s">
        <v>90</v>
      </c>
      <c r="E2" s="1433">
        <v>1</v>
      </c>
      <c r="F2" s="1433"/>
      <c r="G2" s="1021">
        <v>58.5</v>
      </c>
      <c r="H2" s="287">
        <v>6.45</v>
      </c>
      <c r="I2" s="287"/>
      <c r="J2" s="287"/>
      <c r="K2" s="1434">
        <f>G2+0.5*H2+0.5*I2</f>
        <v>61.725000000000001</v>
      </c>
      <c r="L2" s="1012">
        <v>1</v>
      </c>
      <c r="M2" s="1012">
        <v>-2</v>
      </c>
      <c r="N2" s="1012"/>
      <c r="O2" s="91"/>
      <c r="P2" s="1435"/>
      <c r="Q2" s="1436">
        <f>0.96*R2</f>
        <v>369600</v>
      </c>
      <c r="R2" s="1436">
        <v>385000</v>
      </c>
      <c r="S2" s="1437">
        <f t="shared" ref="S2:S31" si="0">1-(P2/R2)</f>
        <v>1</v>
      </c>
      <c r="T2" s="1438">
        <f t="shared" ref="T2:T31" si="1">P2/K2</f>
        <v>0</v>
      </c>
      <c r="U2" s="1435">
        <f>Q2/K2</f>
        <v>5987.8493317132443</v>
      </c>
      <c r="V2" s="1435">
        <f t="shared" ref="V2:V31" si="2">R2/K2</f>
        <v>6237.3430538679622</v>
      </c>
      <c r="W2" s="1439"/>
      <c r="X2" s="1440"/>
      <c r="Y2" s="1441"/>
      <c r="Z2" s="1441"/>
      <c r="AA2" s="1440"/>
      <c r="AB2" s="1442"/>
      <c r="AC2" s="1440"/>
      <c r="AD2" s="1441"/>
      <c r="AE2" s="91"/>
      <c r="AF2" s="91"/>
      <c r="AG2" s="91"/>
      <c r="AH2" s="91"/>
      <c r="AI2" s="91"/>
      <c r="AJ2" s="1443"/>
      <c r="AK2" s="1443"/>
      <c r="AL2" s="1443"/>
      <c r="AM2" s="1443"/>
      <c r="AN2" s="1443"/>
      <c r="AO2" s="1443"/>
      <c r="AP2" s="1443"/>
      <c r="AQ2" s="1443"/>
      <c r="AR2" s="1443"/>
      <c r="AS2" s="1435"/>
      <c r="AT2" s="1435"/>
    </row>
    <row r="3" spans="1:46" s="1444" customFormat="1" ht="13.5" customHeight="1">
      <c r="A3" s="91">
        <v>2</v>
      </c>
      <c r="B3" s="1432" t="s">
        <v>25</v>
      </c>
      <c r="C3" s="1432" t="s">
        <v>17786</v>
      </c>
      <c r="D3" s="1021" t="s">
        <v>90</v>
      </c>
      <c r="E3" s="1433">
        <v>1</v>
      </c>
      <c r="F3" s="1433"/>
      <c r="G3" s="1021">
        <v>58.5</v>
      </c>
      <c r="H3" s="287">
        <v>6.45</v>
      </c>
      <c r="I3" s="287"/>
      <c r="J3" s="287"/>
      <c r="K3" s="1434">
        <f t="shared" ref="K3:K31" si="3">G3+0.5*H3+0.5*I3</f>
        <v>61.725000000000001</v>
      </c>
      <c r="L3" s="1012">
        <v>1</v>
      </c>
      <c r="M3" s="1012">
        <v>-2</v>
      </c>
      <c r="N3" s="1012"/>
      <c r="O3" s="91"/>
      <c r="P3" s="1435"/>
      <c r="Q3" s="1436">
        <f>0.96*R3</f>
        <v>360000</v>
      </c>
      <c r="R3" s="1436">
        <v>375000</v>
      </c>
      <c r="S3" s="1437">
        <f t="shared" si="0"/>
        <v>1</v>
      </c>
      <c r="T3" s="1438">
        <f t="shared" si="1"/>
        <v>0</v>
      </c>
      <c r="U3" s="1435">
        <f t="shared" ref="U3:U31" si="4">Q3/K3</f>
        <v>5832.3207776427698</v>
      </c>
      <c r="V3" s="1435">
        <f t="shared" si="2"/>
        <v>6075.334143377886</v>
      </c>
      <c r="W3" s="1439"/>
      <c r="X3" s="1440"/>
      <c r="Y3" s="1441"/>
      <c r="Z3" s="1441"/>
      <c r="AA3" s="1440"/>
      <c r="AB3" s="1442"/>
      <c r="AC3" s="1440"/>
      <c r="AD3" s="1441"/>
      <c r="AE3" s="91"/>
      <c r="AF3" s="91"/>
      <c r="AG3" s="91"/>
      <c r="AH3" s="91"/>
      <c r="AI3" s="91"/>
      <c r="AJ3" s="1443"/>
      <c r="AK3" s="1443"/>
      <c r="AL3" s="1443"/>
      <c r="AM3" s="1443"/>
      <c r="AN3" s="1443"/>
      <c r="AO3" s="1443"/>
      <c r="AP3" s="1443"/>
      <c r="AQ3" s="1443"/>
      <c r="AR3" s="1443"/>
      <c r="AS3" s="1435"/>
      <c r="AT3" s="1435"/>
    </row>
    <row r="4" spans="1:46" s="1444" customFormat="1" ht="13.5" customHeight="1">
      <c r="A4" s="91">
        <v>3</v>
      </c>
      <c r="B4" s="1445" t="s">
        <v>26</v>
      </c>
      <c r="C4" s="1445" t="s">
        <v>17787</v>
      </c>
      <c r="D4" s="1021" t="s">
        <v>91</v>
      </c>
      <c r="E4" s="1433">
        <v>1</v>
      </c>
      <c r="F4" s="1433"/>
      <c r="G4" s="1021">
        <v>106.4</v>
      </c>
      <c r="H4" s="287">
        <v>9.02</v>
      </c>
      <c r="I4" s="287"/>
      <c r="J4" s="287"/>
      <c r="K4" s="1434">
        <f t="shared" si="3"/>
        <v>110.91000000000001</v>
      </c>
      <c r="L4" s="1012">
        <v>1</v>
      </c>
      <c r="M4" s="1012">
        <v>-2</v>
      </c>
      <c r="N4" s="1012"/>
      <c r="O4" s="91"/>
      <c r="P4" s="1435"/>
      <c r="Q4" s="1436">
        <f t="shared" ref="Q4:Q31" si="5">0.96*R4</f>
        <v>624000</v>
      </c>
      <c r="R4" s="1436">
        <v>650000</v>
      </c>
      <c r="S4" s="1437">
        <f t="shared" si="0"/>
        <v>1</v>
      </c>
      <c r="T4" s="1438">
        <f t="shared" si="1"/>
        <v>0</v>
      </c>
      <c r="U4" s="1435">
        <f t="shared" si="4"/>
        <v>5626.1833919394094</v>
      </c>
      <c r="V4" s="1435">
        <f t="shared" si="2"/>
        <v>5860.6076999368852</v>
      </c>
      <c r="W4" s="1439"/>
      <c r="X4" s="1440"/>
      <c r="Y4" s="1441"/>
      <c r="Z4" s="1441"/>
      <c r="AA4" s="1440"/>
      <c r="AB4" s="1442"/>
      <c r="AC4" s="1440"/>
      <c r="AD4" s="1441"/>
      <c r="AE4" s="91"/>
      <c r="AF4" s="91"/>
      <c r="AG4" s="91"/>
      <c r="AH4" s="91"/>
      <c r="AI4" s="91"/>
      <c r="AJ4" s="1443"/>
      <c r="AK4" s="1443"/>
      <c r="AL4" s="1443"/>
      <c r="AM4" s="1443"/>
      <c r="AN4" s="1443"/>
      <c r="AO4" s="1443"/>
      <c r="AP4" s="1443"/>
      <c r="AQ4" s="1443"/>
      <c r="AR4" s="1443"/>
      <c r="AS4" s="1435"/>
      <c r="AT4" s="1435"/>
    </row>
    <row r="5" spans="1:46" s="1444" customFormat="1" ht="13.5" customHeight="1">
      <c r="A5" s="91">
        <v>4</v>
      </c>
      <c r="B5" s="1445" t="s">
        <v>27</v>
      </c>
      <c r="C5" s="1445" t="s">
        <v>17788</v>
      </c>
      <c r="D5" s="1021" t="s">
        <v>91</v>
      </c>
      <c r="E5" s="1433">
        <v>1</v>
      </c>
      <c r="F5" s="1433"/>
      <c r="G5" s="1021">
        <v>106.4</v>
      </c>
      <c r="H5" s="287">
        <v>9.02</v>
      </c>
      <c r="I5" s="287"/>
      <c r="J5" s="287"/>
      <c r="K5" s="1434">
        <f t="shared" si="3"/>
        <v>110.91000000000001</v>
      </c>
      <c r="L5" s="1012">
        <v>1</v>
      </c>
      <c r="M5" s="1012">
        <v>-2</v>
      </c>
      <c r="N5" s="1012"/>
      <c r="O5" s="91"/>
      <c r="P5" s="1435"/>
      <c r="Q5" s="1436">
        <f t="shared" si="5"/>
        <v>604800</v>
      </c>
      <c r="R5" s="1436">
        <v>630000</v>
      </c>
      <c r="S5" s="1437">
        <f t="shared" si="0"/>
        <v>1</v>
      </c>
      <c r="T5" s="1438">
        <f t="shared" si="1"/>
        <v>0</v>
      </c>
      <c r="U5" s="1435">
        <f t="shared" si="4"/>
        <v>5453.0700568028124</v>
      </c>
      <c r="V5" s="1435">
        <f t="shared" si="2"/>
        <v>5680.2813091695962</v>
      </c>
      <c r="W5" s="1439"/>
      <c r="X5" s="1440"/>
      <c r="Y5" s="1441"/>
      <c r="Z5" s="1441"/>
      <c r="AA5" s="1440"/>
      <c r="AB5" s="1442"/>
      <c r="AC5" s="1440"/>
      <c r="AD5" s="1441"/>
      <c r="AE5" s="91"/>
      <c r="AF5" s="91"/>
      <c r="AG5" s="91"/>
      <c r="AH5" s="91"/>
      <c r="AI5" s="91"/>
      <c r="AJ5" s="1443"/>
      <c r="AK5" s="1443"/>
      <c r="AL5" s="1443"/>
      <c r="AM5" s="1443"/>
      <c r="AN5" s="1443"/>
      <c r="AO5" s="1443"/>
      <c r="AP5" s="1443"/>
      <c r="AQ5" s="1443"/>
      <c r="AR5" s="1443"/>
      <c r="AS5" s="1435"/>
      <c r="AT5" s="1435"/>
    </row>
    <row r="6" spans="1:46" s="1444" customFormat="1" ht="13.5" customHeight="1">
      <c r="A6" s="91">
        <v>5</v>
      </c>
      <c r="B6" s="1445" t="s">
        <v>28</v>
      </c>
      <c r="C6" s="1432" t="s">
        <v>17789</v>
      </c>
      <c r="D6" s="1021" t="s">
        <v>90</v>
      </c>
      <c r="E6" s="1433">
        <v>2</v>
      </c>
      <c r="F6" s="1433"/>
      <c r="G6" s="1021">
        <v>58.5</v>
      </c>
      <c r="H6" s="287">
        <v>6.45</v>
      </c>
      <c r="I6" s="287"/>
      <c r="J6" s="287"/>
      <c r="K6" s="1434">
        <f t="shared" si="3"/>
        <v>61.725000000000001</v>
      </c>
      <c r="L6" s="1012">
        <v>1</v>
      </c>
      <c r="M6" s="1012">
        <v>-2</v>
      </c>
      <c r="N6" s="1012"/>
      <c r="O6" s="91"/>
      <c r="P6" s="1436"/>
      <c r="Q6" s="1436">
        <f t="shared" si="5"/>
        <v>379200</v>
      </c>
      <c r="R6" s="1436">
        <v>395000</v>
      </c>
      <c r="S6" s="1437">
        <f t="shared" si="0"/>
        <v>1</v>
      </c>
      <c r="T6" s="1438">
        <f t="shared" si="1"/>
        <v>0</v>
      </c>
      <c r="U6" s="1435">
        <f t="shared" si="4"/>
        <v>6143.3778857837178</v>
      </c>
      <c r="V6" s="1435">
        <f t="shared" si="2"/>
        <v>6399.3519643580394</v>
      </c>
      <c r="W6" s="1439"/>
      <c r="X6" s="1440"/>
      <c r="Y6" s="1441"/>
      <c r="Z6" s="1441"/>
      <c r="AA6" s="1440"/>
      <c r="AB6" s="1442"/>
      <c r="AC6" s="1440"/>
      <c r="AD6" s="1441"/>
      <c r="AE6" s="91"/>
      <c r="AF6" s="91"/>
      <c r="AG6" s="91"/>
      <c r="AH6" s="91"/>
      <c r="AI6" s="91"/>
      <c r="AJ6" s="1443"/>
      <c r="AK6" s="1443"/>
      <c r="AL6" s="1443"/>
      <c r="AM6" s="1443"/>
      <c r="AN6" s="1443"/>
      <c r="AO6" s="1443"/>
      <c r="AP6" s="1443"/>
      <c r="AQ6" s="1443"/>
      <c r="AR6" s="1443"/>
      <c r="AS6" s="1435"/>
      <c r="AT6" s="1435"/>
    </row>
    <row r="7" spans="1:46" s="1444" customFormat="1" ht="13.5" customHeight="1">
      <c r="A7" s="91">
        <v>6</v>
      </c>
      <c r="B7" s="1445" t="s">
        <v>29</v>
      </c>
      <c r="C7" s="1432" t="s">
        <v>17783</v>
      </c>
      <c r="D7" s="1021" t="s">
        <v>90</v>
      </c>
      <c r="E7" s="1433">
        <v>2</v>
      </c>
      <c r="F7" s="1433"/>
      <c r="G7" s="1021">
        <v>58.5</v>
      </c>
      <c r="H7" s="287">
        <v>6.45</v>
      </c>
      <c r="I7" s="287"/>
      <c r="J7" s="287"/>
      <c r="K7" s="1434">
        <f t="shared" si="3"/>
        <v>61.725000000000001</v>
      </c>
      <c r="L7" s="1012">
        <v>1</v>
      </c>
      <c r="M7" s="1012">
        <v>-2</v>
      </c>
      <c r="N7" s="1012"/>
      <c r="O7" s="91"/>
      <c r="P7" s="1436"/>
      <c r="Q7" s="1436">
        <f t="shared" si="5"/>
        <v>369600</v>
      </c>
      <c r="R7" s="1436">
        <v>385000</v>
      </c>
      <c r="S7" s="1437">
        <f t="shared" si="0"/>
        <v>1</v>
      </c>
      <c r="T7" s="1438">
        <f t="shared" si="1"/>
        <v>0</v>
      </c>
      <c r="U7" s="1435">
        <f t="shared" si="4"/>
        <v>5987.8493317132443</v>
      </c>
      <c r="V7" s="1435">
        <f t="shared" si="2"/>
        <v>6237.3430538679622</v>
      </c>
      <c r="W7" s="1439"/>
      <c r="X7" s="1439"/>
      <c r="Y7" s="1435"/>
      <c r="Z7" s="1435"/>
      <c r="AA7" s="1439"/>
      <c r="AB7" s="1438"/>
      <c r="AC7" s="1439"/>
      <c r="AD7" s="1435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1435"/>
      <c r="AT7" s="1435"/>
    </row>
    <row r="8" spans="1:46" s="1444" customFormat="1" ht="13.5" customHeight="1">
      <c r="A8" s="91">
        <v>7</v>
      </c>
      <c r="B8" s="1445" t="s">
        <v>30</v>
      </c>
      <c r="C8" s="1445" t="s">
        <v>17792</v>
      </c>
      <c r="D8" s="1021" t="s">
        <v>91</v>
      </c>
      <c r="E8" s="1433">
        <v>2</v>
      </c>
      <c r="F8" s="1433"/>
      <c r="G8" s="1021">
        <v>106.4</v>
      </c>
      <c r="H8" s="1446">
        <v>9.02</v>
      </c>
      <c r="I8" s="287"/>
      <c r="J8" s="287"/>
      <c r="K8" s="1434">
        <f t="shared" si="3"/>
        <v>110.91000000000001</v>
      </c>
      <c r="L8" s="1012">
        <v>2</v>
      </c>
      <c r="M8" s="1012">
        <v>-1</v>
      </c>
      <c r="N8" s="1012">
        <v>1</v>
      </c>
      <c r="O8" s="91"/>
      <c r="P8" s="1436"/>
      <c r="Q8" s="1436">
        <f t="shared" si="5"/>
        <v>633600</v>
      </c>
      <c r="R8" s="1436">
        <v>660000</v>
      </c>
      <c r="S8" s="1437">
        <f t="shared" si="0"/>
        <v>1</v>
      </c>
      <c r="T8" s="1438">
        <f t="shared" si="1"/>
        <v>0</v>
      </c>
      <c r="U8" s="1435">
        <f t="shared" si="4"/>
        <v>5712.7400595077088</v>
      </c>
      <c r="V8" s="1435">
        <f t="shared" si="2"/>
        <v>5950.7708953205292</v>
      </c>
      <c r="W8" s="1439"/>
      <c r="X8" s="1439"/>
      <c r="Y8" s="1435"/>
      <c r="Z8" s="1435"/>
      <c r="AA8" s="1439"/>
      <c r="AB8" s="1438"/>
      <c r="AC8" s="1439"/>
      <c r="AD8" s="1435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1435"/>
      <c r="AT8" s="1435"/>
    </row>
    <row r="9" spans="1:46" s="1444" customFormat="1" ht="13.5" customHeight="1">
      <c r="A9" s="91">
        <v>8</v>
      </c>
      <c r="B9" s="1445" t="s">
        <v>31</v>
      </c>
      <c r="C9" s="1445" t="s">
        <v>17793</v>
      </c>
      <c r="D9" s="1021" t="s">
        <v>91</v>
      </c>
      <c r="E9" s="1433">
        <v>2</v>
      </c>
      <c r="F9" s="1433"/>
      <c r="G9" s="1021">
        <v>106.4</v>
      </c>
      <c r="H9" s="1446">
        <v>9.02</v>
      </c>
      <c r="I9" s="287"/>
      <c r="J9" s="287"/>
      <c r="K9" s="1434">
        <f t="shared" si="3"/>
        <v>110.91000000000001</v>
      </c>
      <c r="L9" s="1012">
        <v>2</v>
      </c>
      <c r="M9" s="1012">
        <v>-1</v>
      </c>
      <c r="N9" s="1012">
        <v>1</v>
      </c>
      <c r="O9" s="91"/>
      <c r="P9" s="1436"/>
      <c r="Q9" s="1436">
        <f t="shared" si="5"/>
        <v>614400</v>
      </c>
      <c r="R9" s="1436">
        <v>640000</v>
      </c>
      <c r="S9" s="1437">
        <f t="shared" si="0"/>
        <v>1</v>
      </c>
      <c r="T9" s="1438">
        <f t="shared" si="1"/>
        <v>0</v>
      </c>
      <c r="U9" s="1435">
        <f t="shared" si="4"/>
        <v>5539.6267243711109</v>
      </c>
      <c r="V9" s="1435">
        <f t="shared" si="2"/>
        <v>5770.4445045532411</v>
      </c>
      <c r="W9" s="1439"/>
      <c r="X9" s="1454"/>
      <c r="Y9" s="1455"/>
      <c r="Z9" s="1455"/>
      <c r="AA9" s="1454"/>
      <c r="AB9" s="1456"/>
      <c r="AC9" s="1454"/>
      <c r="AD9" s="1455"/>
      <c r="AE9" s="91"/>
      <c r="AF9" s="91"/>
      <c r="AG9" s="91"/>
      <c r="AH9" s="91"/>
      <c r="AI9" s="91"/>
      <c r="AJ9" s="1457"/>
      <c r="AK9" s="1443"/>
      <c r="AL9" s="1443"/>
      <c r="AM9" s="1443"/>
      <c r="AN9" s="1443"/>
      <c r="AO9" s="1443"/>
      <c r="AP9" s="1443"/>
      <c r="AQ9" s="1457"/>
      <c r="AR9" s="1457"/>
      <c r="AS9" s="1435"/>
      <c r="AT9" s="1435"/>
    </row>
    <row r="10" spans="1:46" s="1444" customFormat="1" ht="13.5" customHeight="1">
      <c r="A10" s="91">
        <v>9</v>
      </c>
      <c r="B10" s="1445" t="s">
        <v>32</v>
      </c>
      <c r="C10" s="1432" t="s">
        <v>17794</v>
      </c>
      <c r="D10" s="1021" t="s">
        <v>90</v>
      </c>
      <c r="E10" s="1433">
        <v>3</v>
      </c>
      <c r="F10" s="1433"/>
      <c r="G10" s="1021">
        <v>58.5</v>
      </c>
      <c r="H10" s="1446">
        <v>6.45</v>
      </c>
      <c r="I10" s="287"/>
      <c r="J10" s="287"/>
      <c r="K10" s="1434">
        <f t="shared" si="3"/>
        <v>61.725000000000001</v>
      </c>
      <c r="L10" s="1012">
        <v>1</v>
      </c>
      <c r="M10" s="1012">
        <v>-2</v>
      </c>
      <c r="N10" s="1012"/>
      <c r="O10" s="91"/>
      <c r="P10" s="1436"/>
      <c r="Q10" s="1436">
        <f t="shared" si="5"/>
        <v>388800</v>
      </c>
      <c r="R10" s="1436">
        <v>405000</v>
      </c>
      <c r="S10" s="1437">
        <f t="shared" si="0"/>
        <v>1</v>
      </c>
      <c r="T10" s="1438">
        <f t="shared" si="1"/>
        <v>0</v>
      </c>
      <c r="U10" s="1435">
        <f t="shared" si="4"/>
        <v>6298.9064398541923</v>
      </c>
      <c r="V10" s="1435">
        <f t="shared" si="2"/>
        <v>6561.3608748481165</v>
      </c>
      <c r="W10" s="1439"/>
      <c r="X10" s="1440"/>
      <c r="Y10" s="1441"/>
      <c r="Z10" s="1441"/>
      <c r="AA10" s="1440"/>
      <c r="AB10" s="1442"/>
      <c r="AC10" s="1440"/>
      <c r="AD10" s="1441"/>
      <c r="AE10" s="91"/>
      <c r="AF10" s="91"/>
      <c r="AG10" s="91"/>
      <c r="AH10" s="91"/>
      <c r="AI10" s="91"/>
      <c r="AJ10" s="1443"/>
      <c r="AK10" s="1443"/>
      <c r="AL10" s="1443"/>
      <c r="AM10" s="1443"/>
      <c r="AN10" s="1443"/>
      <c r="AO10" s="1443"/>
      <c r="AP10" s="1443"/>
      <c r="AQ10" s="1443"/>
      <c r="AR10" s="1443"/>
      <c r="AS10" s="1435"/>
      <c r="AT10" s="1435"/>
    </row>
    <row r="11" spans="1:46" s="1444" customFormat="1" ht="13.5" customHeight="1">
      <c r="A11" s="91">
        <v>10</v>
      </c>
      <c r="B11" s="1445" t="s">
        <v>33</v>
      </c>
      <c r="C11" s="1432" t="s">
        <v>17795</v>
      </c>
      <c r="D11" s="1021" t="s">
        <v>90</v>
      </c>
      <c r="E11" s="1433">
        <v>3</v>
      </c>
      <c r="F11" s="1433"/>
      <c r="G11" s="1021">
        <v>58.5</v>
      </c>
      <c r="H11" s="1446">
        <v>6.45</v>
      </c>
      <c r="I11" s="287"/>
      <c r="J11" s="287"/>
      <c r="K11" s="1434">
        <f t="shared" si="3"/>
        <v>61.725000000000001</v>
      </c>
      <c r="L11" s="1012">
        <v>1</v>
      </c>
      <c r="M11" s="1012">
        <v>-2</v>
      </c>
      <c r="N11" s="1012"/>
      <c r="O11" s="91"/>
      <c r="P11" s="1436"/>
      <c r="Q11" s="1436">
        <f t="shared" si="5"/>
        <v>379200</v>
      </c>
      <c r="R11" s="1436">
        <v>395000</v>
      </c>
      <c r="S11" s="1437">
        <f t="shared" si="0"/>
        <v>1</v>
      </c>
      <c r="T11" s="1438">
        <f t="shared" si="1"/>
        <v>0</v>
      </c>
      <c r="U11" s="1435">
        <f t="shared" si="4"/>
        <v>6143.3778857837178</v>
      </c>
      <c r="V11" s="1435">
        <f t="shared" si="2"/>
        <v>6399.3519643580394</v>
      </c>
      <c r="W11" s="1439"/>
      <c r="X11" s="1440"/>
      <c r="Y11" s="1441"/>
      <c r="Z11" s="1441"/>
      <c r="AA11" s="1440"/>
      <c r="AB11" s="1442"/>
      <c r="AC11" s="1440"/>
      <c r="AD11" s="1441"/>
      <c r="AE11" s="91"/>
      <c r="AF11" s="91"/>
      <c r="AG11" s="1447"/>
      <c r="AH11" s="91"/>
      <c r="AI11" s="91"/>
      <c r="AJ11" s="1443"/>
      <c r="AK11" s="1443"/>
      <c r="AL11" s="1443"/>
      <c r="AM11" s="1443"/>
      <c r="AN11" s="1443"/>
      <c r="AO11" s="1443"/>
      <c r="AP11" s="1443"/>
      <c r="AQ11" s="1443"/>
      <c r="AR11" s="1443"/>
      <c r="AS11" s="1435"/>
      <c r="AT11" s="1435"/>
    </row>
    <row r="12" spans="1:46" s="1444" customFormat="1" ht="13.5" customHeight="1">
      <c r="A12" s="91">
        <v>11</v>
      </c>
      <c r="B12" s="1445" t="s">
        <v>34</v>
      </c>
      <c r="C12" s="1445" t="s">
        <v>17784</v>
      </c>
      <c r="D12" s="1021" t="s">
        <v>91</v>
      </c>
      <c r="E12" s="1433">
        <v>3</v>
      </c>
      <c r="F12" s="1433"/>
      <c r="G12" s="1021">
        <v>106.4</v>
      </c>
      <c r="H12" s="1446">
        <v>9.02</v>
      </c>
      <c r="I12" s="287"/>
      <c r="J12" s="287"/>
      <c r="K12" s="1434">
        <f t="shared" si="3"/>
        <v>110.91000000000001</v>
      </c>
      <c r="L12" s="1012">
        <v>2</v>
      </c>
      <c r="M12" s="1012">
        <v>-1</v>
      </c>
      <c r="N12" s="1012">
        <v>1</v>
      </c>
      <c r="O12" s="91"/>
      <c r="P12" s="1436"/>
      <c r="Q12" s="1436">
        <f t="shared" si="5"/>
        <v>643200</v>
      </c>
      <c r="R12" s="1436">
        <v>670000</v>
      </c>
      <c r="S12" s="1437">
        <f t="shared" si="0"/>
        <v>1</v>
      </c>
      <c r="T12" s="1438">
        <f t="shared" si="1"/>
        <v>0</v>
      </c>
      <c r="U12" s="1435">
        <f t="shared" si="4"/>
        <v>5799.2967270760073</v>
      </c>
      <c r="V12" s="1435">
        <f t="shared" si="2"/>
        <v>6040.9340907041742</v>
      </c>
      <c r="W12" s="1439"/>
      <c r="X12" s="1440"/>
      <c r="Y12" s="1441"/>
      <c r="Z12" s="1441"/>
      <c r="AA12" s="1440"/>
      <c r="AB12" s="1442"/>
      <c r="AC12" s="1440"/>
      <c r="AD12" s="1441"/>
      <c r="AE12" s="91"/>
      <c r="AF12" s="91"/>
      <c r="AG12" s="1447"/>
      <c r="AH12" s="91"/>
      <c r="AI12" s="91"/>
      <c r="AJ12" s="1443"/>
      <c r="AK12" s="1443"/>
      <c r="AL12" s="1443"/>
      <c r="AM12" s="1443"/>
      <c r="AN12" s="1443"/>
      <c r="AO12" s="1448"/>
      <c r="AP12" s="1443"/>
      <c r="AQ12" s="1443"/>
      <c r="AR12" s="1443"/>
      <c r="AS12" s="1435"/>
      <c r="AT12" s="1435"/>
    </row>
    <row r="13" spans="1:46" s="1444" customFormat="1" ht="13.5" customHeight="1">
      <c r="A13" s="91">
        <v>12</v>
      </c>
      <c r="B13" s="1445" t="s">
        <v>35</v>
      </c>
      <c r="C13" s="1445" t="s">
        <v>17796</v>
      </c>
      <c r="D13" s="1021" t="s">
        <v>91</v>
      </c>
      <c r="E13" s="1433">
        <v>3</v>
      </c>
      <c r="F13" s="1433"/>
      <c r="G13" s="1021">
        <v>106.4</v>
      </c>
      <c r="H13" s="1451">
        <v>9.02</v>
      </c>
      <c r="I13" s="287"/>
      <c r="J13" s="287"/>
      <c r="K13" s="1434">
        <f t="shared" si="3"/>
        <v>110.91000000000001</v>
      </c>
      <c r="L13" s="1012">
        <v>2</v>
      </c>
      <c r="M13" s="1012">
        <v>-1</v>
      </c>
      <c r="N13" s="1012">
        <v>1</v>
      </c>
      <c r="O13" s="91"/>
      <c r="P13" s="1436"/>
      <c r="Q13" s="1436">
        <f t="shared" si="5"/>
        <v>624000</v>
      </c>
      <c r="R13" s="1436">
        <v>650000</v>
      </c>
      <c r="S13" s="1437">
        <f t="shared" si="0"/>
        <v>1</v>
      </c>
      <c r="T13" s="1438">
        <f t="shared" si="1"/>
        <v>0</v>
      </c>
      <c r="U13" s="1435">
        <f t="shared" si="4"/>
        <v>5626.1833919394094</v>
      </c>
      <c r="V13" s="1435">
        <f t="shared" si="2"/>
        <v>5860.6076999368852</v>
      </c>
      <c r="W13" s="1439"/>
      <c r="X13" s="1440"/>
      <c r="Y13" s="1441"/>
      <c r="Z13" s="1441"/>
      <c r="AA13" s="1440"/>
      <c r="AB13" s="1442"/>
      <c r="AC13" s="1440"/>
      <c r="AD13" s="1441"/>
      <c r="AE13" s="91"/>
      <c r="AF13" s="91"/>
      <c r="AG13" s="91"/>
      <c r="AH13" s="91"/>
      <c r="AI13" s="91"/>
      <c r="AJ13" s="1457"/>
      <c r="AK13" s="1443"/>
      <c r="AL13" s="1443"/>
      <c r="AM13" s="1443"/>
      <c r="AN13" s="1443"/>
      <c r="AO13" s="1443"/>
      <c r="AP13" s="1443"/>
      <c r="AQ13" s="1443"/>
      <c r="AR13" s="1443"/>
      <c r="AS13" s="1435"/>
      <c r="AT13" s="1435"/>
    </row>
    <row r="14" spans="1:46" s="1444" customFormat="1" ht="15" customHeight="1">
      <c r="A14" s="91">
        <v>13</v>
      </c>
      <c r="B14" s="1445" t="s">
        <v>36</v>
      </c>
      <c r="C14" s="1432" t="s">
        <v>17797</v>
      </c>
      <c r="D14" s="1021" t="s">
        <v>90</v>
      </c>
      <c r="E14" s="1433">
        <v>4</v>
      </c>
      <c r="F14" s="1433"/>
      <c r="G14" s="1021">
        <v>58.5</v>
      </c>
      <c r="H14" s="1446">
        <v>6.45</v>
      </c>
      <c r="I14" s="287"/>
      <c r="J14" s="287"/>
      <c r="K14" s="1434">
        <f t="shared" si="3"/>
        <v>61.725000000000001</v>
      </c>
      <c r="L14" s="1012">
        <v>1</v>
      </c>
      <c r="M14" s="1012">
        <v>-2</v>
      </c>
      <c r="N14" s="1012"/>
      <c r="O14" s="91"/>
      <c r="P14" s="1436"/>
      <c r="Q14" s="1436">
        <f t="shared" si="5"/>
        <v>398400</v>
      </c>
      <c r="R14" s="1436">
        <v>415000</v>
      </c>
      <c r="S14" s="1437">
        <f t="shared" si="0"/>
        <v>1</v>
      </c>
      <c r="T14" s="1438">
        <f t="shared" si="1"/>
        <v>0</v>
      </c>
      <c r="U14" s="1435">
        <f t="shared" si="4"/>
        <v>6454.4349939246658</v>
      </c>
      <c r="V14" s="1435">
        <f t="shared" si="2"/>
        <v>6723.3697853381937</v>
      </c>
      <c r="W14" s="1440"/>
      <c r="X14" s="1440"/>
      <c r="Y14" s="1441"/>
      <c r="Z14" s="1441"/>
      <c r="AA14" s="1440"/>
      <c r="AB14" s="1442"/>
      <c r="AC14" s="1440"/>
      <c r="AD14" s="1441"/>
      <c r="AE14" s="91"/>
      <c r="AF14" s="91"/>
      <c r="AG14" s="91"/>
      <c r="AH14" s="91"/>
      <c r="AI14" s="91"/>
      <c r="AJ14" s="1443"/>
      <c r="AK14" s="1443"/>
      <c r="AL14" s="1443"/>
      <c r="AM14" s="1443"/>
      <c r="AN14" s="1443"/>
      <c r="AO14" s="1443"/>
      <c r="AP14" s="1443"/>
      <c r="AQ14" s="1443"/>
      <c r="AR14" s="1443"/>
      <c r="AS14" s="1435"/>
      <c r="AT14" s="1435"/>
    </row>
    <row r="15" spans="1:46" s="1444" customFormat="1" ht="15" customHeight="1">
      <c r="A15" s="91">
        <v>14</v>
      </c>
      <c r="B15" s="1445" t="s">
        <v>37</v>
      </c>
      <c r="C15" s="1432" t="s">
        <v>17798</v>
      </c>
      <c r="D15" s="1021" t="s">
        <v>90</v>
      </c>
      <c r="E15" s="1433">
        <v>4</v>
      </c>
      <c r="F15" s="1433"/>
      <c r="G15" s="1021">
        <v>58.5</v>
      </c>
      <c r="H15" s="1446">
        <v>6.45</v>
      </c>
      <c r="I15" s="287"/>
      <c r="J15" s="287"/>
      <c r="K15" s="1434">
        <f t="shared" si="3"/>
        <v>61.725000000000001</v>
      </c>
      <c r="L15" s="1012">
        <v>1</v>
      </c>
      <c r="M15" s="1012">
        <v>-2</v>
      </c>
      <c r="N15" s="1012"/>
      <c r="O15" s="91"/>
      <c r="P15" s="1436"/>
      <c r="Q15" s="1436">
        <f t="shared" si="5"/>
        <v>388800</v>
      </c>
      <c r="R15" s="1436">
        <v>405000</v>
      </c>
      <c r="S15" s="1437">
        <f t="shared" si="0"/>
        <v>1</v>
      </c>
      <c r="T15" s="1438">
        <f t="shared" si="1"/>
        <v>0</v>
      </c>
      <c r="U15" s="1435">
        <f t="shared" si="4"/>
        <v>6298.9064398541923</v>
      </c>
      <c r="V15" s="1435">
        <f t="shared" si="2"/>
        <v>6561.3608748481165</v>
      </c>
      <c r="W15" s="1439"/>
      <c r="X15" s="1440"/>
      <c r="Y15" s="1441"/>
      <c r="Z15" s="1441"/>
      <c r="AA15" s="1440"/>
      <c r="AB15" s="1442"/>
      <c r="AC15" s="1440"/>
      <c r="AD15" s="1441"/>
      <c r="AE15" s="91"/>
      <c r="AF15" s="91"/>
      <c r="AG15" s="1447"/>
      <c r="AH15" s="91"/>
      <c r="AI15" s="91"/>
      <c r="AJ15" s="1443"/>
      <c r="AK15" s="1443"/>
      <c r="AL15" s="1443"/>
      <c r="AM15" s="1443"/>
      <c r="AN15" s="1443"/>
      <c r="AO15" s="1443"/>
      <c r="AP15" s="1443"/>
      <c r="AQ15" s="1443"/>
      <c r="AR15" s="1443"/>
      <c r="AS15" s="1435"/>
      <c r="AT15" s="1435"/>
    </row>
    <row r="16" spans="1:46" s="1444" customFormat="1" ht="13.5" customHeight="1">
      <c r="A16" s="91">
        <v>15</v>
      </c>
      <c r="B16" s="1445" t="s">
        <v>38</v>
      </c>
      <c r="C16" s="1445" t="s">
        <v>17799</v>
      </c>
      <c r="D16" s="1021" t="s">
        <v>91</v>
      </c>
      <c r="E16" s="1433">
        <v>4</v>
      </c>
      <c r="F16" s="1433"/>
      <c r="G16" s="1021">
        <v>57.5</v>
      </c>
      <c r="H16" s="1446">
        <v>5.57</v>
      </c>
      <c r="I16" s="287"/>
      <c r="J16" s="287"/>
      <c r="K16" s="1434">
        <f t="shared" si="3"/>
        <v>60.284999999999997</v>
      </c>
      <c r="L16" s="1012">
        <v>1</v>
      </c>
      <c r="M16" s="1012">
        <v>-2</v>
      </c>
      <c r="N16" s="1012"/>
      <c r="O16" s="91"/>
      <c r="P16" s="1436"/>
      <c r="Q16" s="1436">
        <f t="shared" si="5"/>
        <v>556800</v>
      </c>
      <c r="R16" s="1436">
        <v>580000</v>
      </c>
      <c r="S16" s="1437">
        <f t="shared" si="0"/>
        <v>1</v>
      </c>
      <c r="T16" s="1438">
        <f t="shared" si="1"/>
        <v>0</v>
      </c>
      <c r="U16" s="1435">
        <f t="shared" si="4"/>
        <v>9236.1283901468032</v>
      </c>
      <c r="V16" s="1435">
        <f t="shared" si="2"/>
        <v>9620.9670730695871</v>
      </c>
      <c r="W16" s="1439"/>
      <c r="X16" s="1440"/>
      <c r="Y16" s="1441"/>
      <c r="Z16" s="1441"/>
      <c r="AA16" s="1440"/>
      <c r="AB16" s="1442"/>
      <c r="AC16" s="1440"/>
      <c r="AD16" s="1441"/>
      <c r="AE16" s="91"/>
      <c r="AF16" s="91"/>
      <c r="AG16" s="1447"/>
      <c r="AH16" s="91"/>
      <c r="AI16" s="91"/>
      <c r="AJ16" s="1443"/>
      <c r="AK16" s="1443"/>
      <c r="AL16" s="1443"/>
      <c r="AM16" s="1443"/>
      <c r="AN16" s="1443"/>
      <c r="AO16" s="1443"/>
      <c r="AP16" s="1443"/>
      <c r="AQ16" s="1443"/>
      <c r="AR16" s="1443"/>
      <c r="AS16" s="1435"/>
      <c r="AT16" s="1435"/>
    </row>
    <row r="17" spans="1:46" s="1444" customFormat="1" ht="13.5" customHeight="1">
      <c r="A17" s="91">
        <v>16</v>
      </c>
      <c r="B17" s="1445" t="s">
        <v>39</v>
      </c>
      <c r="C17" s="1445" t="s">
        <v>17785</v>
      </c>
      <c r="D17" s="1021" t="s">
        <v>89</v>
      </c>
      <c r="E17" s="1433">
        <v>4</v>
      </c>
      <c r="F17" s="1433"/>
      <c r="G17" s="1021">
        <v>127.3</v>
      </c>
      <c r="H17" s="1446">
        <v>9.1</v>
      </c>
      <c r="I17" s="287"/>
      <c r="J17" s="287"/>
      <c r="K17" s="1434">
        <f t="shared" si="3"/>
        <v>131.85</v>
      </c>
      <c r="L17" s="1012">
        <v>2</v>
      </c>
      <c r="M17" s="1012">
        <v>-1</v>
      </c>
      <c r="N17" s="1012">
        <v>1</v>
      </c>
      <c r="O17" s="91"/>
      <c r="P17" s="1436"/>
      <c r="Q17" s="1436">
        <f t="shared" si="5"/>
        <v>844800</v>
      </c>
      <c r="R17" s="1436">
        <v>880000</v>
      </c>
      <c r="S17" s="1437">
        <f t="shared" si="0"/>
        <v>1</v>
      </c>
      <c r="T17" s="1438">
        <f t="shared" si="1"/>
        <v>0</v>
      </c>
      <c r="U17" s="1435">
        <f t="shared" si="4"/>
        <v>6407.2810011376569</v>
      </c>
      <c r="V17" s="1435">
        <f t="shared" si="2"/>
        <v>6674.2510428517253</v>
      </c>
      <c r="W17" s="1439"/>
      <c r="X17" s="1440"/>
      <c r="Y17" s="1441"/>
      <c r="Z17" s="1441"/>
      <c r="AA17" s="1440"/>
      <c r="AB17" s="1442"/>
      <c r="AC17" s="1440"/>
      <c r="AD17" s="1441"/>
      <c r="AE17" s="91"/>
      <c r="AF17" s="91"/>
      <c r="AG17" s="91"/>
      <c r="AH17" s="91"/>
      <c r="AI17" s="91"/>
      <c r="AJ17" s="91"/>
      <c r="AK17" s="1443"/>
      <c r="AL17" s="1443"/>
      <c r="AM17" s="1443"/>
      <c r="AN17" s="1443"/>
      <c r="AO17" s="1443"/>
      <c r="AP17" s="1443"/>
      <c r="AQ17" s="1443"/>
      <c r="AR17" s="1443"/>
      <c r="AS17" s="1435"/>
      <c r="AT17" s="1435"/>
    </row>
    <row r="18" spans="1:46" s="1444" customFormat="1" ht="13.5" customHeight="1">
      <c r="A18" s="91">
        <v>17</v>
      </c>
      <c r="B18" s="1445" t="s">
        <v>40</v>
      </c>
      <c r="C18" s="1432" t="s">
        <v>17803</v>
      </c>
      <c r="D18" s="1021" t="s">
        <v>90</v>
      </c>
      <c r="E18" s="1433">
        <v>5</v>
      </c>
      <c r="F18" s="1433"/>
      <c r="G18" s="1021">
        <v>58.5</v>
      </c>
      <c r="H18" s="1446">
        <v>6.45</v>
      </c>
      <c r="I18" s="287"/>
      <c r="J18" s="287"/>
      <c r="K18" s="1434">
        <f t="shared" si="3"/>
        <v>61.725000000000001</v>
      </c>
      <c r="L18" s="1012">
        <v>1</v>
      </c>
      <c r="M18" s="1012">
        <v>-2</v>
      </c>
      <c r="N18" s="1012"/>
      <c r="O18" s="91"/>
      <c r="P18" s="1436"/>
      <c r="Q18" s="1436">
        <f t="shared" si="5"/>
        <v>408000</v>
      </c>
      <c r="R18" s="1436">
        <v>425000</v>
      </c>
      <c r="S18" s="1437">
        <f t="shared" si="0"/>
        <v>1</v>
      </c>
      <c r="T18" s="1438">
        <f t="shared" si="1"/>
        <v>0</v>
      </c>
      <c r="U18" s="1435">
        <f t="shared" si="4"/>
        <v>6609.9635479951394</v>
      </c>
      <c r="V18" s="1435">
        <f t="shared" si="2"/>
        <v>6885.3786958282708</v>
      </c>
      <c r="W18" s="1439"/>
      <c r="X18" s="1440"/>
      <c r="Y18" s="1441"/>
      <c r="Z18" s="1441"/>
      <c r="AA18" s="1440"/>
      <c r="AB18" s="1442"/>
      <c r="AC18" s="1440"/>
      <c r="AD18" s="1441"/>
      <c r="AE18" s="91"/>
      <c r="AF18" s="91"/>
      <c r="AG18" s="91"/>
      <c r="AH18" s="91"/>
      <c r="AI18" s="91"/>
      <c r="AJ18" s="91"/>
      <c r="AK18" s="1443"/>
      <c r="AL18" s="1443"/>
      <c r="AM18" s="1443"/>
      <c r="AN18" s="1443"/>
      <c r="AO18" s="1443"/>
      <c r="AP18" s="1443"/>
      <c r="AQ18" s="1443"/>
      <c r="AR18" s="1443"/>
      <c r="AS18" s="1435"/>
      <c r="AT18" s="1435"/>
    </row>
    <row r="19" spans="1:46" s="1444" customFormat="1" ht="13.5" customHeight="1">
      <c r="A19" s="91">
        <v>18</v>
      </c>
      <c r="B19" s="1445" t="s">
        <v>41</v>
      </c>
      <c r="C19" s="1432" t="s">
        <v>17800</v>
      </c>
      <c r="D19" s="1021" t="s">
        <v>90</v>
      </c>
      <c r="E19" s="1433">
        <v>5</v>
      </c>
      <c r="F19" s="1433"/>
      <c r="G19" s="1021">
        <v>58.5</v>
      </c>
      <c r="H19" s="1446">
        <v>6.45</v>
      </c>
      <c r="I19" s="287"/>
      <c r="J19" s="287"/>
      <c r="K19" s="1434">
        <f t="shared" si="3"/>
        <v>61.725000000000001</v>
      </c>
      <c r="L19" s="1012">
        <v>1</v>
      </c>
      <c r="M19" s="1012">
        <v>-2</v>
      </c>
      <c r="N19" s="1012"/>
      <c r="O19" s="91"/>
      <c r="P19" s="1436"/>
      <c r="Q19" s="1436">
        <f t="shared" si="5"/>
        <v>398400</v>
      </c>
      <c r="R19" s="1436">
        <v>415000</v>
      </c>
      <c r="S19" s="1437">
        <f t="shared" si="0"/>
        <v>1</v>
      </c>
      <c r="T19" s="1438">
        <f t="shared" si="1"/>
        <v>0</v>
      </c>
      <c r="U19" s="1435">
        <f t="shared" si="4"/>
        <v>6454.4349939246658</v>
      </c>
      <c r="V19" s="1435">
        <f t="shared" si="2"/>
        <v>6723.3697853381937</v>
      </c>
      <c r="W19" s="1439"/>
      <c r="X19" s="1440"/>
      <c r="Y19" s="1441"/>
      <c r="Z19" s="1441"/>
      <c r="AA19" s="1440"/>
      <c r="AB19" s="1442"/>
      <c r="AC19" s="1440"/>
      <c r="AD19" s="1441"/>
      <c r="AE19" s="91"/>
      <c r="AF19" s="91"/>
      <c r="AG19" s="91"/>
      <c r="AH19" s="91"/>
      <c r="AI19" s="91"/>
      <c r="AJ19" s="1457"/>
      <c r="AK19" s="1443"/>
      <c r="AL19" s="1443"/>
      <c r="AM19" s="1443"/>
      <c r="AN19" s="1443"/>
      <c r="AO19" s="1443"/>
      <c r="AP19" s="1443"/>
      <c r="AQ19" s="1443"/>
      <c r="AR19" s="1443"/>
      <c r="AS19" s="1435"/>
      <c r="AT19" s="1435"/>
    </row>
    <row r="20" spans="1:46" s="1444" customFormat="1" ht="13.5" customHeight="1">
      <c r="A20" s="91">
        <v>19</v>
      </c>
      <c r="B20" s="1445" t="s">
        <v>42</v>
      </c>
      <c r="C20" s="1445" t="s">
        <v>17801</v>
      </c>
      <c r="D20" s="1021" t="s">
        <v>91</v>
      </c>
      <c r="E20" s="1433">
        <v>5</v>
      </c>
      <c r="F20" s="1433"/>
      <c r="G20" s="1021">
        <v>87.5</v>
      </c>
      <c r="H20" s="1451">
        <v>5.57</v>
      </c>
      <c r="I20" s="287"/>
      <c r="J20" s="287"/>
      <c r="K20" s="1434">
        <f t="shared" si="3"/>
        <v>90.284999999999997</v>
      </c>
      <c r="L20" s="1012">
        <v>1</v>
      </c>
      <c r="M20" s="1012">
        <v>-2</v>
      </c>
      <c r="N20" s="1012"/>
      <c r="O20" s="91"/>
      <c r="P20" s="1436"/>
      <c r="Q20" s="1436">
        <f t="shared" si="5"/>
        <v>566400</v>
      </c>
      <c r="R20" s="1436">
        <v>590000</v>
      </c>
      <c r="S20" s="1437">
        <f t="shared" si="0"/>
        <v>1</v>
      </c>
      <c r="T20" s="1438">
        <f t="shared" si="1"/>
        <v>0</v>
      </c>
      <c r="U20" s="1435">
        <f t="shared" si="4"/>
        <v>6273.467353380961</v>
      </c>
      <c r="V20" s="1435">
        <f t="shared" si="2"/>
        <v>6534.8618264385004</v>
      </c>
      <c r="W20" s="1440"/>
      <c r="X20" s="1440"/>
      <c r="Y20" s="1441"/>
      <c r="Z20" s="1441"/>
      <c r="AA20" s="1440"/>
      <c r="AB20" s="1442"/>
      <c r="AC20" s="1440"/>
      <c r="AD20" s="1441"/>
      <c r="AE20" s="91"/>
      <c r="AF20" s="91"/>
      <c r="AG20" s="91"/>
      <c r="AH20" s="91"/>
      <c r="AI20" s="91"/>
      <c r="AJ20" s="1457"/>
      <c r="AK20" s="1443"/>
      <c r="AL20" s="1443"/>
      <c r="AM20" s="1443"/>
      <c r="AN20" s="1443"/>
      <c r="AO20" s="1443"/>
      <c r="AP20" s="1443"/>
      <c r="AQ20" s="1443"/>
      <c r="AR20" s="1443"/>
      <c r="AS20" s="1435"/>
      <c r="AT20" s="1435"/>
    </row>
    <row r="21" spans="1:46" s="1444" customFormat="1" ht="13.5" customHeight="1">
      <c r="A21" s="91">
        <v>20</v>
      </c>
      <c r="B21" s="1445" t="s">
        <v>43</v>
      </c>
      <c r="C21" s="1445" t="s">
        <v>17802</v>
      </c>
      <c r="D21" s="1021" t="s">
        <v>89</v>
      </c>
      <c r="E21" s="1433">
        <v>5</v>
      </c>
      <c r="F21" s="1433"/>
      <c r="G21" s="1021">
        <v>127.3</v>
      </c>
      <c r="H21" s="1446">
        <v>9.1</v>
      </c>
      <c r="I21" s="287"/>
      <c r="J21" s="287"/>
      <c r="K21" s="1434">
        <f t="shared" si="3"/>
        <v>131.85</v>
      </c>
      <c r="L21" s="1012">
        <v>2</v>
      </c>
      <c r="M21" s="1012">
        <v>-1</v>
      </c>
      <c r="N21" s="1012">
        <v>1</v>
      </c>
      <c r="O21" s="91"/>
      <c r="P21" s="1436"/>
      <c r="Q21" s="1436">
        <f t="shared" si="5"/>
        <v>864000</v>
      </c>
      <c r="R21" s="1436">
        <v>900000</v>
      </c>
      <c r="S21" s="1437">
        <f t="shared" si="0"/>
        <v>1</v>
      </c>
      <c r="T21" s="1438">
        <f t="shared" si="1"/>
        <v>0</v>
      </c>
      <c r="U21" s="1435">
        <f t="shared" si="4"/>
        <v>6552.9010238907849</v>
      </c>
      <c r="V21" s="1435">
        <f t="shared" si="2"/>
        <v>6825.9385665529016</v>
      </c>
      <c r="W21" s="1439"/>
      <c r="X21" s="1440"/>
      <c r="Y21" s="1441"/>
      <c r="Z21" s="1441"/>
      <c r="AA21" s="1440"/>
      <c r="AB21" s="1442"/>
      <c r="AC21" s="1440"/>
      <c r="AD21" s="1441"/>
      <c r="AE21" s="91"/>
      <c r="AF21" s="91"/>
      <c r="AG21" s="1447"/>
      <c r="AH21" s="91"/>
      <c r="AI21" s="91"/>
      <c r="AJ21" s="1443"/>
      <c r="AK21" s="1443"/>
      <c r="AL21" s="1443"/>
      <c r="AM21" s="1443"/>
      <c r="AN21" s="1443"/>
      <c r="AO21" s="1443"/>
      <c r="AP21" s="1443"/>
      <c r="AQ21" s="1443"/>
      <c r="AR21" s="1443"/>
      <c r="AS21" s="1435"/>
      <c r="AT21" s="1435"/>
    </row>
    <row r="22" spans="1:46" s="1637" customFormat="1" ht="13.5" customHeight="1">
      <c r="A22" s="1610">
        <v>21</v>
      </c>
      <c r="B22" s="1622" t="s">
        <v>44</v>
      </c>
      <c r="C22" s="1638" t="s">
        <v>17804</v>
      </c>
      <c r="D22" s="1623" t="s">
        <v>90</v>
      </c>
      <c r="E22" s="1624">
        <v>6</v>
      </c>
      <c r="F22" s="1624"/>
      <c r="G22" s="1623">
        <v>58.5</v>
      </c>
      <c r="H22" s="1625">
        <v>6.45</v>
      </c>
      <c r="I22" s="1611"/>
      <c r="J22" s="1611"/>
      <c r="K22" s="1626">
        <f t="shared" si="3"/>
        <v>61.725000000000001</v>
      </c>
      <c r="L22" s="1627">
        <v>1</v>
      </c>
      <c r="M22" s="1627">
        <v>-2</v>
      </c>
      <c r="N22" s="1627"/>
      <c r="O22" s="1610" t="s">
        <v>102</v>
      </c>
      <c r="P22" s="1628"/>
      <c r="Q22" s="1628">
        <f t="shared" si="5"/>
        <v>417600</v>
      </c>
      <c r="R22" s="1628">
        <v>435000</v>
      </c>
      <c r="S22" s="1629">
        <f t="shared" si="0"/>
        <v>1</v>
      </c>
      <c r="T22" s="1630">
        <f t="shared" si="1"/>
        <v>0</v>
      </c>
      <c r="U22" s="1631">
        <f t="shared" si="4"/>
        <v>6765.4921020656138</v>
      </c>
      <c r="V22" s="1631">
        <f t="shared" si="2"/>
        <v>7047.387606318347</v>
      </c>
      <c r="W22" s="1632"/>
      <c r="X22" s="1633"/>
      <c r="Y22" s="1634"/>
      <c r="Z22" s="1634"/>
      <c r="AA22" s="1633"/>
      <c r="AB22" s="1635"/>
      <c r="AC22" s="1633"/>
      <c r="AD22" s="1634"/>
      <c r="AE22" s="1610"/>
      <c r="AF22" s="1610"/>
      <c r="AG22" s="1639"/>
      <c r="AH22" s="1610"/>
      <c r="AI22" s="1610"/>
      <c r="AJ22" s="1610" t="s">
        <v>18002</v>
      </c>
      <c r="AK22" s="1636"/>
      <c r="AL22" s="1636"/>
      <c r="AM22" s="1636"/>
      <c r="AN22" s="1636"/>
      <c r="AO22" s="1636"/>
      <c r="AP22" s="1636"/>
      <c r="AQ22" s="1636"/>
      <c r="AR22" s="1636"/>
      <c r="AS22" s="1631"/>
      <c r="AT22" s="1631"/>
    </row>
    <row r="23" spans="1:46" s="1444" customFormat="1" ht="13.5" customHeight="1">
      <c r="A23" s="91">
        <v>22</v>
      </c>
      <c r="B23" s="1445" t="s">
        <v>45</v>
      </c>
      <c r="C23" s="1432" t="s">
        <v>17805</v>
      </c>
      <c r="D23" s="1021" t="s">
        <v>90</v>
      </c>
      <c r="E23" s="1433">
        <v>6</v>
      </c>
      <c r="F23" s="1433"/>
      <c r="G23" s="1021">
        <v>58.5</v>
      </c>
      <c r="H23" s="1446">
        <v>6.45</v>
      </c>
      <c r="I23" s="287"/>
      <c r="J23" s="287"/>
      <c r="K23" s="1434">
        <f t="shared" si="3"/>
        <v>61.725000000000001</v>
      </c>
      <c r="L23" s="1012">
        <v>1</v>
      </c>
      <c r="M23" s="1012">
        <v>-2</v>
      </c>
      <c r="N23" s="1012"/>
      <c r="O23" s="91"/>
      <c r="P23" s="1436"/>
      <c r="Q23" s="1436">
        <f t="shared" si="5"/>
        <v>408000</v>
      </c>
      <c r="R23" s="1436">
        <v>425000</v>
      </c>
      <c r="S23" s="1437">
        <f t="shared" si="0"/>
        <v>1</v>
      </c>
      <c r="T23" s="1438">
        <f t="shared" si="1"/>
        <v>0</v>
      </c>
      <c r="U23" s="1435">
        <f t="shared" si="4"/>
        <v>6609.9635479951394</v>
      </c>
      <c r="V23" s="1435">
        <f t="shared" si="2"/>
        <v>6885.3786958282708</v>
      </c>
      <c r="W23" s="1439"/>
      <c r="X23" s="1440"/>
      <c r="Y23" s="1441"/>
      <c r="Z23" s="1441"/>
      <c r="AA23" s="1440"/>
      <c r="AB23" s="1442"/>
      <c r="AC23" s="1440"/>
      <c r="AD23" s="1441"/>
      <c r="AE23" s="91"/>
      <c r="AF23" s="91"/>
      <c r="AG23" s="91"/>
      <c r="AH23" s="91"/>
      <c r="AI23" s="91"/>
      <c r="AJ23" s="1449"/>
      <c r="AK23" s="1443"/>
      <c r="AL23" s="1443"/>
      <c r="AM23" s="1443"/>
      <c r="AN23" s="1443"/>
      <c r="AO23" s="1443"/>
      <c r="AP23" s="1443"/>
      <c r="AQ23" s="1443"/>
      <c r="AR23" s="1443"/>
      <c r="AS23" s="1435"/>
      <c r="AT23" s="1435"/>
    </row>
    <row r="24" spans="1:46" s="1637" customFormat="1" ht="13.5" customHeight="1">
      <c r="A24" s="1610">
        <v>23</v>
      </c>
      <c r="B24" s="1622" t="s">
        <v>46</v>
      </c>
      <c r="C24" s="1622" t="s">
        <v>17806</v>
      </c>
      <c r="D24" s="1623" t="s">
        <v>91</v>
      </c>
      <c r="E24" s="1624">
        <v>6</v>
      </c>
      <c r="F24" s="1624"/>
      <c r="G24" s="1623">
        <v>87.5</v>
      </c>
      <c r="H24" s="1625">
        <v>5.57</v>
      </c>
      <c r="I24" s="1611"/>
      <c r="J24" s="1611"/>
      <c r="K24" s="1626">
        <f t="shared" si="3"/>
        <v>90.284999999999997</v>
      </c>
      <c r="L24" s="1627">
        <v>1</v>
      </c>
      <c r="M24" s="1627">
        <v>-2</v>
      </c>
      <c r="N24" s="1627"/>
      <c r="O24" s="1610" t="s">
        <v>102</v>
      </c>
      <c r="P24" s="1628"/>
      <c r="Q24" s="1628">
        <f t="shared" si="5"/>
        <v>576000</v>
      </c>
      <c r="R24" s="1628">
        <v>600000</v>
      </c>
      <c r="S24" s="1629">
        <f t="shared" si="0"/>
        <v>1</v>
      </c>
      <c r="T24" s="1630">
        <f t="shared" si="1"/>
        <v>0</v>
      </c>
      <c r="U24" s="1631">
        <f t="shared" si="4"/>
        <v>6379.7973085230105</v>
      </c>
      <c r="V24" s="1631">
        <f t="shared" si="2"/>
        <v>6645.6221963781363</v>
      </c>
      <c r="W24" s="1632"/>
      <c r="X24" s="1633"/>
      <c r="Y24" s="1634"/>
      <c r="Z24" s="1634"/>
      <c r="AA24" s="1633"/>
      <c r="AB24" s="1635"/>
      <c r="AC24" s="1633"/>
      <c r="AD24" s="1634"/>
      <c r="AE24" s="1610"/>
      <c r="AF24" s="1610"/>
      <c r="AG24" s="1610"/>
      <c r="AH24" s="1610"/>
      <c r="AI24" s="1610"/>
      <c r="AJ24" s="1610" t="s">
        <v>18386</v>
      </c>
      <c r="AK24" s="1636"/>
      <c r="AL24" s="1636"/>
      <c r="AM24" s="1636"/>
      <c r="AN24" s="1636"/>
      <c r="AO24" s="1636"/>
      <c r="AP24" s="1636"/>
      <c r="AQ24" s="1636"/>
      <c r="AR24" s="1636"/>
      <c r="AS24" s="1631"/>
      <c r="AT24" s="1631"/>
    </row>
    <row r="25" spans="1:46" s="1444" customFormat="1" ht="13.5" customHeight="1">
      <c r="A25" s="91">
        <v>24</v>
      </c>
      <c r="B25" s="1445" t="s">
        <v>47</v>
      </c>
      <c r="C25" s="1445" t="s">
        <v>17807</v>
      </c>
      <c r="D25" s="1021" t="s">
        <v>89</v>
      </c>
      <c r="E25" s="1433">
        <v>6</v>
      </c>
      <c r="F25" s="1433"/>
      <c r="G25" s="1021">
        <v>127.3</v>
      </c>
      <c r="H25" s="1446">
        <v>9.1</v>
      </c>
      <c r="I25" s="287"/>
      <c r="J25" s="287"/>
      <c r="K25" s="1434">
        <f t="shared" si="3"/>
        <v>131.85</v>
      </c>
      <c r="L25" s="1012">
        <v>2</v>
      </c>
      <c r="M25" s="1012">
        <v>-1</v>
      </c>
      <c r="N25" s="1012">
        <v>1</v>
      </c>
      <c r="O25" s="91"/>
      <c r="P25" s="1436"/>
      <c r="Q25" s="1436">
        <f t="shared" si="5"/>
        <v>883200</v>
      </c>
      <c r="R25" s="1436">
        <v>920000</v>
      </c>
      <c r="S25" s="1437">
        <f t="shared" si="0"/>
        <v>1</v>
      </c>
      <c r="T25" s="1438">
        <f t="shared" si="1"/>
        <v>0</v>
      </c>
      <c r="U25" s="1435">
        <f t="shared" si="4"/>
        <v>6698.5210466439139</v>
      </c>
      <c r="V25" s="1435">
        <f t="shared" si="2"/>
        <v>6977.6260902540771</v>
      </c>
      <c r="W25" s="1439"/>
      <c r="X25" s="1440"/>
      <c r="Y25" s="1441"/>
      <c r="Z25" s="1441"/>
      <c r="AA25" s="1440"/>
      <c r="AB25" s="1442"/>
      <c r="AC25" s="1440"/>
      <c r="AD25" s="1441"/>
      <c r="AE25" s="91"/>
      <c r="AF25" s="91"/>
      <c r="AG25" s="91"/>
      <c r="AH25" s="91"/>
      <c r="AI25" s="91"/>
      <c r="AJ25" s="91"/>
      <c r="AK25" s="1443"/>
      <c r="AL25" s="1443"/>
      <c r="AM25" s="1443"/>
      <c r="AN25" s="1443"/>
      <c r="AO25" s="1443"/>
      <c r="AP25" s="1443"/>
      <c r="AQ25" s="1443"/>
      <c r="AR25" s="1443"/>
      <c r="AS25" s="1435"/>
      <c r="AT25" s="1435"/>
    </row>
    <row r="26" spans="1:46" s="1637" customFormat="1" ht="13.5" customHeight="1">
      <c r="A26" s="1610">
        <v>25</v>
      </c>
      <c r="B26" s="1622" t="s">
        <v>48</v>
      </c>
      <c r="C26" s="1638" t="s">
        <v>17808</v>
      </c>
      <c r="D26" s="1623" t="s">
        <v>90</v>
      </c>
      <c r="E26" s="1624">
        <v>7</v>
      </c>
      <c r="F26" s="1624"/>
      <c r="G26" s="1623">
        <v>58.5</v>
      </c>
      <c r="H26" s="1625">
        <v>6.45</v>
      </c>
      <c r="I26" s="1611"/>
      <c r="J26" s="1611"/>
      <c r="K26" s="1626">
        <f t="shared" si="3"/>
        <v>61.725000000000001</v>
      </c>
      <c r="L26" s="1627">
        <v>1</v>
      </c>
      <c r="M26" s="1627">
        <v>-2</v>
      </c>
      <c r="N26" s="1627"/>
      <c r="O26" s="1610" t="s">
        <v>102</v>
      </c>
      <c r="P26" s="1628"/>
      <c r="Q26" s="1628">
        <f t="shared" si="5"/>
        <v>427200</v>
      </c>
      <c r="R26" s="1628">
        <v>445000</v>
      </c>
      <c r="S26" s="1629">
        <f t="shared" si="0"/>
        <v>1</v>
      </c>
      <c r="T26" s="1630">
        <f t="shared" si="1"/>
        <v>0</v>
      </c>
      <c r="U26" s="1631">
        <f>Q26/K26</f>
        <v>6921.0206561360874</v>
      </c>
      <c r="V26" s="1631">
        <f t="shared" si="2"/>
        <v>7209.3965168084242</v>
      </c>
      <c r="W26" s="1632"/>
      <c r="X26" s="1633"/>
      <c r="Y26" s="1848"/>
      <c r="Z26" s="1848"/>
      <c r="AA26" s="1848"/>
      <c r="AB26" s="1848"/>
      <c r="AC26" s="1633"/>
      <c r="AD26" s="1634"/>
      <c r="AE26" s="1610"/>
      <c r="AF26" s="1610"/>
      <c r="AG26" s="1610"/>
      <c r="AH26" s="1610"/>
      <c r="AI26" s="1610"/>
      <c r="AJ26" s="1610" t="s">
        <v>18381</v>
      </c>
      <c r="AK26" s="1636"/>
      <c r="AL26" s="1636"/>
      <c r="AM26" s="1636"/>
      <c r="AN26" s="1636"/>
      <c r="AO26" s="1636"/>
      <c r="AP26" s="1636"/>
      <c r="AQ26" s="1636"/>
      <c r="AR26" s="1636"/>
      <c r="AS26" s="1631"/>
      <c r="AT26" s="1631"/>
    </row>
    <row r="27" spans="1:46" s="1444" customFormat="1" ht="13.5" customHeight="1">
      <c r="A27" s="91">
        <v>26</v>
      </c>
      <c r="B27" s="1445" t="s">
        <v>49</v>
      </c>
      <c r="C27" s="1432" t="s">
        <v>17809</v>
      </c>
      <c r="D27" s="1021" t="s">
        <v>90</v>
      </c>
      <c r="E27" s="1433">
        <v>7</v>
      </c>
      <c r="F27" s="1433"/>
      <c r="G27" s="1021">
        <v>58.5</v>
      </c>
      <c r="H27" s="1451">
        <v>6.45</v>
      </c>
      <c r="I27" s="287"/>
      <c r="J27" s="287"/>
      <c r="K27" s="1434">
        <f t="shared" si="3"/>
        <v>61.725000000000001</v>
      </c>
      <c r="L27" s="1012">
        <v>1</v>
      </c>
      <c r="M27" s="1012">
        <v>-1</v>
      </c>
      <c r="N27" s="1012"/>
      <c r="O27" s="91"/>
      <c r="P27" s="1436"/>
      <c r="Q27" s="1436">
        <f t="shared" si="5"/>
        <v>417600</v>
      </c>
      <c r="R27" s="1436">
        <v>435000</v>
      </c>
      <c r="S27" s="1437">
        <f t="shared" si="0"/>
        <v>1</v>
      </c>
      <c r="T27" s="1438">
        <f t="shared" si="1"/>
        <v>0</v>
      </c>
      <c r="U27" s="1435">
        <f t="shared" si="4"/>
        <v>6765.4921020656138</v>
      </c>
      <c r="V27" s="1435">
        <f t="shared" si="2"/>
        <v>7047.387606318347</v>
      </c>
      <c r="W27" s="1439"/>
      <c r="X27" s="1440"/>
      <c r="Y27" s="1441"/>
      <c r="Z27" s="1441"/>
      <c r="AA27" s="1440"/>
      <c r="AB27" s="1442"/>
      <c r="AC27" s="1440"/>
      <c r="AD27" s="1441"/>
      <c r="AE27" s="91"/>
      <c r="AF27" s="91"/>
      <c r="AG27" s="91"/>
      <c r="AH27" s="91"/>
      <c r="AI27" s="91"/>
      <c r="AJ27" s="91"/>
      <c r="AK27" s="1443"/>
      <c r="AL27" s="1443"/>
      <c r="AM27" s="1443"/>
      <c r="AN27" s="1443"/>
      <c r="AO27" s="1443"/>
      <c r="AP27" s="1443"/>
      <c r="AQ27" s="1443"/>
      <c r="AR27" s="1443"/>
      <c r="AS27" s="1435"/>
      <c r="AT27" s="1435"/>
    </row>
    <row r="28" spans="1:46" s="1444" customFormat="1" ht="13.5" customHeight="1">
      <c r="A28" s="91">
        <v>27</v>
      </c>
      <c r="B28" s="1445" t="s">
        <v>50</v>
      </c>
      <c r="C28" s="1445" t="s">
        <v>17810</v>
      </c>
      <c r="D28" s="1021" t="s">
        <v>91</v>
      </c>
      <c r="E28" s="1433">
        <v>7</v>
      </c>
      <c r="F28" s="1433"/>
      <c r="G28" s="1021">
        <v>87.5</v>
      </c>
      <c r="H28" s="1446">
        <v>5.57</v>
      </c>
      <c r="I28" s="287"/>
      <c r="J28" s="287"/>
      <c r="K28" s="1434">
        <f t="shared" si="3"/>
        <v>90.284999999999997</v>
      </c>
      <c r="L28" s="1012">
        <v>1</v>
      </c>
      <c r="M28" s="1012">
        <v>-1</v>
      </c>
      <c r="N28" s="1012"/>
      <c r="O28" s="91"/>
      <c r="P28" s="1436"/>
      <c r="Q28" s="1436">
        <f t="shared" si="5"/>
        <v>585600</v>
      </c>
      <c r="R28" s="1436">
        <v>610000</v>
      </c>
      <c r="S28" s="1437">
        <f t="shared" si="0"/>
        <v>1</v>
      </c>
      <c r="T28" s="1438">
        <f t="shared" si="1"/>
        <v>0</v>
      </c>
      <c r="U28" s="1435">
        <f t="shared" si="4"/>
        <v>6486.127263665061</v>
      </c>
      <c r="V28" s="1435">
        <f t="shared" si="2"/>
        <v>6756.3825663177713</v>
      </c>
      <c r="W28" s="1439"/>
      <c r="X28" s="1440"/>
      <c r="Y28" s="1441"/>
      <c r="Z28" s="1441"/>
      <c r="AA28" s="1440"/>
      <c r="AB28" s="1442"/>
      <c r="AC28" s="1440"/>
      <c r="AD28" s="1441"/>
      <c r="AE28" s="91"/>
      <c r="AF28" s="91"/>
      <c r="AG28" s="91"/>
      <c r="AH28" s="91"/>
      <c r="AI28" s="91"/>
      <c r="AJ28" s="91"/>
      <c r="AK28" s="1443"/>
      <c r="AL28" s="1443"/>
      <c r="AM28" s="1443"/>
      <c r="AN28" s="1443"/>
      <c r="AO28" s="1443"/>
      <c r="AP28" s="1443"/>
      <c r="AQ28" s="1443"/>
      <c r="AR28" s="1443"/>
      <c r="AS28" s="1435"/>
      <c r="AT28" s="1435"/>
    </row>
    <row r="29" spans="1:46" s="1444" customFormat="1" ht="13.5" customHeight="1">
      <c r="A29" s="91">
        <v>28</v>
      </c>
      <c r="B29" s="1445" t="s">
        <v>51</v>
      </c>
      <c r="C29" s="1445" t="s">
        <v>17811</v>
      </c>
      <c r="D29" s="1021" t="s">
        <v>89</v>
      </c>
      <c r="E29" s="1433">
        <v>7</v>
      </c>
      <c r="F29" s="1433"/>
      <c r="G29" s="1021">
        <v>127.3</v>
      </c>
      <c r="H29" s="1446">
        <v>9.1</v>
      </c>
      <c r="I29" s="287"/>
      <c r="J29" s="287"/>
      <c r="K29" s="1434">
        <f t="shared" si="3"/>
        <v>131.85</v>
      </c>
      <c r="L29" s="1012" t="s">
        <v>17876</v>
      </c>
      <c r="M29" s="1012">
        <v>-2</v>
      </c>
      <c r="N29" s="1012"/>
      <c r="O29" s="91"/>
      <c r="P29" s="1436"/>
      <c r="Q29" s="1436">
        <f t="shared" si="5"/>
        <v>902400</v>
      </c>
      <c r="R29" s="1436">
        <v>940000</v>
      </c>
      <c r="S29" s="1437">
        <f t="shared" si="0"/>
        <v>1</v>
      </c>
      <c r="T29" s="1438">
        <f t="shared" si="1"/>
        <v>0</v>
      </c>
      <c r="U29" s="1435">
        <f t="shared" si="4"/>
        <v>6844.141069397042</v>
      </c>
      <c r="V29" s="1435">
        <f t="shared" si="2"/>
        <v>7129.3136139552525</v>
      </c>
      <c r="W29" s="1439"/>
      <c r="X29" s="1440"/>
      <c r="Y29" s="1441"/>
      <c r="Z29" s="1441"/>
      <c r="AA29" s="1440"/>
      <c r="AB29" s="1442"/>
      <c r="AC29" s="1440"/>
      <c r="AD29" s="1441"/>
      <c r="AE29" s="91"/>
      <c r="AF29" s="91"/>
      <c r="AG29" s="91"/>
      <c r="AH29" s="91"/>
      <c r="AI29" s="91"/>
      <c r="AJ29" s="91"/>
      <c r="AK29" s="1443"/>
      <c r="AL29" s="1443"/>
      <c r="AM29" s="1443"/>
      <c r="AN29" s="1443"/>
      <c r="AO29" s="1443"/>
      <c r="AP29" s="1443"/>
      <c r="AQ29" s="1443"/>
      <c r="AR29" s="1443"/>
      <c r="AS29" s="1435"/>
      <c r="AT29" s="1435"/>
    </row>
    <row r="30" spans="1:46" s="1444" customFormat="1" ht="13.5" customHeight="1">
      <c r="A30" s="91">
        <v>29</v>
      </c>
      <c r="B30" s="1445" t="s">
        <v>52</v>
      </c>
      <c r="C30" s="1445" t="s">
        <v>17790</v>
      </c>
      <c r="D30" s="1021" t="s">
        <v>93</v>
      </c>
      <c r="E30" s="1433">
        <v>8</v>
      </c>
      <c r="F30" s="1433"/>
      <c r="G30" s="1021">
        <v>196.1</v>
      </c>
      <c r="H30" s="1446">
        <v>14.36</v>
      </c>
      <c r="I30" s="287">
        <v>119.3</v>
      </c>
      <c r="J30" s="287"/>
      <c r="K30" s="1434">
        <f>G30+0.5*H30+0.5*I30</f>
        <v>262.93</v>
      </c>
      <c r="L30" s="1012" t="s">
        <v>17877</v>
      </c>
      <c r="M30" s="1012">
        <v>-1</v>
      </c>
      <c r="N30" s="1012"/>
      <c r="O30" s="91"/>
      <c r="P30" s="1436"/>
      <c r="Q30" s="1436">
        <f t="shared" si="5"/>
        <v>1488000</v>
      </c>
      <c r="R30" s="1436">
        <v>1550000</v>
      </c>
      <c r="S30" s="1437">
        <f t="shared" si="0"/>
        <v>1</v>
      </c>
      <c r="T30" s="1438">
        <f t="shared" si="1"/>
        <v>0</v>
      </c>
      <c r="U30" s="1435">
        <f t="shared" si="4"/>
        <v>5659.3009546267067</v>
      </c>
      <c r="V30" s="1435">
        <f t="shared" si="2"/>
        <v>5895.1051610694858</v>
      </c>
      <c r="W30" s="1439"/>
      <c r="X30" s="1440"/>
      <c r="Y30" s="1441"/>
      <c r="Z30" s="1441"/>
      <c r="AA30" s="1440"/>
      <c r="AB30" s="1442"/>
      <c r="AC30" s="1440"/>
      <c r="AD30" s="1441"/>
      <c r="AE30" s="1452"/>
      <c r="AF30" s="91"/>
      <c r="AG30" s="1447"/>
      <c r="AH30" s="91"/>
      <c r="AI30" s="91"/>
      <c r="AJ30" s="1443"/>
      <c r="AK30" s="1443"/>
      <c r="AL30" s="1443"/>
      <c r="AM30" s="1443"/>
      <c r="AN30" s="1443"/>
      <c r="AO30" s="1443"/>
      <c r="AP30" s="1443"/>
      <c r="AQ30" s="1443"/>
      <c r="AR30" s="1443"/>
      <c r="AS30" s="1435"/>
      <c r="AT30" s="1435"/>
    </row>
    <row r="31" spans="1:46" s="1444" customFormat="1" ht="13.5" customHeight="1">
      <c r="A31" s="91">
        <v>30</v>
      </c>
      <c r="B31" s="1453" t="s">
        <v>53</v>
      </c>
      <c r="C31" s="1445" t="s">
        <v>17791</v>
      </c>
      <c r="D31" s="1021" t="s">
        <v>89</v>
      </c>
      <c r="E31" s="1433">
        <v>8</v>
      </c>
      <c r="F31" s="1433"/>
      <c r="G31" s="1021">
        <v>151</v>
      </c>
      <c r="H31" s="1446">
        <v>19.920000000000002</v>
      </c>
      <c r="I31" s="287"/>
      <c r="J31" s="287"/>
      <c r="K31" s="1434">
        <f t="shared" si="3"/>
        <v>160.96</v>
      </c>
      <c r="L31" s="1012" t="s">
        <v>17876</v>
      </c>
      <c r="M31" s="1012">
        <v>-2</v>
      </c>
      <c r="N31" s="1012"/>
      <c r="O31" s="91"/>
      <c r="P31" s="1436"/>
      <c r="Q31" s="1436">
        <f t="shared" si="5"/>
        <v>1152000</v>
      </c>
      <c r="R31" s="1436">
        <v>1200000</v>
      </c>
      <c r="S31" s="1437">
        <f t="shared" si="0"/>
        <v>1</v>
      </c>
      <c r="T31" s="1438">
        <f t="shared" si="1"/>
        <v>0</v>
      </c>
      <c r="U31" s="1435">
        <f t="shared" si="4"/>
        <v>7157.0576540755465</v>
      </c>
      <c r="V31" s="1435">
        <f t="shared" si="2"/>
        <v>7455.2683896620274</v>
      </c>
      <c r="W31" s="1439"/>
      <c r="X31" s="1440"/>
      <c r="Y31" s="1441"/>
      <c r="Z31" s="1441"/>
      <c r="AA31" s="1440"/>
      <c r="AB31" s="1442"/>
      <c r="AC31" s="1440"/>
      <c r="AD31" s="1441"/>
      <c r="AE31" s="91"/>
      <c r="AF31" s="91"/>
      <c r="AG31" s="91"/>
      <c r="AH31" s="91"/>
      <c r="AI31" s="91"/>
      <c r="AJ31" s="91"/>
      <c r="AK31" s="1443"/>
      <c r="AL31" s="1443"/>
      <c r="AM31" s="1443"/>
      <c r="AN31" s="1443"/>
      <c r="AO31" s="1443"/>
      <c r="AP31" s="1443"/>
      <c r="AQ31" s="1443"/>
      <c r="AR31" s="1443"/>
      <c r="AS31" s="1435"/>
      <c r="AT31" s="1435"/>
    </row>
    <row r="32" spans="1:46" s="192" customFormat="1" ht="13.5" customHeight="1">
      <c r="G32" s="19"/>
      <c r="H32" s="1147"/>
      <c r="K32" s="345">
        <f>SUM(K2:K31)</f>
        <v>2812.0399999999991</v>
      </c>
      <c r="L32" s="345"/>
      <c r="M32" s="345"/>
      <c r="N32" s="345"/>
      <c r="P32" s="346"/>
      <c r="Q32" s="345"/>
      <c r="R32" s="345"/>
      <c r="S32" s="346"/>
      <c r="W32" s="347"/>
      <c r="X32" s="347"/>
      <c r="Y32" s="346"/>
      <c r="Z32" s="346"/>
      <c r="AA32" s="347"/>
      <c r="AB32" s="348"/>
      <c r="AC32" s="347"/>
      <c r="AD32" s="346"/>
    </row>
    <row r="33" spans="1:75" s="192" customFormat="1" ht="13.5" customHeight="1" thickBot="1">
      <c r="G33" s="19"/>
      <c r="H33" s="1147"/>
      <c r="P33" s="346"/>
      <c r="Q33" s="346">
        <f>SUM(Q2:Q31)</f>
        <v>17673600</v>
      </c>
      <c r="R33" s="346">
        <f>SUM(R2:R31)</f>
        <v>18410000</v>
      </c>
      <c r="U33" s="346">
        <f>AVERAGE(U2:U31)</f>
        <v>6357.5071151191969</v>
      </c>
      <c r="V33" s="346">
        <f>AVERAGE(V2:V31)</f>
        <v>6622.4032449158303</v>
      </c>
      <c r="W33" s="347"/>
      <c r="X33" s="348"/>
      <c r="Y33" s="346"/>
      <c r="Z33" s="346"/>
      <c r="AA33" s="348"/>
      <c r="AB33" s="347"/>
      <c r="AC33" s="348"/>
      <c r="AD33" s="346"/>
    </row>
    <row r="34" spans="1:75" ht="13.5" customHeight="1">
      <c r="A34" s="196"/>
      <c r="B34" s="48"/>
      <c r="C34" s="48" t="s">
        <v>139</v>
      </c>
      <c r="D34" s="48" t="s">
        <v>140</v>
      </c>
      <c r="E34" s="197" t="s">
        <v>17</v>
      </c>
      <c r="F34" s="19"/>
      <c r="G34" s="2016" t="s">
        <v>555</v>
      </c>
      <c r="H34" s="2017"/>
      <c r="I34" s="198"/>
    </row>
    <row r="35" spans="1:75" ht="13.5" customHeight="1">
      <c r="A35" s="1996" t="s">
        <v>258</v>
      </c>
      <c r="B35" s="1997"/>
      <c r="C35" s="50">
        <f>COUNTIF(O2:O31,A35)</f>
        <v>0</v>
      </c>
      <c r="D35" s="51">
        <f>SUMIF(O2:O31,A35,P2:P31)</f>
        <v>0</v>
      </c>
      <c r="E35" s="76" t="e">
        <f>AVERAGEIF(O2:O31,A35,T2:T31)</f>
        <v>#DIV/0!</v>
      </c>
      <c r="F35" s="19"/>
      <c r="G35" s="599">
        <v>2025</v>
      </c>
      <c r="H35" s="227">
        <f>COUNTIFS(X2:X31,"&gt;="&amp;DATE(2024,1,1),X2:X31,"&lt;="&amp;DATE(2024,12,31))</f>
        <v>0</v>
      </c>
      <c r="I35" s="198"/>
      <c r="J35" s="2092" t="s">
        <v>17817</v>
      </c>
      <c r="K35" s="1880"/>
      <c r="L35" s="1880"/>
      <c r="M35" s="1880"/>
      <c r="N35" s="1880"/>
      <c r="O35" s="1880"/>
      <c r="P35" s="1880"/>
      <c r="Q35" s="1880"/>
      <c r="R35" s="1880"/>
      <c r="S35" s="1880"/>
      <c r="T35" s="1880"/>
      <c r="U35" s="1880"/>
      <c r="V35" s="1880"/>
    </row>
    <row r="36" spans="1:75" ht="13.5" customHeight="1">
      <c r="A36" s="2002" t="s">
        <v>102</v>
      </c>
      <c r="B36" s="2003"/>
      <c r="C36" s="53">
        <f>COUNTIF(O2:O31,A36)</f>
        <v>3</v>
      </c>
      <c r="D36" s="54">
        <f>SUMIF(O2:O31,A36,Q2:Q31)</f>
        <v>1420800</v>
      </c>
      <c r="E36" s="78">
        <f>AVERAGEIF(O2:O31,A36,U2:U31)</f>
        <v>6688.7700222415706</v>
      </c>
      <c r="F36" s="19"/>
      <c r="G36" s="599">
        <v>2026</v>
      </c>
      <c r="H36" s="227">
        <f>COUNTIFS(X2:X31,"&gt;="&amp;DATE(2023,1,1),X2:X31,"&lt;="&amp;DATE(2023,12,31))</f>
        <v>0</v>
      </c>
      <c r="I36" s="198"/>
      <c r="J36" s="695" t="s">
        <v>17303</v>
      </c>
      <c r="K36" s="691" t="s">
        <v>17304</v>
      </c>
      <c r="L36" s="692" t="s">
        <v>17305</v>
      </c>
      <c r="M36" s="693" t="s">
        <v>17306</v>
      </c>
      <c r="N36" s="693"/>
      <c r="O36" s="693" t="s">
        <v>17307</v>
      </c>
      <c r="P36" s="693" t="s">
        <v>17308</v>
      </c>
      <c r="Q36" s="694" t="s">
        <v>17309</v>
      </c>
      <c r="R36" s="694" t="s">
        <v>17310</v>
      </c>
      <c r="S36" s="695" t="s">
        <v>17311</v>
      </c>
      <c r="T36" s="691" t="s">
        <v>17312</v>
      </c>
      <c r="U36" s="692" t="s">
        <v>17313</v>
      </c>
      <c r="V36" s="1458" t="s">
        <v>17314</v>
      </c>
    </row>
    <row r="37" spans="1:75" ht="13.5" customHeight="1" thickBot="1">
      <c r="A37" s="2008" t="s">
        <v>138</v>
      </c>
      <c r="B37" s="2009"/>
      <c r="C37" s="138">
        <f>COUNTIF(O2:O31,"")</f>
        <v>27</v>
      </c>
      <c r="D37" s="200">
        <f>SUMIF(O2:O31,"",Q2:Q31)</f>
        <v>16252800</v>
      </c>
      <c r="E37" s="201">
        <f>AVERAGEIF(O2:O31,"",U2:U31)</f>
        <v>6320.7001254389334</v>
      </c>
      <c r="F37" s="19"/>
      <c r="G37" s="600">
        <v>2027</v>
      </c>
      <c r="H37" s="216">
        <f>COUNTIFS(X2:X31,"&gt;="&amp;DATE(2024,1,1),X2:X31,"&lt;="&amp;DATE(2024,12,31))</f>
        <v>0</v>
      </c>
      <c r="I37" s="198"/>
      <c r="J37" s="695">
        <f>COUNTIFS(X2:X31,"&gt;="&amp;DATE(2025,1,1),X2:X31,"&lt;="&amp;DATE(2025,1,31))</f>
        <v>0</v>
      </c>
      <c r="K37" s="695">
        <f>COUNTIFS(X2:X31,"&gt;="&amp;DATE(2025,2,1),X2:X31,"&lt;="&amp;DATE(2025,2,28))</f>
        <v>0</v>
      </c>
      <c r="L37" s="695">
        <f>COUNTIFS(X2:X31,"&gt;="&amp;DATE(2025,3,1),X2:X31,"&lt;="&amp;DATE(2025,3,31))</f>
        <v>0</v>
      </c>
      <c r="M37" s="695">
        <f>COUNTIFS(X2:X31,"&gt;="&amp;DATE(2025,4,1),X2:X31,"&lt;="&amp;DATE(2025,4,30))</f>
        <v>0</v>
      </c>
      <c r="N37" s="695"/>
      <c r="O37" s="695">
        <f>COUNTIFS(X2:X31,"&gt;="&amp;DATE(2025,5,1),X2:X31,"&lt;="&amp;DATE(2025,5,31))</f>
        <v>0</v>
      </c>
      <c r="P37" s="695">
        <f>COUNTIFS(X2:X31,"&gt;="&amp;DATE(2025,6,1),X2:X31,"&lt;="&amp;DATE(2025,6,30))</f>
        <v>0</v>
      </c>
      <c r="Q37" s="695">
        <f>COUNTIFS(X2:X31,"&gt;="&amp;DATE(2025,7,1),X2:X31,"&lt;="&amp;DATE(2025,7,31))</f>
        <v>0</v>
      </c>
      <c r="R37" s="695">
        <f>COUNTIFS(X2:X31,"&gt;="&amp;DATE(2025,8,1),X2:X31,"&lt;="&amp;DATE(2025,8,31))</f>
        <v>0</v>
      </c>
      <c r="S37" s="695">
        <f>COUNTIFS(AF2:AF31,"&gt;="&amp;DATE(2025,9,1),AF2:AF31,"&lt;="&amp;DATE(2025,9,30))</f>
        <v>0</v>
      </c>
      <c r="T37" s="695">
        <f>COUNTIFS(X2:X31,"&gt;="&amp;DATE(2025,10,1),X2:X31,"&lt;="&amp;DATE(2025,10,31))</f>
        <v>0</v>
      </c>
      <c r="U37" s="695">
        <f>COUNTIFS(AF2:AF31,"&gt;="&amp;DATE(2025,11,1),AF2:AF31,"&lt;="&amp;DATE(2025,11,30))</f>
        <v>0</v>
      </c>
      <c r="V37" s="5">
        <f>COUNTIFS(X2:X31,"&gt;="&amp;DATE(2025,12,1),X2:X31,"&lt;="&amp;DATE(2025,12,31))</f>
        <v>0</v>
      </c>
    </row>
    <row r="38" spans="1:75" ht="13.5" customHeight="1" thickBot="1">
      <c r="A38" s="2010" t="s">
        <v>210</v>
      </c>
      <c r="B38" s="2011"/>
      <c r="C38" s="202">
        <f>COUNTIF(O1:O31,A38)</f>
        <v>0</v>
      </c>
      <c r="D38" s="203">
        <f>SUMIF(O2:O31,A38,P2:P31)</f>
        <v>0</v>
      </c>
      <c r="E38" s="204" t="e">
        <f>AVERAGEIF(O2:O31,A38,T2:T31)</f>
        <v>#DIV/0!</v>
      </c>
      <c r="F38" s="19"/>
      <c r="G38" s="1148"/>
      <c r="H38" s="198"/>
      <c r="I38" s="198"/>
      <c r="J38" s="2092">
        <v>2026</v>
      </c>
      <c r="K38" s="1880"/>
      <c r="L38" s="1880"/>
      <c r="M38" s="1880"/>
      <c r="N38" s="1880"/>
      <c r="O38" s="1880"/>
      <c r="P38" s="1880"/>
      <c r="Q38" s="1880"/>
      <c r="R38" s="1880"/>
      <c r="S38" s="1880"/>
      <c r="T38" s="1880"/>
      <c r="U38" s="1880"/>
      <c r="V38" s="1880"/>
    </row>
    <row r="39" spans="1:75" s="192" customFormat="1" ht="26.25" thickBot="1">
      <c r="A39" s="1895" t="s">
        <v>269</v>
      </c>
      <c r="B39" s="1896"/>
      <c r="C39" s="205">
        <f>SUBTOTAL(9,C35:C38)</f>
        <v>30</v>
      </c>
      <c r="D39" s="206">
        <f>SUBTOTAL(9,D35:D38)</f>
        <v>17673600</v>
      </c>
      <c r="E39" s="207">
        <f>D39/K32</f>
        <v>6284.9746091805255</v>
      </c>
      <c r="F39" s="19"/>
      <c r="G39" s="1149" t="s">
        <v>544</v>
      </c>
      <c r="H39" s="309">
        <f>(C35)/C39</f>
        <v>0</v>
      </c>
      <c r="I39" s="376"/>
      <c r="J39" s="695" t="s">
        <v>17303</v>
      </c>
      <c r="K39" s="691" t="s">
        <v>17304</v>
      </c>
      <c r="L39" s="692" t="s">
        <v>17305</v>
      </c>
      <c r="M39" s="693" t="s">
        <v>17306</v>
      </c>
      <c r="N39" s="693"/>
      <c r="O39" s="693" t="s">
        <v>17307</v>
      </c>
      <c r="P39" s="693" t="s">
        <v>17308</v>
      </c>
      <c r="Q39" s="694" t="s">
        <v>17309</v>
      </c>
      <c r="R39" s="694" t="s">
        <v>17310</v>
      </c>
      <c r="S39" s="695" t="s">
        <v>17311</v>
      </c>
      <c r="T39" s="691" t="s">
        <v>17312</v>
      </c>
      <c r="U39" s="692" t="s">
        <v>17313</v>
      </c>
      <c r="V39" s="1458" t="s">
        <v>17314</v>
      </c>
      <c r="W39" s="283"/>
      <c r="X39" s="315"/>
      <c r="Y39" s="195"/>
      <c r="Z39" s="195"/>
      <c r="AA39" s="315"/>
      <c r="AB39" s="283"/>
      <c r="AC39" s="315"/>
      <c r="AD39" s="195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88"/>
      <c r="AV39" s="188"/>
      <c r="AW39" s="188"/>
      <c r="AX39" s="188"/>
      <c r="AY39" s="188"/>
      <c r="AZ39" s="188"/>
      <c r="BA39" s="188"/>
      <c r="BB39" s="188"/>
      <c r="BC39" s="188"/>
      <c r="BD39" s="188"/>
      <c r="BE39" s="188"/>
      <c r="BF39" s="188"/>
      <c r="BG39" s="188"/>
      <c r="BH39" s="188"/>
      <c r="BI39" s="188"/>
      <c r="BJ39" s="188"/>
      <c r="BK39" s="188"/>
      <c r="BL39" s="188"/>
      <c r="BM39" s="188"/>
      <c r="BN39" s="188"/>
      <c r="BO39" s="188"/>
      <c r="BP39" s="188"/>
      <c r="BQ39" s="188"/>
      <c r="BR39" s="188"/>
      <c r="BS39" s="188"/>
      <c r="BT39" s="188"/>
      <c r="BU39" s="188"/>
      <c r="BV39" s="188"/>
      <c r="BW39" s="188"/>
    </row>
    <row r="40" spans="1:75" ht="13.5" customHeight="1" thickBot="1">
      <c r="A40" s="198"/>
      <c r="B40" s="198"/>
      <c r="C40" s="198"/>
      <c r="D40" s="198"/>
      <c r="E40" s="357"/>
      <c r="F40" s="198"/>
      <c r="G40" s="647"/>
      <c r="H40" s="188"/>
      <c r="J40" s="695">
        <f>COUNTIFS(X5:X34,"&gt;="&amp;DATE(2026,1,1),X5:X34,"&lt;="&amp;DATE(2026,1,31))</f>
        <v>0</v>
      </c>
      <c r="K40" s="695">
        <f>COUNTIFS(X5:X34,"&gt;="&amp;DATE(2026,2,1),X5:X34,"&lt;="&amp;DATE(2026,2,28))</f>
        <v>0</v>
      </c>
      <c r="L40" s="695">
        <f>COUNTIFS(X5:X34,"&gt;="&amp;DATE(2026,3,1),X5:X34,"&lt;="&amp;DATE(2026,3,31))</f>
        <v>0</v>
      </c>
      <c r="M40" s="695">
        <f>COUNTIFS(X5:X34,"&gt;="&amp;DATE(2026,4,1),X5:X34,"&lt;="&amp;DATE(2026,4,30))</f>
        <v>0</v>
      </c>
      <c r="N40" s="695"/>
      <c r="O40" s="695">
        <f>COUNTIFS(X5:X34,"&gt;="&amp;DATE(2026,5,1),X5:X34,"&lt;="&amp;DATE(2026,5,31))</f>
        <v>0</v>
      </c>
      <c r="P40" s="695">
        <f>COUNTIFS(X5:X34,"&gt;="&amp;DATE(2026,6,1),X5:X34,"&lt;="&amp;DATE(2026,6,30))</f>
        <v>0</v>
      </c>
      <c r="Q40" s="695">
        <f>COUNTIFS(X5:X34,"&gt;="&amp;DATE(2026,7,1),X5:X34,"&lt;="&amp;DATE(2026,7,31))</f>
        <v>0</v>
      </c>
      <c r="R40" s="695">
        <f>COUNTIFS(X5:X34,"&gt;="&amp;DATE(2026,8,1),X5:X34,"&lt;="&amp;DATE(2026,8,31))</f>
        <v>0</v>
      </c>
      <c r="S40" s="695">
        <f>COUNTIFS(AF5:AF34,"&gt;="&amp;DATE(2026,9,1),AF5:AF34,"&lt;="&amp;DATE(2026,9,30))</f>
        <v>0</v>
      </c>
      <c r="T40" s="695">
        <f>COUNTIFS(AF5:AF34,"&gt;="&amp;DATE(2026,10,1),AF5:AF34,"&lt;="&amp;DATE(2026,10,31))</f>
        <v>0</v>
      </c>
      <c r="U40" s="695">
        <f>COUNTIFS(AF5:AF34,"&gt;="&amp;DATE(2026,11,1),AF5:AF34,"&lt;="&amp;DATE(2026,11,30))</f>
        <v>0</v>
      </c>
      <c r="V40" s="5">
        <f>COUNTIFS(AF5:AF34,"&gt;="&amp;DATE(2026,12,1),AF5:AF34,"&lt;="&amp;DATE(2026,12,31))</f>
        <v>0</v>
      </c>
      <c r="W40" s="195"/>
      <c r="X40" s="195"/>
      <c r="Y40" s="315"/>
      <c r="Z40" s="283"/>
      <c r="AB40" s="195"/>
      <c r="AC40" s="188"/>
      <c r="AD40" s="188"/>
    </row>
    <row r="41" spans="1:75" ht="13.5" customHeight="1" thickBot="1">
      <c r="A41" s="2006" t="s">
        <v>139</v>
      </c>
      <c r="B41" s="2007"/>
      <c r="C41" s="48" t="s">
        <v>90</v>
      </c>
      <c r="D41" s="48" t="s">
        <v>91</v>
      </c>
      <c r="E41" s="48" t="s">
        <v>89</v>
      </c>
      <c r="F41" s="48" t="s">
        <v>93</v>
      </c>
      <c r="G41" s="359" t="s">
        <v>141</v>
      </c>
      <c r="H41" s="198"/>
      <c r="I41" s="198"/>
      <c r="J41" s="1465"/>
      <c r="K41" s="1465"/>
      <c r="L41" s="1465"/>
      <c r="M41" s="1465"/>
      <c r="N41" s="1465"/>
      <c r="O41" s="1465"/>
      <c r="P41" s="1465"/>
      <c r="Q41" s="1465"/>
      <c r="R41" s="1465"/>
      <c r="S41" s="1465"/>
      <c r="T41" s="1465"/>
      <c r="U41" s="1465"/>
      <c r="V41" s="188"/>
    </row>
    <row r="42" spans="1:75" ht="13.5" customHeight="1">
      <c r="A42" s="1996" t="s">
        <v>258</v>
      </c>
      <c r="B42" s="1997"/>
      <c r="C42" s="50">
        <f>COUNTIFS($O$2:$O$31,$A$42,$D$2:$D$31,C41)</f>
        <v>0</v>
      </c>
      <c r="D42" s="50">
        <f>COUNTIFS($O$2:$O$31,$A$42,$D$2:$D$31,D41)</f>
        <v>0</v>
      </c>
      <c r="E42" s="50">
        <v>0</v>
      </c>
      <c r="F42" s="50">
        <f>COUNTIFS(O2:O31,A42,D2:D31,F41)</f>
        <v>0</v>
      </c>
      <c r="G42" s="260">
        <f>SUM(C42:F42)</f>
        <v>0</v>
      </c>
      <c r="H42" s="198"/>
      <c r="I42" s="198"/>
      <c r="J42" s="1465"/>
      <c r="K42" s="1465"/>
      <c r="L42" s="1465"/>
      <c r="M42" s="1465"/>
      <c r="N42" s="1465"/>
      <c r="O42" s="1465"/>
      <c r="P42" s="1465"/>
      <c r="Q42" s="1465"/>
      <c r="R42" s="1465"/>
      <c r="S42" s="1465"/>
      <c r="T42" s="1465"/>
      <c r="U42" s="1465"/>
      <c r="V42" s="188"/>
      <c r="W42" s="195"/>
      <c r="X42" s="195"/>
      <c r="Y42" s="315"/>
      <c r="Z42" s="283"/>
      <c r="AB42" s="195"/>
      <c r="AC42" s="188"/>
      <c r="AD42" s="188"/>
    </row>
    <row r="43" spans="1:75" ht="13.5" customHeight="1">
      <c r="A43" s="2002" t="s">
        <v>102</v>
      </c>
      <c r="B43" s="2015"/>
      <c r="C43" s="53">
        <f>COUNTIFS($O$2:$O$31,$A$43,$D$2:$D$31,C41)</f>
        <v>2</v>
      </c>
      <c r="D43" s="53">
        <f>COUNTIFS($O$2:$O$31,$A$43,$D$2:$D$31,D41)</f>
        <v>1</v>
      </c>
      <c r="E43" s="53">
        <v>0</v>
      </c>
      <c r="F43" s="53">
        <f>COUNTIFS(O2:O31,A43,D2:D31,F41)</f>
        <v>0</v>
      </c>
      <c r="G43" s="263">
        <f>SUM(C43:F43)</f>
        <v>3</v>
      </c>
      <c r="H43" s="198"/>
      <c r="I43" s="198"/>
      <c r="M43" s="1465"/>
      <c r="N43" s="1465"/>
      <c r="O43" s="1465"/>
      <c r="P43" s="1465"/>
      <c r="Q43" s="1465"/>
      <c r="R43" s="1465"/>
      <c r="S43" s="1465"/>
      <c r="T43" s="1465"/>
      <c r="U43" s="1465"/>
      <c r="V43" s="188"/>
      <c r="W43" s="195"/>
      <c r="X43" s="195"/>
      <c r="Y43" s="315"/>
      <c r="Z43" s="283"/>
      <c r="AB43" s="195"/>
      <c r="AC43" s="188"/>
      <c r="AD43" s="188"/>
    </row>
    <row r="44" spans="1:75" ht="13.5" customHeight="1" thickBot="1">
      <c r="A44" s="1988" t="s">
        <v>138</v>
      </c>
      <c r="B44" s="1989"/>
      <c r="C44" s="138">
        <f>COUNTIFS(O2:O31,"",D2:D31,C41)</f>
        <v>12</v>
      </c>
      <c r="D44" s="138">
        <f>COUNTIFS(O2:O31,"",D2:D31,D41)</f>
        <v>9</v>
      </c>
      <c r="E44" s="138">
        <v>5</v>
      </c>
      <c r="F44" s="138">
        <f>COUNTIFS(O2:O31,"",D2:D31,F41)</f>
        <v>1</v>
      </c>
      <c r="G44" s="377">
        <f>SUM(C44:F44)</f>
        <v>27</v>
      </c>
      <c r="H44" s="198"/>
      <c r="I44" s="198"/>
      <c r="J44" s="1465"/>
      <c r="K44" s="1465"/>
      <c r="L44" s="1465"/>
      <c r="M44" s="1465"/>
      <c r="N44" s="1465"/>
      <c r="O44" s="1465"/>
      <c r="P44" s="1465"/>
      <c r="Q44" s="1465"/>
      <c r="R44" s="1465"/>
      <c r="S44" s="1465"/>
      <c r="T44" s="1465"/>
      <c r="U44" s="1465"/>
      <c r="V44" s="188"/>
    </row>
    <row r="45" spans="1:75" ht="13.5" customHeight="1" thickBot="1">
      <c r="A45" s="1990" t="s">
        <v>210</v>
      </c>
      <c r="B45" s="1991"/>
      <c r="C45" s="202">
        <f>COUNTIFS(M2:M31,#REF!,B2:B31,C41)</f>
        <v>0</v>
      </c>
      <c r="D45" s="202">
        <f>COUNTIFS(O2:O31,A45,D2:D31,D41)</f>
        <v>0</v>
      </c>
      <c r="E45" s="202">
        <v>0</v>
      </c>
      <c r="F45" s="202">
        <f>COUNTIFS(O2:O31,A45,D2:D31,F41)</f>
        <v>0</v>
      </c>
      <c r="G45" s="378">
        <f>SUM(C45:F45)</f>
        <v>0</v>
      </c>
      <c r="H45" s="198"/>
      <c r="I45" s="198"/>
      <c r="J45" s="1465"/>
      <c r="K45" s="1465"/>
      <c r="L45" s="1465"/>
      <c r="M45" s="1465"/>
      <c r="N45" s="1465"/>
      <c r="O45" s="1465"/>
      <c r="P45" s="1465"/>
      <c r="Q45" s="1465"/>
      <c r="R45" s="1465"/>
      <c r="S45" s="1465"/>
      <c r="T45" s="1465"/>
      <c r="U45" s="1465"/>
      <c r="V45" s="188"/>
    </row>
    <row r="46" spans="1:75" ht="13.5" customHeight="1" thickBot="1">
      <c r="A46" s="1992" t="s">
        <v>141</v>
      </c>
      <c r="B46" s="1993"/>
      <c r="C46" s="56">
        <f>SUM(C42:C45)</f>
        <v>14</v>
      </c>
      <c r="D46" s="56">
        <f>SUM(D42:D45)</f>
        <v>10</v>
      </c>
      <c r="E46" s="56">
        <v>5</v>
      </c>
      <c r="F46" s="56">
        <f>SUM(F42:F45)</f>
        <v>1</v>
      </c>
      <c r="G46" s="264">
        <f>SUM(G42:G45)</f>
        <v>30</v>
      </c>
      <c r="H46" s="198"/>
      <c r="I46" s="198"/>
      <c r="J46" s="644"/>
      <c r="K46" s="40"/>
      <c r="L46" s="40"/>
      <c r="M46" s="40"/>
      <c r="N46" s="40"/>
      <c r="O46" s="40"/>
      <c r="P46" s="40"/>
      <c r="Q46" s="40"/>
      <c r="R46" s="40"/>
      <c r="S46" s="40"/>
      <c r="T46" s="40"/>
      <c r="AE46" s="188">
        <v>248640</v>
      </c>
    </row>
    <row r="47" spans="1:75" ht="13.5" customHeight="1" thickBot="1">
      <c r="A47" s="198"/>
      <c r="B47" s="198"/>
      <c r="C47" s="198"/>
      <c r="D47" s="198"/>
      <c r="E47" s="198"/>
      <c r="F47" s="198"/>
      <c r="G47" s="357"/>
      <c r="H47" s="198"/>
      <c r="I47" s="198"/>
      <c r="J47" s="644"/>
      <c r="K47" s="40"/>
      <c r="L47" s="40"/>
      <c r="M47" s="40"/>
      <c r="N47" s="40"/>
      <c r="O47" s="40"/>
      <c r="P47" s="40"/>
      <c r="Q47" s="40"/>
      <c r="R47" s="40"/>
      <c r="S47" s="40"/>
      <c r="T47" s="40"/>
      <c r="AE47" s="315">
        <v>33100</v>
      </c>
    </row>
    <row r="48" spans="1:75" ht="13.5" customHeight="1" thickBot="1">
      <c r="A48" s="198"/>
      <c r="B48" s="198"/>
      <c r="C48" s="198"/>
      <c r="D48" s="198"/>
      <c r="E48" s="198"/>
      <c r="F48" s="198"/>
      <c r="G48" s="332"/>
      <c r="H48" s="198"/>
      <c r="I48" s="198"/>
      <c r="J48" s="1890" t="s">
        <v>17437</v>
      </c>
      <c r="K48" s="1891"/>
      <c r="L48" s="1891"/>
      <c r="M48" s="1892"/>
      <c r="N48" s="1525"/>
      <c r="O48" s="40"/>
      <c r="P48" s="1890" t="s">
        <v>17441</v>
      </c>
      <c r="Q48" s="1891"/>
      <c r="R48" s="1891"/>
      <c r="S48" s="40"/>
      <c r="T48" s="40"/>
      <c r="AE48" s="315">
        <f>(20%*AE46)-AE47</f>
        <v>16628</v>
      </c>
    </row>
    <row r="49" spans="1:31" ht="13.5" customHeight="1">
      <c r="A49" s="1994" t="s">
        <v>142</v>
      </c>
      <c r="B49" s="1995"/>
      <c r="C49" s="48" t="s">
        <v>90</v>
      </c>
      <c r="D49" s="48" t="s">
        <v>91</v>
      </c>
      <c r="E49" s="48" t="s">
        <v>89</v>
      </c>
      <c r="F49" s="48" t="s">
        <v>93</v>
      </c>
      <c r="G49" s="359" t="s">
        <v>141</v>
      </c>
      <c r="H49" s="198"/>
      <c r="I49" s="198"/>
      <c r="J49" s="1150"/>
      <c r="K49" s="1011" t="s">
        <v>17438</v>
      </c>
      <c r="L49" s="1011">
        <v>2025</v>
      </c>
      <c r="M49" s="1011" t="s">
        <v>17444</v>
      </c>
      <c r="N49" s="192"/>
      <c r="O49" s="40"/>
      <c r="P49" s="1010"/>
      <c r="Q49" s="1011" t="s">
        <v>17438</v>
      </c>
      <c r="R49" s="1011">
        <v>2025</v>
      </c>
      <c r="S49" s="40"/>
      <c r="T49" s="40"/>
      <c r="AE49" s="315">
        <f>AE46-AE47-AE48</f>
        <v>198912</v>
      </c>
    </row>
    <row r="50" spans="1:31" ht="13.5" customHeight="1">
      <c r="A50" s="1996" t="s">
        <v>258</v>
      </c>
      <c r="B50" s="1997"/>
      <c r="C50" s="51" t="e">
        <f>AVERAGEIFS(T2:T31,O2:O31,A50,D2:D31,C49)</f>
        <v>#DIV/0!</v>
      </c>
      <c r="D50" s="51" t="e">
        <f>AVERAGEIFS(T2:T31,O2:O31,A50,D2:D31,D49)</f>
        <v>#DIV/0!</v>
      </c>
      <c r="E50" s="51" t="e">
        <f>AVERAGEIFS(T2:T31,O2:O31,A50,D2:D31,E49)</f>
        <v>#DIV/0!</v>
      </c>
      <c r="F50" s="51" t="e">
        <f>AVERAGEIFS(T2:T31,O2:O31,A50,D2:D31,F49)</f>
        <v>#DIV/0!</v>
      </c>
      <c r="G50" s="76" t="e">
        <f>AVERAGEIF(O2:O31,A50,T2:T31)</f>
        <v>#DIV/0!</v>
      </c>
      <c r="H50" s="198"/>
      <c r="I50" s="198"/>
      <c r="J50" s="436"/>
      <c r="K50" s="129" cm="1">
        <f t="array" ref="K50">COUNTIFS(O2:O31,CPCV,AE2:AE31,J50)</f>
        <v>0</v>
      </c>
      <c r="L50" s="129">
        <f>COUNTIFS(X2:X31,"&gt;="&amp;DATE(2024,1,1),X2:X31,"&lt;="&amp;DATE(2024,12,31),AE2:AE31,J50)</f>
        <v>0</v>
      </c>
      <c r="M50" s="129" t="e">
        <f>K50/(K50+K51+K52)</f>
        <v>#DIV/0!</v>
      </c>
      <c r="N50" s="192"/>
      <c r="O50" s="40"/>
      <c r="P50" s="34" t="s">
        <v>265</v>
      </c>
      <c r="Q50" s="719" cm="1">
        <f t="array" ref="Q50">COUNTIFS(O2:O31,CPCV,AK2:AK31,P50)</f>
        <v>0</v>
      </c>
      <c r="R50" s="129">
        <f>COUNTIFS(X2:X31,"&gt;="&amp;DATE(2024,1,1),X2:X31,"&lt;="&amp;DATE(2024,12,31),AK2:AK31,P50)</f>
        <v>0</v>
      </c>
      <c r="S50" s="40"/>
      <c r="T50" s="40"/>
    </row>
    <row r="51" spans="1:31" ht="13.5" customHeight="1">
      <c r="A51" s="2002" t="s">
        <v>102</v>
      </c>
      <c r="B51" s="2003"/>
      <c r="C51" s="54">
        <f>AVERAGEIFS(U2:U31,O2:O31,A51,D2:D31,C49)</f>
        <v>6843.2563791008506</v>
      </c>
      <c r="D51" s="54">
        <f>AVERAGEIFS($U$2:$U$31,$O$2:$O$31,$A$51,$D$2:$D$31,D49)</f>
        <v>6379.7973085230105</v>
      </c>
      <c r="E51" s="54" t="e">
        <f>AVERAGEIFS($U$2:$U$31,$O$2:$O$31,$A$51,$D$2:$D$31,E49)</f>
        <v>#DIV/0!</v>
      </c>
      <c r="F51" s="54" t="e">
        <f>AVERAGEIFS($U$2:$U$31,$O$2:$O$31,$A$51,$D$2:$D$31,F49)</f>
        <v>#DIV/0!</v>
      </c>
      <c r="G51" s="78">
        <f>AVERAGEIF(O2:O31,A51,U2:U31)</f>
        <v>6688.7700222415706</v>
      </c>
      <c r="H51" s="198"/>
      <c r="I51" s="198"/>
      <c r="J51" s="1001"/>
      <c r="K51" s="129" cm="1">
        <f t="array" ref="K51">COUNTIFS(O2:O31,CPCV,AE2:AE31,J51)</f>
        <v>0</v>
      </c>
      <c r="L51" s="129">
        <f>COUNTIFS(X2:X31,"&gt;="&amp;DATE(2024,1,1),X2:X31,"&lt;="&amp;DATE(2024,12,31),AE2:AE31,J51)</f>
        <v>0</v>
      </c>
      <c r="M51" s="343" t="e">
        <f>K51/(K50+K51+K52)</f>
        <v>#DIV/0!</v>
      </c>
      <c r="N51" s="1526"/>
      <c r="O51" s="40"/>
      <c r="P51" s="34" t="s">
        <v>517</v>
      </c>
      <c r="Q51" s="719" cm="1">
        <f t="array" ref="Q51">COUNTIFS(O2:O31,CPCV,AK2:AK31,P51)</f>
        <v>0</v>
      </c>
      <c r="R51" s="129">
        <f>COUNTIFS(X2:X31,"&gt;="&amp;DATE(2024,1,1),X2:X31,"&lt;="&amp;DATE(2024,12,31),AK2:AK31,P51)</f>
        <v>0</v>
      </c>
      <c r="S51" s="40"/>
      <c r="T51" s="40"/>
    </row>
    <row r="52" spans="1:31" ht="13.5" customHeight="1">
      <c r="A52" s="2004" t="s">
        <v>138</v>
      </c>
      <c r="B52" s="2005"/>
      <c r="C52" s="80">
        <f>AVERAGEIFS($U$2:$U$31,$O$2:$O$31,"",$D$2:$D$31,C49)</f>
        <v>6298.9064398541932</v>
      </c>
      <c r="D52" s="80">
        <f>AVERAGEIFS($U$2:$U$31,$O$2:$O$31,"",$D$2:$D$31,D49)</f>
        <v>6194.7581509810316</v>
      </c>
      <c r="E52" s="80">
        <f>AVERAGEIFS($U$2:$U$31,$O$2:$O$31,"",$D$2:$D$31,E49)</f>
        <v>6731.9803590289903</v>
      </c>
      <c r="F52" s="80">
        <f>AVERAGEIFS($U$2:$U$31,$O$2:$O$31,"",$D$2:$D$31,F49)</f>
        <v>5659.3009546267067</v>
      </c>
      <c r="G52" s="81">
        <f>AVERAGEIF(O2:O31,"",U2:U31)</f>
        <v>6320.7001254389334</v>
      </c>
      <c r="H52" s="198"/>
      <c r="I52" s="198"/>
      <c r="J52" s="1001"/>
      <c r="K52" s="129" cm="1">
        <f t="array" ref="K52">COUNTIFS(O2:O31,CPCV,AE2:AE31,J52)</f>
        <v>0</v>
      </c>
      <c r="L52" s="129">
        <f>COUNTIFS(X2:X31,"&gt;="&amp;DATE(2024,1,1),X2:X31,"&lt;="&amp;DATE(2024,12,31),AE2:AE31,J52)</f>
        <v>0</v>
      </c>
      <c r="M52" s="343" t="e">
        <f>K52/(K50+K51+K52)</f>
        <v>#DIV/0!</v>
      </c>
      <c r="N52" s="1526"/>
      <c r="O52" s="40"/>
      <c r="P52" s="34" t="s">
        <v>565</v>
      </c>
      <c r="Q52" s="719" cm="1">
        <f t="array" ref="Q52">COUNTIFS(O2:O31,CPCV,AK2:AK31,P52)</f>
        <v>0</v>
      </c>
      <c r="R52" s="129">
        <f>COUNTIFS(X2:X31,"&gt;="&amp;DATE(2024,1,1),X2:X31,"&lt;="&amp;DATE(2024,12,31),AK2:AK31,P52)</f>
        <v>0</v>
      </c>
      <c r="S52" s="40"/>
      <c r="T52" s="40"/>
    </row>
    <row r="53" spans="1:31" ht="13.5" customHeight="1" thickBot="1">
      <c r="A53" s="2000" t="s">
        <v>210</v>
      </c>
      <c r="B53" s="2001"/>
      <c r="C53" s="60" t="e">
        <f>AVERAGEIFS($T$2:$T$31,$O$2:$O$31,$A$53,$D$2:$D$31,C49)</f>
        <v>#DIV/0!</v>
      </c>
      <c r="D53" s="60" t="e">
        <f>AVERAGEIFS($T$2:$T$31,$O$2:$O$31,$A$53,$D$2:$D$31,D49)</f>
        <v>#DIV/0!</v>
      </c>
      <c r="E53" s="60" t="e">
        <f>AVERAGEIFS($T$2:$T$31,$O$2:$O$31,$A$53,$D$2:$D$31,E49)</f>
        <v>#DIV/0!</v>
      </c>
      <c r="F53" s="60" t="e">
        <f>AVERAGEIFS($T$2:$T$31,$O$2:$O$31,$A$53,$D$2:$D$31,F49)</f>
        <v>#DIV/0!</v>
      </c>
      <c r="G53" s="83" t="e">
        <f>AVERAGEIF(O2:O31,A53,T2:T31)</f>
        <v>#DIV/0!</v>
      </c>
      <c r="H53" s="198"/>
      <c r="I53" s="198"/>
      <c r="J53" s="644"/>
      <c r="K53" s="40"/>
      <c r="L53" s="40"/>
      <c r="M53" s="40"/>
      <c r="N53" s="40"/>
      <c r="O53" s="40"/>
      <c r="P53" s="22" t="s">
        <v>563</v>
      </c>
      <c r="Q53" s="719" cm="1">
        <f t="array" ref="Q53">COUNTIFS(O2:O31,CPCV,AK2:AK31,P53)</f>
        <v>0</v>
      </c>
      <c r="R53" s="5">
        <f>COUNTIFS(X2:X31,"&gt;="&amp;DATE(2024,1,1),X2:X31,"&lt;="&amp;DATE(2024,12,31),AK2:AK31,P53)</f>
        <v>0</v>
      </c>
      <c r="S53" s="40"/>
      <c r="T53" s="40"/>
    </row>
    <row r="54" spans="1:31" ht="13.5" customHeight="1" thickBot="1">
      <c r="G54" s="195"/>
      <c r="H54" s="198"/>
      <c r="I54" s="198"/>
      <c r="J54" s="644"/>
      <c r="K54" s="40"/>
      <c r="L54" s="40"/>
      <c r="M54" s="40"/>
      <c r="N54" s="40"/>
      <c r="O54" s="40"/>
      <c r="P54" s="130" t="s">
        <v>730</v>
      </c>
      <c r="Q54" s="719" cm="1">
        <f t="array" ref="Q54">COUNTIFS(O2:O31,CPCV,AK2:AK31,P54)</f>
        <v>0</v>
      </c>
      <c r="R54" s="5">
        <f>COUNTIFS(X2:X31,"&gt;="&amp;DATE(2024,1,1),X2:X31,"&lt;="&amp;DATE(2024,12,31),AK2:AK31,P54)</f>
        <v>0</v>
      </c>
      <c r="S54" s="40"/>
      <c r="T54" s="40"/>
    </row>
    <row r="55" spans="1:31" ht="13.5" customHeight="1">
      <c r="A55" s="1994" t="s">
        <v>192</v>
      </c>
      <c r="B55" s="1995"/>
      <c r="C55" s="48" t="s">
        <v>90</v>
      </c>
      <c r="D55" s="48" t="s">
        <v>91</v>
      </c>
      <c r="E55" s="48" t="s">
        <v>89</v>
      </c>
      <c r="F55" s="48" t="s">
        <v>93</v>
      </c>
      <c r="G55" s="1459" t="s">
        <v>141</v>
      </c>
      <c r="H55" s="198"/>
      <c r="I55" s="198"/>
      <c r="J55" s="644"/>
      <c r="K55" s="40"/>
      <c r="L55" s="40"/>
      <c r="M55" s="40"/>
      <c r="N55" s="40"/>
      <c r="O55" s="40"/>
      <c r="P55" s="5" t="s">
        <v>17219</v>
      </c>
      <c r="Q55" s="719" cm="1">
        <f t="array" ref="Q55">COUNTIFS(O2:O31,CPCV,AK2:AK31,P55)</f>
        <v>0</v>
      </c>
      <c r="R55" s="5">
        <f>COUNTIFS(X2:X31,"&gt;="&amp;DATE(2024,1,1),X2:X31,"&lt;="&amp;DATE(2024,12,31),AK2:AK31,P55)</f>
        <v>0</v>
      </c>
      <c r="S55" s="40"/>
      <c r="T55" s="40"/>
    </row>
    <row r="56" spans="1:31" ht="13.5" customHeight="1">
      <c r="A56" s="1996" t="s">
        <v>258</v>
      </c>
      <c r="B56" s="1997"/>
      <c r="C56" s="51" t="e">
        <f>AVERAGEIFS($P$2:$P$31,$O$2:$O$31,$A$56,$D$2:$D$31,C55)</f>
        <v>#DIV/0!</v>
      </c>
      <c r="D56" s="51" t="e">
        <f>AVERAGEIFS($P$2:$P$31,$O$2:$O$31,$A$56,$D$2:$D$31,D55)</f>
        <v>#DIV/0!</v>
      </c>
      <c r="E56" s="51" t="e">
        <f>AVERAGEIFS($P$2:$P$31,$O$2:$O$31,$A$56,$D$2:$D$31,E55)</f>
        <v>#DIV/0!</v>
      </c>
      <c r="F56" s="51" t="e">
        <f>AVERAGEIFS($P$2:$P$31,$O$2:$O$31,$A$56,$D$2:$D$31,F55)</f>
        <v>#DIV/0!</v>
      </c>
      <c r="G56" s="76" t="e">
        <f>AVERAGEIF(O2:O31,A56,P2:P31)</f>
        <v>#DIV/0!</v>
      </c>
      <c r="H56" s="198"/>
      <c r="I56" s="198"/>
      <c r="J56" s="644"/>
      <c r="K56" s="40"/>
      <c r="L56" s="40"/>
      <c r="M56" s="40"/>
      <c r="N56" s="40"/>
      <c r="O56" s="40"/>
      <c r="P56" s="5" t="s">
        <v>17421</v>
      </c>
      <c r="Q56" s="719" cm="1">
        <f t="array" ref="Q56">COUNTIFS(O2:O31,CPCV,AK2:AK31,P56)</f>
        <v>0</v>
      </c>
      <c r="R56" s="5">
        <f>COUNTIFS(X2:X31,"&gt;="&amp;DATE(2024,1,1),X2:X31,"&lt;="&amp;DATE(2024,12,31),AK2:AK31,P56)</f>
        <v>0</v>
      </c>
      <c r="S56" s="40"/>
      <c r="T56" s="40"/>
    </row>
    <row r="57" spans="1:31" ht="13.5" customHeight="1">
      <c r="A57" s="2002" t="s">
        <v>102</v>
      </c>
      <c r="B57" s="2003"/>
      <c r="C57" s="54" t="e">
        <f>AVERAGEIFS(P2:P31,O2:O31,A57,D2:D31,C55)</f>
        <v>#DIV/0!</v>
      </c>
      <c r="D57" s="54" t="e">
        <f>AVERAGEIFS(P2:P31,O2:O31,A57,D2:D31,D55)</f>
        <v>#DIV/0!</v>
      </c>
      <c r="E57" s="54" t="e">
        <f>AVERAGEIFS(P2:P31,O2:O31,A57,D2:D31,E55)</f>
        <v>#DIV/0!</v>
      </c>
      <c r="F57" s="54" t="e">
        <f>AVERAGEIFS(P2:P31,O2:O31,A57,D2:D31,F55)</f>
        <v>#DIV/0!</v>
      </c>
      <c r="G57" s="78">
        <f>AVERAGEIF(O2:O31,A57,Q2:Q31)</f>
        <v>473600</v>
      </c>
      <c r="H57" s="198"/>
      <c r="I57" s="198"/>
      <c r="J57" s="647"/>
      <c r="P57" s="188"/>
      <c r="Q57" s="195"/>
      <c r="R57" s="195"/>
    </row>
    <row r="58" spans="1:31" ht="13.5" customHeight="1" thickBot="1">
      <c r="A58" s="1998" t="s">
        <v>138</v>
      </c>
      <c r="B58" s="1999"/>
      <c r="C58" s="85">
        <f>AVERAGEIFS($Q$2:$Q$31,$O$2:$O$31,"",$D$2:$D$31,C55)</f>
        <v>388800</v>
      </c>
      <c r="D58" s="85">
        <f>AVERAGEIFS($Q$2:$Q$31,$O$2:$O$31,"",$D$2:$D$31,D55)</f>
        <v>605866.66666666663</v>
      </c>
      <c r="E58" s="85">
        <f>AVERAGEIFS($Q$2:$Q$31,$O$2:$O$31,"",$D$2:$D$31,E55)</f>
        <v>929280</v>
      </c>
      <c r="F58" s="85">
        <f>AVERAGEIFS($Q$2:$Q$31,$O$2:$O$31,"",$D$2:$D$31,F55)</f>
        <v>1488000</v>
      </c>
      <c r="G58" s="86">
        <f>AVERAGEIF(O2:O31,"",Q2:Q31)</f>
        <v>601955.5555555555</v>
      </c>
      <c r="H58" s="198"/>
      <c r="I58" s="198"/>
      <c r="J58" s="647"/>
      <c r="P58" s="188"/>
      <c r="Q58" s="195"/>
      <c r="R58" s="195"/>
    </row>
    <row r="59" spans="1:31" ht="13.5" customHeight="1" thickBot="1">
      <c r="A59" s="2000" t="s">
        <v>210</v>
      </c>
      <c r="B59" s="2001"/>
      <c r="C59" s="60" t="e">
        <f>AVERAGEIFS(P2:P31,O2:O31,A59,D2:D31,C55)</f>
        <v>#DIV/0!</v>
      </c>
      <c r="D59" s="60" t="e">
        <f>AVERAGEIFS(P2:P31,O2:O31,A59,D2:D31,D55)</f>
        <v>#DIV/0!</v>
      </c>
      <c r="E59" s="60" t="e">
        <f>AVERAGEIFS(P2:P31,O2:O31,A59,D2:D31,E55)</f>
        <v>#DIV/0!</v>
      </c>
      <c r="F59" s="60" t="e">
        <f>AVERAGEIFS(P2:P31,O2:O31,A59,D2:D31,F55)</f>
        <v>#DIV/0!</v>
      </c>
      <c r="G59" s="83" t="e">
        <f>AVERAGEIF(O2:O31,A59,P2:P31)</f>
        <v>#DIV/0!</v>
      </c>
      <c r="H59" s="198"/>
      <c r="I59" s="198"/>
      <c r="J59" s="647"/>
      <c r="P59" s="188"/>
      <c r="Q59" s="195"/>
      <c r="R59" s="195"/>
    </row>
    <row r="60" spans="1:31" ht="13.5" customHeight="1" thickBot="1">
      <c r="G60" s="332"/>
      <c r="H60" s="198"/>
      <c r="I60" s="198"/>
      <c r="J60" s="647"/>
      <c r="P60" s="188"/>
      <c r="Q60" s="195"/>
      <c r="R60" s="195"/>
    </row>
    <row r="61" spans="1:31" ht="13.5" customHeight="1">
      <c r="A61" s="1994" t="s">
        <v>234</v>
      </c>
      <c r="B61" s="1995"/>
      <c r="C61" s="48" t="s">
        <v>90</v>
      </c>
      <c r="D61" s="48" t="s">
        <v>91</v>
      </c>
      <c r="E61" s="48" t="s">
        <v>89</v>
      </c>
      <c r="F61" s="48" t="s">
        <v>93</v>
      </c>
      <c r="G61" s="359" t="s">
        <v>141</v>
      </c>
      <c r="H61" s="198"/>
      <c r="I61" s="198"/>
      <c r="J61" s="647"/>
      <c r="P61" s="188"/>
      <c r="Q61" s="195"/>
      <c r="R61" s="195"/>
    </row>
    <row r="62" spans="1:31" ht="13.5" customHeight="1">
      <c r="A62" s="1996" t="s">
        <v>258</v>
      </c>
      <c r="B62" s="1997"/>
      <c r="C62" s="258" t="e">
        <f>AVERAGEIFS(K2:K31,D2:D31,C61,O2:O31,A62)</f>
        <v>#DIV/0!</v>
      </c>
      <c r="D62" s="258" t="e">
        <f>AVERAGEIFS(K2:K31,D2:D31,D61,O2:O31,A62)</f>
        <v>#DIV/0!</v>
      </c>
      <c r="E62" s="258" t="e">
        <f>AVERAGEIFS(K2:K31,D2:D31,E61,O2:O31,A62)</f>
        <v>#DIV/0!</v>
      </c>
      <c r="F62" s="258" t="e">
        <f>AVERAGEIFS(K2:K31,D2:D31,F61,O2:O31,A62)</f>
        <v>#DIV/0!</v>
      </c>
      <c r="G62" s="360" t="e">
        <f>AVERAGEIF(O2:O31,A62,K2:K31)</f>
        <v>#DIV/0!</v>
      </c>
      <c r="H62" s="198"/>
      <c r="I62" s="198"/>
      <c r="J62" s="647"/>
      <c r="P62" s="188"/>
      <c r="Q62" s="195"/>
      <c r="R62" s="195"/>
    </row>
    <row r="63" spans="1:31" ht="13.5" customHeight="1">
      <c r="A63" s="2002" t="s">
        <v>102</v>
      </c>
      <c r="B63" s="2003"/>
      <c r="C63" s="261">
        <f>AVERAGEIFS(K2:K31,D2:D31,C61,O2:O31,A63)</f>
        <v>61.725000000000001</v>
      </c>
      <c r="D63" s="261">
        <f>AVERAGEIFS(K2:K31,D2:D31,D61,O2:O31,A63)</f>
        <v>90.284999999999997</v>
      </c>
      <c r="E63" s="261" t="e">
        <f>AVERAGEIFS(K2:K31,D2:D31,E61,O2:O31,A63)</f>
        <v>#DIV/0!</v>
      </c>
      <c r="F63" s="261" t="e">
        <f>AVERAGEIFS(K2:K31,D2:D31,F61,O2:O31,A63)</f>
        <v>#DIV/0!</v>
      </c>
      <c r="G63" s="361">
        <f>AVERAGEIF(O2:O31,A63,K2:K31)</f>
        <v>71.24499999999999</v>
      </c>
      <c r="H63" s="198"/>
      <c r="I63" s="198"/>
      <c r="J63" s="647"/>
      <c r="P63" s="188"/>
      <c r="R63" s="195"/>
    </row>
    <row r="64" spans="1:31" ht="13.5" customHeight="1" thickBot="1">
      <c r="A64" s="1998" t="s">
        <v>138</v>
      </c>
      <c r="B64" s="1999"/>
      <c r="C64" s="221">
        <f>AVERAGEIFS(K2:K31,D2:D31,C61,O2:O31,"")</f>
        <v>61.725000000000016</v>
      </c>
      <c r="D64" s="221">
        <f>AVERAGEIFS(K2:K31,D2:D31,D61,O2:O31,"")</f>
        <v>100.70166666666665</v>
      </c>
      <c r="E64" s="221">
        <f>AVERAGEIFS(K2:K31,D2:D31,E61,O2:O31,"")</f>
        <v>137.672</v>
      </c>
      <c r="F64" s="221">
        <f>AVERAGEIFS(K2:K31,D2:D31,F61,O2:O31,"")</f>
        <v>262.93</v>
      </c>
      <c r="G64" s="362">
        <f>AVERAGEIF(O2:O31,"",K2:K31)</f>
        <v>96.233518518518494</v>
      </c>
      <c r="H64" s="198"/>
      <c r="I64" s="198"/>
      <c r="J64" s="647"/>
      <c r="P64" s="188"/>
      <c r="R64" s="195"/>
    </row>
    <row r="65" spans="1:30" ht="13.5" customHeight="1" thickBot="1">
      <c r="A65" s="2000" t="s">
        <v>210</v>
      </c>
      <c r="B65" s="2001"/>
      <c r="C65" s="265" t="e">
        <f>AVERAGEIFS(K2:K31,D2:D31,C61,O2:O31,A65)</f>
        <v>#DIV/0!</v>
      </c>
      <c r="D65" s="265" t="e">
        <f>AVERAGEIFS(K2:K31,D2:D31,D61,O2:O31,A65)</f>
        <v>#DIV/0!</v>
      </c>
      <c r="E65" s="265" t="e">
        <f>AVERAGEIFS(K2:K31,D2:D31,E61,O2:O31,A65)</f>
        <v>#DIV/0!</v>
      </c>
      <c r="F65" s="265" t="e">
        <f>AVERAGEIFS(K2:K31,D2:D31,F61,O2:O31,A65)</f>
        <v>#DIV/0!</v>
      </c>
      <c r="G65" s="363" t="e">
        <f>AVERAGEIF(O2:O31,A65,K2:K31)</f>
        <v>#DIV/0!</v>
      </c>
      <c r="H65" s="198"/>
      <c r="I65" s="198"/>
      <c r="J65" s="647"/>
      <c r="P65" s="188"/>
      <c r="R65" s="195"/>
      <c r="S65" s="195"/>
    </row>
    <row r="66" spans="1:30">
      <c r="G66" s="647"/>
      <c r="H66" s="188"/>
      <c r="J66" s="647"/>
      <c r="P66" s="188"/>
      <c r="R66" s="195"/>
      <c r="S66" s="195"/>
      <c r="W66" s="315"/>
      <c r="X66" s="195"/>
      <c r="Z66" s="315"/>
      <c r="AA66" s="283"/>
      <c r="AB66" s="315"/>
      <c r="AC66" s="195"/>
      <c r="AD66" s="188"/>
    </row>
    <row r="67" spans="1:30">
      <c r="J67" s="647"/>
      <c r="P67" s="188"/>
      <c r="R67" s="195"/>
      <c r="S67" s="195"/>
    </row>
    <row r="68" spans="1:30">
      <c r="O68" s="195"/>
      <c r="P68" s="188"/>
      <c r="R68" s="195"/>
      <c r="T68" s="195"/>
      <c r="V68" s="283"/>
    </row>
    <row r="69" spans="1:30">
      <c r="R69" s="195"/>
    </row>
    <row r="70" spans="1:30">
      <c r="R70" s="195"/>
    </row>
    <row r="71" spans="1:30">
      <c r="R71" s="195"/>
    </row>
    <row r="72" spans="1:30">
      <c r="R72" s="195"/>
    </row>
    <row r="73" spans="1:30">
      <c r="R73" s="195"/>
    </row>
    <row r="74" spans="1:30">
      <c r="R74" s="195"/>
    </row>
    <row r="75" spans="1:30">
      <c r="R75" s="195"/>
    </row>
    <row r="76" spans="1:30">
      <c r="R76" s="195"/>
    </row>
    <row r="77" spans="1:30">
      <c r="R77" s="195"/>
    </row>
    <row r="78" spans="1:30">
      <c r="R78" s="195"/>
    </row>
  </sheetData>
  <autoFilter ref="A1:BW38" xr:uid="{90C5415B-64C3-40E2-8DFB-83E2C339E978}"/>
  <mergeCells count="31">
    <mergeCell ref="A65:B65"/>
    <mergeCell ref="A52:B52"/>
    <mergeCell ref="A53:B53"/>
    <mergeCell ref="A55:B55"/>
    <mergeCell ref="A56:B56"/>
    <mergeCell ref="A57:B57"/>
    <mergeCell ref="A58:B58"/>
    <mergeCell ref="A59:B59"/>
    <mergeCell ref="A61:B61"/>
    <mergeCell ref="A62:B62"/>
    <mergeCell ref="A63:B63"/>
    <mergeCell ref="A64:B64"/>
    <mergeCell ref="A39:B39"/>
    <mergeCell ref="J35:V35"/>
    <mergeCell ref="J48:M48"/>
    <mergeCell ref="J38:V38"/>
    <mergeCell ref="A51:B51"/>
    <mergeCell ref="A41:B41"/>
    <mergeCell ref="A42:B42"/>
    <mergeCell ref="A43:B43"/>
    <mergeCell ref="A44:B44"/>
    <mergeCell ref="A45:B45"/>
    <mergeCell ref="A46:B46"/>
    <mergeCell ref="P48:R48"/>
    <mergeCell ref="A49:B49"/>
    <mergeCell ref="A50:B50"/>
    <mergeCell ref="G34:H34"/>
    <mergeCell ref="A35:B35"/>
    <mergeCell ref="A36:B36"/>
    <mergeCell ref="A37:B37"/>
    <mergeCell ref="A38:B38"/>
  </mergeCells>
  <phoneticPr fontId="11" type="noConversion"/>
  <conditionalFormatting sqref="W1:W13 W15:W19 W21:W39 W41 W44:W65 W67:W1048576 V68">
    <cfRule type="cellIs" dxfId="1" priority="1" operator="lessThan">
      <formula>TODAY()-15</formula>
    </cfRule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928F-13F7-44F8-99A9-A2ABC9D1EF16}">
  <dimension ref="A1:XFD85"/>
  <sheetViews>
    <sheetView topLeftCell="A25" zoomScaleNormal="100" workbookViewId="0">
      <pane xSplit="2" topLeftCell="C1" activePane="topRight" state="frozen"/>
      <selection activeCell="A4" sqref="A4"/>
      <selection pane="topRight" activeCell="A42" sqref="A42:XFD42"/>
    </sheetView>
  </sheetViews>
  <sheetFormatPr defaultRowHeight="15"/>
  <cols>
    <col min="1" max="1" width="9.140625" style="289"/>
    <col min="2" max="2" width="9.42578125" style="289" customWidth="1"/>
    <col min="3" max="3" width="12.28515625" style="289" customWidth="1"/>
    <col min="4" max="4" width="11.28515625" style="289" customWidth="1"/>
    <col min="5" max="5" width="9.140625" style="289" customWidth="1"/>
    <col min="6" max="6" width="18" style="289" customWidth="1"/>
    <col min="7" max="7" width="13.28515625" style="289" customWidth="1"/>
    <col min="8" max="9" width="9.140625" style="289" customWidth="1"/>
    <col min="10" max="10" width="10.28515625" style="289" customWidth="1"/>
    <col min="11" max="11" width="15.28515625" style="289" customWidth="1"/>
    <col min="12" max="12" width="13.5703125" style="341" customWidth="1"/>
    <col min="13" max="13" width="10.28515625" style="289" customWidth="1"/>
    <col min="14" max="14" width="13.5703125" style="289" customWidth="1"/>
    <col min="15" max="15" width="10.28515625" style="289" customWidth="1"/>
    <col min="16" max="16" width="12.28515625" style="289" customWidth="1"/>
    <col min="17" max="17" width="14.7109375" style="289" customWidth="1"/>
    <col min="18" max="18" width="12.85546875" style="289" customWidth="1"/>
    <col min="19" max="19" width="13.42578125" style="292" customWidth="1"/>
    <col min="20" max="20" width="14.85546875" style="289" customWidth="1"/>
    <col min="21" max="21" width="10.7109375" style="289" customWidth="1"/>
    <col min="22" max="22" width="19.140625" style="289" customWidth="1"/>
    <col min="23" max="23" width="16.5703125" style="289" customWidth="1"/>
    <col min="24" max="24" width="11.42578125" style="338" customWidth="1"/>
    <col min="25" max="25" width="14" style="289" customWidth="1"/>
    <col min="26" max="26" width="13.42578125" style="340" customWidth="1"/>
    <col min="27" max="27" width="14.5703125" style="339" customWidth="1"/>
    <col min="28" max="28" width="17.85546875" style="339" customWidth="1"/>
    <col min="29" max="29" width="18.7109375" style="340" customWidth="1"/>
    <col min="30" max="30" width="18.42578125" style="339" customWidth="1"/>
    <col min="31" max="31" width="19.28515625" style="340" customWidth="1"/>
    <col min="32" max="32" width="12.7109375" style="339" customWidth="1"/>
    <col min="33" max="33" width="16.5703125" style="289" customWidth="1"/>
    <col min="34" max="34" width="15.42578125" style="289" customWidth="1"/>
    <col min="35" max="37" width="14.42578125" style="289" customWidth="1"/>
    <col min="38" max="38" width="19.42578125" style="289" customWidth="1"/>
    <col min="39" max="39" width="19.28515625" style="289" customWidth="1"/>
    <col min="40" max="40" width="15" style="289" customWidth="1"/>
    <col min="41" max="41" width="15.85546875" style="289" customWidth="1"/>
    <col min="42" max="42" width="15.7109375" style="289" customWidth="1"/>
    <col min="43" max="43" width="70.140625" style="341" bestFit="1" customWidth="1"/>
    <col min="44" max="44" width="10.28515625" style="289" customWidth="1"/>
    <col min="45" max="45" width="11.42578125" style="289" customWidth="1"/>
    <col min="46" max="46" width="15.42578125" style="289" customWidth="1"/>
    <col min="47" max="47" width="17.7109375" style="337" customWidth="1"/>
    <col min="48" max="48" width="17.85546875" style="337" customWidth="1"/>
    <col min="49" max="57" width="11" style="289" customWidth="1"/>
    <col min="58" max="147" width="12" style="289" customWidth="1"/>
    <col min="148" max="1047" width="13" style="289" customWidth="1"/>
    <col min="1048" max="10047" width="14" style="289" customWidth="1"/>
    <col min="10048" max="16384" width="15" style="289" customWidth="1"/>
  </cols>
  <sheetData>
    <row r="1" spans="1:16384" s="331" customFormat="1">
      <c r="A1" s="497" t="s">
        <v>23</v>
      </c>
      <c r="B1" s="497" t="s">
        <v>5</v>
      </c>
      <c r="C1" s="497" t="s">
        <v>357</v>
      </c>
      <c r="D1" s="497" t="s">
        <v>1</v>
      </c>
      <c r="E1" s="497" t="s">
        <v>0</v>
      </c>
      <c r="F1" s="497" t="s">
        <v>3</v>
      </c>
      <c r="G1" s="497" t="s">
        <v>6</v>
      </c>
      <c r="H1" s="497" t="s">
        <v>2</v>
      </c>
      <c r="I1" s="497" t="s">
        <v>212</v>
      </c>
      <c r="J1" s="497" t="s">
        <v>7</v>
      </c>
      <c r="K1" s="498" t="s">
        <v>11</v>
      </c>
      <c r="L1" s="497" t="s">
        <v>216</v>
      </c>
      <c r="M1" s="497" t="s">
        <v>217</v>
      </c>
      <c r="N1" s="497" t="s">
        <v>218</v>
      </c>
      <c r="O1" s="497" t="s">
        <v>219</v>
      </c>
      <c r="P1" s="497" t="s">
        <v>22</v>
      </c>
      <c r="Q1" s="497" t="s">
        <v>12</v>
      </c>
      <c r="R1" s="228" t="s">
        <v>221</v>
      </c>
      <c r="S1" s="228" t="s">
        <v>14</v>
      </c>
      <c r="T1" s="228" t="s">
        <v>15</v>
      </c>
      <c r="U1" s="497" t="s">
        <v>227</v>
      </c>
      <c r="V1" s="497" t="s">
        <v>364</v>
      </c>
      <c r="W1" s="497" t="s">
        <v>228</v>
      </c>
      <c r="X1" s="499" t="s">
        <v>368</v>
      </c>
      <c r="Y1" s="497" t="s">
        <v>300</v>
      </c>
      <c r="Z1" s="500" t="s">
        <v>4</v>
      </c>
      <c r="AA1" s="501" t="s">
        <v>545</v>
      </c>
      <c r="AB1" s="501" t="s">
        <v>546</v>
      </c>
      <c r="AC1" s="500" t="s">
        <v>553</v>
      </c>
      <c r="AD1" s="501" t="s">
        <v>547</v>
      </c>
      <c r="AE1" s="500" t="s">
        <v>554</v>
      </c>
      <c r="AF1" s="501" t="s">
        <v>548</v>
      </c>
      <c r="AG1" s="497" t="s">
        <v>8</v>
      </c>
      <c r="AH1" s="497" t="s">
        <v>755</v>
      </c>
      <c r="AI1" s="497" t="s">
        <v>18</v>
      </c>
      <c r="AJ1" s="497" t="s">
        <v>738</v>
      </c>
      <c r="AK1" s="497" t="s">
        <v>736</v>
      </c>
      <c r="AL1" s="497" t="s">
        <v>725</v>
      </c>
      <c r="AM1" s="497" t="s">
        <v>726</v>
      </c>
      <c r="AN1" s="497" t="s">
        <v>737</v>
      </c>
      <c r="AO1" s="497" t="s">
        <v>728</v>
      </c>
      <c r="AP1" s="497" t="s">
        <v>727</v>
      </c>
      <c r="AQ1" s="497" t="s">
        <v>19</v>
      </c>
      <c r="AR1" s="497" t="s">
        <v>261</v>
      </c>
      <c r="AS1" s="497" t="s">
        <v>262</v>
      </c>
      <c r="AT1" s="497" t="s">
        <v>263</v>
      </c>
      <c r="AU1" s="228" t="s">
        <v>20</v>
      </c>
      <c r="AV1" s="228" t="s">
        <v>21</v>
      </c>
      <c r="AW1" s="331" t="s">
        <v>768</v>
      </c>
      <c r="AX1" s="331" t="s">
        <v>769</v>
      </c>
      <c r="AY1" s="331" t="s">
        <v>770</v>
      </c>
      <c r="AZ1" s="331" t="s">
        <v>771</v>
      </c>
      <c r="BA1" s="331" t="s">
        <v>772</v>
      </c>
      <c r="BB1" s="331" t="s">
        <v>773</v>
      </c>
      <c r="BC1" s="331" t="s">
        <v>774</v>
      </c>
      <c r="BD1" s="331" t="s">
        <v>775</v>
      </c>
      <c r="BE1" s="331" t="s">
        <v>776</v>
      </c>
      <c r="BF1" s="331" t="s">
        <v>777</v>
      </c>
      <c r="BG1" s="331" t="s">
        <v>778</v>
      </c>
      <c r="BH1" s="331" t="s">
        <v>779</v>
      </c>
      <c r="BI1" s="331" t="s">
        <v>780</v>
      </c>
      <c r="BJ1" s="331" t="s">
        <v>781</v>
      </c>
      <c r="BK1" s="331" t="s">
        <v>782</v>
      </c>
      <c r="BL1" s="331" t="s">
        <v>783</v>
      </c>
      <c r="BM1" s="331" t="s">
        <v>784</v>
      </c>
      <c r="BN1" s="331" t="s">
        <v>785</v>
      </c>
      <c r="BO1" s="331" t="s">
        <v>786</v>
      </c>
      <c r="BP1" s="331" t="s">
        <v>787</v>
      </c>
      <c r="BQ1" s="331" t="s">
        <v>788</v>
      </c>
      <c r="BR1" s="331" t="s">
        <v>789</v>
      </c>
      <c r="BS1" s="331" t="s">
        <v>790</v>
      </c>
      <c r="BT1" s="331" t="s">
        <v>791</v>
      </c>
      <c r="BU1" s="331" t="s">
        <v>792</v>
      </c>
      <c r="BV1" s="331" t="s">
        <v>793</v>
      </c>
      <c r="BW1" s="331" t="s">
        <v>794</v>
      </c>
      <c r="BX1" s="331" t="s">
        <v>795</v>
      </c>
      <c r="BY1" s="331" t="s">
        <v>796</v>
      </c>
      <c r="BZ1" s="331" t="s">
        <v>797</v>
      </c>
      <c r="CA1" s="331" t="s">
        <v>798</v>
      </c>
      <c r="CB1" s="331" t="s">
        <v>799</v>
      </c>
      <c r="CC1" s="331" t="s">
        <v>800</v>
      </c>
      <c r="CD1" s="331" t="s">
        <v>801</v>
      </c>
      <c r="CE1" s="331" t="s">
        <v>802</v>
      </c>
      <c r="CF1" s="331" t="s">
        <v>803</v>
      </c>
      <c r="CG1" s="331" t="s">
        <v>804</v>
      </c>
      <c r="CH1" s="331" t="s">
        <v>805</v>
      </c>
      <c r="CI1" s="331" t="s">
        <v>806</v>
      </c>
      <c r="CJ1" s="331" t="s">
        <v>807</v>
      </c>
      <c r="CK1" s="331" t="s">
        <v>808</v>
      </c>
      <c r="CL1" s="331" t="s">
        <v>809</v>
      </c>
      <c r="CM1" s="331" t="s">
        <v>810</v>
      </c>
      <c r="CN1" s="331" t="s">
        <v>811</v>
      </c>
      <c r="CO1" s="331" t="s">
        <v>812</v>
      </c>
      <c r="CP1" s="331" t="s">
        <v>813</v>
      </c>
      <c r="CQ1" s="331" t="s">
        <v>814</v>
      </c>
      <c r="CR1" s="331" t="s">
        <v>815</v>
      </c>
      <c r="CS1" s="331" t="s">
        <v>816</v>
      </c>
      <c r="CT1" s="331" t="s">
        <v>817</v>
      </c>
      <c r="CU1" s="331" t="s">
        <v>818</v>
      </c>
      <c r="CV1" s="331" t="s">
        <v>819</v>
      </c>
      <c r="CW1" s="331" t="s">
        <v>820</v>
      </c>
      <c r="CX1" s="331" t="s">
        <v>821</v>
      </c>
      <c r="CY1" s="331" t="s">
        <v>822</v>
      </c>
      <c r="CZ1" s="331" t="s">
        <v>823</v>
      </c>
      <c r="DA1" s="331" t="s">
        <v>824</v>
      </c>
      <c r="DB1" s="331" t="s">
        <v>825</v>
      </c>
      <c r="DC1" s="331" t="s">
        <v>826</v>
      </c>
      <c r="DD1" s="331" t="s">
        <v>827</v>
      </c>
      <c r="DE1" s="331" t="s">
        <v>828</v>
      </c>
      <c r="DF1" s="331" t="s">
        <v>829</v>
      </c>
      <c r="DG1" s="331" t="s">
        <v>830</v>
      </c>
      <c r="DH1" s="331" t="s">
        <v>831</v>
      </c>
      <c r="DI1" s="331" t="s">
        <v>832</v>
      </c>
      <c r="DJ1" s="331" t="s">
        <v>833</v>
      </c>
      <c r="DK1" s="331" t="s">
        <v>834</v>
      </c>
      <c r="DL1" s="331" t="s">
        <v>835</v>
      </c>
      <c r="DM1" s="331" t="s">
        <v>836</v>
      </c>
      <c r="DN1" s="331" t="s">
        <v>837</v>
      </c>
      <c r="DO1" s="331" t="s">
        <v>838</v>
      </c>
      <c r="DP1" s="331" t="s">
        <v>839</v>
      </c>
      <c r="DQ1" s="331" t="s">
        <v>840</v>
      </c>
      <c r="DR1" s="331" t="s">
        <v>841</v>
      </c>
      <c r="DS1" s="331" t="s">
        <v>842</v>
      </c>
      <c r="DT1" s="331" t="s">
        <v>843</v>
      </c>
      <c r="DU1" s="331" t="s">
        <v>844</v>
      </c>
      <c r="DV1" s="331" t="s">
        <v>845</v>
      </c>
      <c r="DW1" s="331" t="s">
        <v>846</v>
      </c>
      <c r="DX1" s="331" t="s">
        <v>847</v>
      </c>
      <c r="DY1" s="331" t="s">
        <v>848</v>
      </c>
      <c r="DZ1" s="331" t="s">
        <v>849</v>
      </c>
      <c r="EA1" s="331" t="s">
        <v>850</v>
      </c>
      <c r="EB1" s="331" t="s">
        <v>851</v>
      </c>
      <c r="EC1" s="331" t="s">
        <v>852</v>
      </c>
      <c r="ED1" s="331" t="s">
        <v>853</v>
      </c>
      <c r="EE1" s="331" t="s">
        <v>854</v>
      </c>
      <c r="EF1" s="331" t="s">
        <v>855</v>
      </c>
      <c r="EG1" s="331" t="s">
        <v>856</v>
      </c>
      <c r="EH1" s="331" t="s">
        <v>857</v>
      </c>
      <c r="EI1" s="331" t="s">
        <v>858</v>
      </c>
      <c r="EJ1" s="331" t="s">
        <v>859</v>
      </c>
      <c r="EK1" s="331" t="s">
        <v>860</v>
      </c>
      <c r="EL1" s="331" t="s">
        <v>861</v>
      </c>
      <c r="EM1" s="331" t="s">
        <v>862</v>
      </c>
      <c r="EN1" s="331" t="s">
        <v>863</v>
      </c>
      <c r="EO1" s="331" t="s">
        <v>864</v>
      </c>
      <c r="EP1" s="331" t="s">
        <v>865</v>
      </c>
      <c r="EQ1" s="331" t="s">
        <v>866</v>
      </c>
      <c r="ER1" s="331" t="s">
        <v>867</v>
      </c>
      <c r="ES1" s="331" t="s">
        <v>868</v>
      </c>
      <c r="ET1" s="331" t="s">
        <v>869</v>
      </c>
      <c r="EU1" s="331" t="s">
        <v>870</v>
      </c>
      <c r="EV1" s="331" t="s">
        <v>871</v>
      </c>
      <c r="EW1" s="331" t="s">
        <v>872</v>
      </c>
      <c r="EX1" s="331" t="s">
        <v>873</v>
      </c>
      <c r="EY1" s="331" t="s">
        <v>874</v>
      </c>
      <c r="EZ1" s="331" t="s">
        <v>875</v>
      </c>
      <c r="FA1" s="331" t="s">
        <v>876</v>
      </c>
      <c r="FB1" s="331" t="s">
        <v>877</v>
      </c>
      <c r="FC1" s="331" t="s">
        <v>878</v>
      </c>
      <c r="FD1" s="331" t="s">
        <v>879</v>
      </c>
      <c r="FE1" s="331" t="s">
        <v>880</v>
      </c>
      <c r="FF1" s="331" t="s">
        <v>881</v>
      </c>
      <c r="FG1" s="331" t="s">
        <v>882</v>
      </c>
      <c r="FH1" s="331" t="s">
        <v>883</v>
      </c>
      <c r="FI1" s="331" t="s">
        <v>884</v>
      </c>
      <c r="FJ1" s="331" t="s">
        <v>885</v>
      </c>
      <c r="FK1" s="331" t="s">
        <v>886</v>
      </c>
      <c r="FL1" s="331" t="s">
        <v>887</v>
      </c>
      <c r="FM1" s="331" t="s">
        <v>888</v>
      </c>
      <c r="FN1" s="331" t="s">
        <v>889</v>
      </c>
      <c r="FO1" s="331" t="s">
        <v>890</v>
      </c>
      <c r="FP1" s="331" t="s">
        <v>891</v>
      </c>
      <c r="FQ1" s="331" t="s">
        <v>892</v>
      </c>
      <c r="FR1" s="331" t="s">
        <v>893</v>
      </c>
      <c r="FS1" s="331" t="s">
        <v>894</v>
      </c>
      <c r="FT1" s="331" t="s">
        <v>895</v>
      </c>
      <c r="FU1" s="331" t="s">
        <v>896</v>
      </c>
      <c r="FV1" s="331" t="s">
        <v>897</v>
      </c>
      <c r="FW1" s="331" t="s">
        <v>898</v>
      </c>
      <c r="FX1" s="331" t="s">
        <v>899</v>
      </c>
      <c r="FY1" s="331" t="s">
        <v>900</v>
      </c>
      <c r="FZ1" s="331" t="s">
        <v>901</v>
      </c>
      <c r="GA1" s="331" t="s">
        <v>902</v>
      </c>
      <c r="GB1" s="331" t="s">
        <v>903</v>
      </c>
      <c r="GC1" s="331" t="s">
        <v>904</v>
      </c>
      <c r="GD1" s="331" t="s">
        <v>905</v>
      </c>
      <c r="GE1" s="331" t="s">
        <v>906</v>
      </c>
      <c r="GF1" s="331" t="s">
        <v>907</v>
      </c>
      <c r="GG1" s="331" t="s">
        <v>908</v>
      </c>
      <c r="GH1" s="331" t="s">
        <v>909</v>
      </c>
      <c r="GI1" s="331" t="s">
        <v>910</v>
      </c>
      <c r="GJ1" s="331" t="s">
        <v>911</v>
      </c>
      <c r="GK1" s="331" t="s">
        <v>912</v>
      </c>
      <c r="GL1" s="331" t="s">
        <v>913</v>
      </c>
      <c r="GM1" s="331" t="s">
        <v>914</v>
      </c>
      <c r="GN1" s="331" t="s">
        <v>915</v>
      </c>
      <c r="GO1" s="331" t="s">
        <v>916</v>
      </c>
      <c r="GP1" s="331" t="s">
        <v>917</v>
      </c>
      <c r="GQ1" s="331" t="s">
        <v>918</v>
      </c>
      <c r="GR1" s="331" t="s">
        <v>919</v>
      </c>
      <c r="GS1" s="331" t="s">
        <v>920</v>
      </c>
      <c r="GT1" s="331" t="s">
        <v>921</v>
      </c>
      <c r="GU1" s="331" t="s">
        <v>922</v>
      </c>
      <c r="GV1" s="331" t="s">
        <v>923</v>
      </c>
      <c r="GW1" s="331" t="s">
        <v>924</v>
      </c>
      <c r="GX1" s="331" t="s">
        <v>925</v>
      </c>
      <c r="GY1" s="331" t="s">
        <v>926</v>
      </c>
      <c r="GZ1" s="331" t="s">
        <v>927</v>
      </c>
      <c r="HA1" s="331" t="s">
        <v>928</v>
      </c>
      <c r="HB1" s="331" t="s">
        <v>929</v>
      </c>
      <c r="HC1" s="331" t="s">
        <v>930</v>
      </c>
      <c r="HD1" s="331" t="s">
        <v>931</v>
      </c>
      <c r="HE1" s="331" t="s">
        <v>932</v>
      </c>
      <c r="HF1" s="331" t="s">
        <v>933</v>
      </c>
      <c r="HG1" s="331" t="s">
        <v>934</v>
      </c>
      <c r="HH1" s="331" t="s">
        <v>935</v>
      </c>
      <c r="HI1" s="331" t="s">
        <v>936</v>
      </c>
      <c r="HJ1" s="331" t="s">
        <v>937</v>
      </c>
      <c r="HK1" s="331" t="s">
        <v>938</v>
      </c>
      <c r="HL1" s="331" t="s">
        <v>939</v>
      </c>
      <c r="HM1" s="331" t="s">
        <v>940</v>
      </c>
      <c r="HN1" s="331" t="s">
        <v>941</v>
      </c>
      <c r="HO1" s="331" t="s">
        <v>942</v>
      </c>
      <c r="HP1" s="331" t="s">
        <v>943</v>
      </c>
      <c r="HQ1" s="331" t="s">
        <v>944</v>
      </c>
      <c r="HR1" s="331" t="s">
        <v>945</v>
      </c>
      <c r="HS1" s="331" t="s">
        <v>946</v>
      </c>
      <c r="HT1" s="331" t="s">
        <v>947</v>
      </c>
      <c r="HU1" s="331" t="s">
        <v>948</v>
      </c>
      <c r="HV1" s="331" t="s">
        <v>949</v>
      </c>
      <c r="HW1" s="331" t="s">
        <v>950</v>
      </c>
      <c r="HX1" s="331" t="s">
        <v>951</v>
      </c>
      <c r="HY1" s="331" t="s">
        <v>952</v>
      </c>
      <c r="HZ1" s="331" t="s">
        <v>953</v>
      </c>
      <c r="IA1" s="331" t="s">
        <v>954</v>
      </c>
      <c r="IB1" s="331" t="s">
        <v>955</v>
      </c>
      <c r="IC1" s="331" t="s">
        <v>956</v>
      </c>
      <c r="ID1" s="331" t="s">
        <v>957</v>
      </c>
      <c r="IE1" s="331" t="s">
        <v>958</v>
      </c>
      <c r="IF1" s="331" t="s">
        <v>959</v>
      </c>
      <c r="IG1" s="331" t="s">
        <v>960</v>
      </c>
      <c r="IH1" s="331" t="s">
        <v>961</v>
      </c>
      <c r="II1" s="331" t="s">
        <v>962</v>
      </c>
      <c r="IJ1" s="331" t="s">
        <v>963</v>
      </c>
      <c r="IK1" s="331" t="s">
        <v>964</v>
      </c>
      <c r="IL1" s="331" t="s">
        <v>965</v>
      </c>
      <c r="IM1" s="331" t="s">
        <v>966</v>
      </c>
      <c r="IN1" s="331" t="s">
        <v>967</v>
      </c>
      <c r="IO1" s="331" t="s">
        <v>968</v>
      </c>
      <c r="IP1" s="331" t="s">
        <v>969</v>
      </c>
      <c r="IQ1" s="331" t="s">
        <v>970</v>
      </c>
      <c r="IR1" s="331" t="s">
        <v>971</v>
      </c>
      <c r="IS1" s="331" t="s">
        <v>972</v>
      </c>
      <c r="IT1" s="331" t="s">
        <v>973</v>
      </c>
      <c r="IU1" s="331" t="s">
        <v>974</v>
      </c>
      <c r="IV1" s="331" t="s">
        <v>975</v>
      </c>
      <c r="IW1" s="331" t="s">
        <v>976</v>
      </c>
      <c r="IX1" s="331" t="s">
        <v>977</v>
      </c>
      <c r="IY1" s="331" t="s">
        <v>978</v>
      </c>
      <c r="IZ1" s="331" t="s">
        <v>979</v>
      </c>
      <c r="JA1" s="331" t="s">
        <v>980</v>
      </c>
      <c r="JB1" s="331" t="s">
        <v>981</v>
      </c>
      <c r="JC1" s="331" t="s">
        <v>982</v>
      </c>
      <c r="JD1" s="331" t="s">
        <v>983</v>
      </c>
      <c r="JE1" s="331" t="s">
        <v>984</v>
      </c>
      <c r="JF1" s="331" t="s">
        <v>985</v>
      </c>
      <c r="JG1" s="331" t="s">
        <v>986</v>
      </c>
      <c r="JH1" s="331" t="s">
        <v>987</v>
      </c>
      <c r="JI1" s="331" t="s">
        <v>988</v>
      </c>
      <c r="JJ1" s="331" t="s">
        <v>989</v>
      </c>
      <c r="JK1" s="331" t="s">
        <v>990</v>
      </c>
      <c r="JL1" s="331" t="s">
        <v>991</v>
      </c>
      <c r="JM1" s="331" t="s">
        <v>992</v>
      </c>
      <c r="JN1" s="331" t="s">
        <v>993</v>
      </c>
      <c r="JO1" s="331" t="s">
        <v>994</v>
      </c>
      <c r="JP1" s="331" t="s">
        <v>995</v>
      </c>
      <c r="JQ1" s="331" t="s">
        <v>996</v>
      </c>
      <c r="JR1" s="331" t="s">
        <v>997</v>
      </c>
      <c r="JS1" s="331" t="s">
        <v>998</v>
      </c>
      <c r="JT1" s="331" t="s">
        <v>999</v>
      </c>
      <c r="JU1" s="331" t="s">
        <v>1000</v>
      </c>
      <c r="JV1" s="331" t="s">
        <v>1001</v>
      </c>
      <c r="JW1" s="331" t="s">
        <v>1002</v>
      </c>
      <c r="JX1" s="331" t="s">
        <v>1003</v>
      </c>
      <c r="JY1" s="331" t="s">
        <v>1004</v>
      </c>
      <c r="JZ1" s="331" t="s">
        <v>1005</v>
      </c>
      <c r="KA1" s="331" t="s">
        <v>1006</v>
      </c>
      <c r="KB1" s="331" t="s">
        <v>1007</v>
      </c>
      <c r="KC1" s="331" t="s">
        <v>1008</v>
      </c>
      <c r="KD1" s="331" t="s">
        <v>1009</v>
      </c>
      <c r="KE1" s="331" t="s">
        <v>1010</v>
      </c>
      <c r="KF1" s="331" t="s">
        <v>1011</v>
      </c>
      <c r="KG1" s="331" t="s">
        <v>1012</v>
      </c>
      <c r="KH1" s="331" t="s">
        <v>1013</v>
      </c>
      <c r="KI1" s="331" t="s">
        <v>1014</v>
      </c>
      <c r="KJ1" s="331" t="s">
        <v>1015</v>
      </c>
      <c r="KK1" s="331" t="s">
        <v>1016</v>
      </c>
      <c r="KL1" s="331" t="s">
        <v>1017</v>
      </c>
      <c r="KM1" s="331" t="s">
        <v>1018</v>
      </c>
      <c r="KN1" s="331" t="s">
        <v>1019</v>
      </c>
      <c r="KO1" s="331" t="s">
        <v>1020</v>
      </c>
      <c r="KP1" s="331" t="s">
        <v>1021</v>
      </c>
      <c r="KQ1" s="331" t="s">
        <v>1022</v>
      </c>
      <c r="KR1" s="331" t="s">
        <v>1023</v>
      </c>
      <c r="KS1" s="331" t="s">
        <v>1024</v>
      </c>
      <c r="KT1" s="331" t="s">
        <v>1025</v>
      </c>
      <c r="KU1" s="331" t="s">
        <v>1026</v>
      </c>
      <c r="KV1" s="331" t="s">
        <v>1027</v>
      </c>
      <c r="KW1" s="331" t="s">
        <v>1028</v>
      </c>
      <c r="KX1" s="331" t="s">
        <v>1029</v>
      </c>
      <c r="KY1" s="331" t="s">
        <v>1030</v>
      </c>
      <c r="KZ1" s="331" t="s">
        <v>1031</v>
      </c>
      <c r="LA1" s="331" t="s">
        <v>1032</v>
      </c>
      <c r="LB1" s="331" t="s">
        <v>1033</v>
      </c>
      <c r="LC1" s="331" t="s">
        <v>1034</v>
      </c>
      <c r="LD1" s="331" t="s">
        <v>1035</v>
      </c>
      <c r="LE1" s="331" t="s">
        <v>1036</v>
      </c>
      <c r="LF1" s="331" t="s">
        <v>1037</v>
      </c>
      <c r="LG1" s="331" t="s">
        <v>1038</v>
      </c>
      <c r="LH1" s="331" t="s">
        <v>1039</v>
      </c>
      <c r="LI1" s="331" t="s">
        <v>1040</v>
      </c>
      <c r="LJ1" s="331" t="s">
        <v>1041</v>
      </c>
      <c r="LK1" s="331" t="s">
        <v>1042</v>
      </c>
      <c r="LL1" s="331" t="s">
        <v>1043</v>
      </c>
      <c r="LM1" s="331" t="s">
        <v>1044</v>
      </c>
      <c r="LN1" s="331" t="s">
        <v>1045</v>
      </c>
      <c r="LO1" s="331" t="s">
        <v>1046</v>
      </c>
      <c r="LP1" s="331" t="s">
        <v>1047</v>
      </c>
      <c r="LQ1" s="331" t="s">
        <v>1048</v>
      </c>
      <c r="LR1" s="331" t="s">
        <v>1049</v>
      </c>
      <c r="LS1" s="331" t="s">
        <v>1050</v>
      </c>
      <c r="LT1" s="331" t="s">
        <v>1051</v>
      </c>
      <c r="LU1" s="331" t="s">
        <v>1052</v>
      </c>
      <c r="LV1" s="331" t="s">
        <v>1053</v>
      </c>
      <c r="LW1" s="331" t="s">
        <v>1054</v>
      </c>
      <c r="LX1" s="331" t="s">
        <v>1055</v>
      </c>
      <c r="LY1" s="331" t="s">
        <v>1056</v>
      </c>
      <c r="LZ1" s="331" t="s">
        <v>1057</v>
      </c>
      <c r="MA1" s="331" t="s">
        <v>1058</v>
      </c>
      <c r="MB1" s="331" t="s">
        <v>1059</v>
      </c>
      <c r="MC1" s="331" t="s">
        <v>1060</v>
      </c>
      <c r="MD1" s="331" t="s">
        <v>1061</v>
      </c>
      <c r="ME1" s="331" t="s">
        <v>1062</v>
      </c>
      <c r="MF1" s="331" t="s">
        <v>1063</v>
      </c>
      <c r="MG1" s="331" t="s">
        <v>1064</v>
      </c>
      <c r="MH1" s="331" t="s">
        <v>1065</v>
      </c>
      <c r="MI1" s="331" t="s">
        <v>1066</v>
      </c>
      <c r="MJ1" s="331" t="s">
        <v>1067</v>
      </c>
      <c r="MK1" s="331" t="s">
        <v>1068</v>
      </c>
      <c r="ML1" s="331" t="s">
        <v>1069</v>
      </c>
      <c r="MM1" s="331" t="s">
        <v>1070</v>
      </c>
      <c r="MN1" s="331" t="s">
        <v>1071</v>
      </c>
      <c r="MO1" s="331" t="s">
        <v>1072</v>
      </c>
      <c r="MP1" s="331" t="s">
        <v>1073</v>
      </c>
      <c r="MQ1" s="331" t="s">
        <v>1074</v>
      </c>
      <c r="MR1" s="331" t="s">
        <v>1075</v>
      </c>
      <c r="MS1" s="331" t="s">
        <v>1076</v>
      </c>
      <c r="MT1" s="331" t="s">
        <v>1077</v>
      </c>
      <c r="MU1" s="331" t="s">
        <v>1078</v>
      </c>
      <c r="MV1" s="331" t="s">
        <v>1079</v>
      </c>
      <c r="MW1" s="331" t="s">
        <v>1080</v>
      </c>
      <c r="MX1" s="331" t="s">
        <v>1081</v>
      </c>
      <c r="MY1" s="331" t="s">
        <v>1082</v>
      </c>
      <c r="MZ1" s="331" t="s">
        <v>1083</v>
      </c>
      <c r="NA1" s="331" t="s">
        <v>1084</v>
      </c>
      <c r="NB1" s="331" t="s">
        <v>1085</v>
      </c>
      <c r="NC1" s="331" t="s">
        <v>1086</v>
      </c>
      <c r="ND1" s="331" t="s">
        <v>1087</v>
      </c>
      <c r="NE1" s="331" t="s">
        <v>1088</v>
      </c>
      <c r="NF1" s="331" t="s">
        <v>1089</v>
      </c>
      <c r="NG1" s="331" t="s">
        <v>1090</v>
      </c>
      <c r="NH1" s="331" t="s">
        <v>1091</v>
      </c>
      <c r="NI1" s="331" t="s">
        <v>1092</v>
      </c>
      <c r="NJ1" s="331" t="s">
        <v>1093</v>
      </c>
      <c r="NK1" s="331" t="s">
        <v>1094</v>
      </c>
      <c r="NL1" s="331" t="s">
        <v>1095</v>
      </c>
      <c r="NM1" s="331" t="s">
        <v>1096</v>
      </c>
      <c r="NN1" s="331" t="s">
        <v>1097</v>
      </c>
      <c r="NO1" s="331" t="s">
        <v>1098</v>
      </c>
      <c r="NP1" s="331" t="s">
        <v>1099</v>
      </c>
      <c r="NQ1" s="331" t="s">
        <v>1100</v>
      </c>
      <c r="NR1" s="331" t="s">
        <v>1101</v>
      </c>
      <c r="NS1" s="331" t="s">
        <v>1102</v>
      </c>
      <c r="NT1" s="331" t="s">
        <v>1103</v>
      </c>
      <c r="NU1" s="331" t="s">
        <v>1104</v>
      </c>
      <c r="NV1" s="331" t="s">
        <v>1105</v>
      </c>
      <c r="NW1" s="331" t="s">
        <v>1106</v>
      </c>
      <c r="NX1" s="331" t="s">
        <v>1107</v>
      </c>
      <c r="NY1" s="331" t="s">
        <v>1108</v>
      </c>
      <c r="NZ1" s="331" t="s">
        <v>1109</v>
      </c>
      <c r="OA1" s="331" t="s">
        <v>1110</v>
      </c>
      <c r="OB1" s="331" t="s">
        <v>1111</v>
      </c>
      <c r="OC1" s="331" t="s">
        <v>1112</v>
      </c>
      <c r="OD1" s="331" t="s">
        <v>1113</v>
      </c>
      <c r="OE1" s="331" t="s">
        <v>1114</v>
      </c>
      <c r="OF1" s="331" t="s">
        <v>1115</v>
      </c>
      <c r="OG1" s="331" t="s">
        <v>1116</v>
      </c>
      <c r="OH1" s="331" t="s">
        <v>1117</v>
      </c>
      <c r="OI1" s="331" t="s">
        <v>1118</v>
      </c>
      <c r="OJ1" s="331" t="s">
        <v>1119</v>
      </c>
      <c r="OK1" s="331" t="s">
        <v>1120</v>
      </c>
      <c r="OL1" s="331" t="s">
        <v>1121</v>
      </c>
      <c r="OM1" s="331" t="s">
        <v>1122</v>
      </c>
      <c r="ON1" s="331" t="s">
        <v>1123</v>
      </c>
      <c r="OO1" s="331" t="s">
        <v>1124</v>
      </c>
      <c r="OP1" s="331" t="s">
        <v>1125</v>
      </c>
      <c r="OQ1" s="331" t="s">
        <v>1126</v>
      </c>
      <c r="OR1" s="331" t="s">
        <v>1127</v>
      </c>
      <c r="OS1" s="331" t="s">
        <v>1128</v>
      </c>
      <c r="OT1" s="331" t="s">
        <v>1129</v>
      </c>
      <c r="OU1" s="331" t="s">
        <v>1130</v>
      </c>
      <c r="OV1" s="331" t="s">
        <v>1131</v>
      </c>
      <c r="OW1" s="331" t="s">
        <v>1132</v>
      </c>
      <c r="OX1" s="331" t="s">
        <v>1133</v>
      </c>
      <c r="OY1" s="331" t="s">
        <v>1134</v>
      </c>
      <c r="OZ1" s="331" t="s">
        <v>1135</v>
      </c>
      <c r="PA1" s="331" t="s">
        <v>1136</v>
      </c>
      <c r="PB1" s="331" t="s">
        <v>1137</v>
      </c>
      <c r="PC1" s="331" t="s">
        <v>1138</v>
      </c>
      <c r="PD1" s="331" t="s">
        <v>1139</v>
      </c>
      <c r="PE1" s="331" t="s">
        <v>1140</v>
      </c>
      <c r="PF1" s="331" t="s">
        <v>1141</v>
      </c>
      <c r="PG1" s="331" t="s">
        <v>1142</v>
      </c>
      <c r="PH1" s="331" t="s">
        <v>1143</v>
      </c>
      <c r="PI1" s="331" t="s">
        <v>1144</v>
      </c>
      <c r="PJ1" s="331" t="s">
        <v>1145</v>
      </c>
      <c r="PK1" s="331" t="s">
        <v>1146</v>
      </c>
      <c r="PL1" s="331" t="s">
        <v>1147</v>
      </c>
      <c r="PM1" s="331" t="s">
        <v>1148</v>
      </c>
      <c r="PN1" s="331" t="s">
        <v>1149</v>
      </c>
      <c r="PO1" s="331" t="s">
        <v>1150</v>
      </c>
      <c r="PP1" s="331" t="s">
        <v>1151</v>
      </c>
      <c r="PQ1" s="331" t="s">
        <v>1152</v>
      </c>
      <c r="PR1" s="331" t="s">
        <v>1153</v>
      </c>
      <c r="PS1" s="331" t="s">
        <v>1154</v>
      </c>
      <c r="PT1" s="331" t="s">
        <v>1155</v>
      </c>
      <c r="PU1" s="331" t="s">
        <v>1156</v>
      </c>
      <c r="PV1" s="331" t="s">
        <v>1157</v>
      </c>
      <c r="PW1" s="331" t="s">
        <v>1158</v>
      </c>
      <c r="PX1" s="331" t="s">
        <v>1159</v>
      </c>
      <c r="PY1" s="331" t="s">
        <v>1160</v>
      </c>
      <c r="PZ1" s="331" t="s">
        <v>1161</v>
      </c>
      <c r="QA1" s="331" t="s">
        <v>1162</v>
      </c>
      <c r="QB1" s="331" t="s">
        <v>1163</v>
      </c>
      <c r="QC1" s="331" t="s">
        <v>1164</v>
      </c>
      <c r="QD1" s="331" t="s">
        <v>1165</v>
      </c>
      <c r="QE1" s="331" t="s">
        <v>1166</v>
      </c>
      <c r="QF1" s="331" t="s">
        <v>1167</v>
      </c>
      <c r="QG1" s="331" t="s">
        <v>1168</v>
      </c>
      <c r="QH1" s="331" t="s">
        <v>1169</v>
      </c>
      <c r="QI1" s="331" t="s">
        <v>1170</v>
      </c>
      <c r="QJ1" s="331" t="s">
        <v>1171</v>
      </c>
      <c r="QK1" s="331" t="s">
        <v>1172</v>
      </c>
      <c r="QL1" s="331" t="s">
        <v>1173</v>
      </c>
      <c r="QM1" s="331" t="s">
        <v>1174</v>
      </c>
      <c r="QN1" s="331" t="s">
        <v>1175</v>
      </c>
      <c r="QO1" s="331" t="s">
        <v>1176</v>
      </c>
      <c r="QP1" s="331" t="s">
        <v>1177</v>
      </c>
      <c r="QQ1" s="331" t="s">
        <v>1178</v>
      </c>
      <c r="QR1" s="331" t="s">
        <v>1179</v>
      </c>
      <c r="QS1" s="331" t="s">
        <v>1180</v>
      </c>
      <c r="QT1" s="331" t="s">
        <v>1181</v>
      </c>
      <c r="QU1" s="331" t="s">
        <v>1182</v>
      </c>
      <c r="QV1" s="331" t="s">
        <v>1183</v>
      </c>
      <c r="QW1" s="331" t="s">
        <v>1184</v>
      </c>
      <c r="QX1" s="331" t="s">
        <v>1185</v>
      </c>
      <c r="QY1" s="331" t="s">
        <v>1186</v>
      </c>
      <c r="QZ1" s="331" t="s">
        <v>1187</v>
      </c>
      <c r="RA1" s="331" t="s">
        <v>1188</v>
      </c>
      <c r="RB1" s="331" t="s">
        <v>1189</v>
      </c>
      <c r="RC1" s="331" t="s">
        <v>1190</v>
      </c>
      <c r="RD1" s="331" t="s">
        <v>1191</v>
      </c>
      <c r="RE1" s="331" t="s">
        <v>1192</v>
      </c>
      <c r="RF1" s="331" t="s">
        <v>1193</v>
      </c>
      <c r="RG1" s="331" t="s">
        <v>1194</v>
      </c>
      <c r="RH1" s="331" t="s">
        <v>1195</v>
      </c>
      <c r="RI1" s="331" t="s">
        <v>1196</v>
      </c>
      <c r="RJ1" s="331" t="s">
        <v>1197</v>
      </c>
      <c r="RK1" s="331" t="s">
        <v>1198</v>
      </c>
      <c r="RL1" s="331" t="s">
        <v>1199</v>
      </c>
      <c r="RM1" s="331" t="s">
        <v>1200</v>
      </c>
      <c r="RN1" s="331" t="s">
        <v>1201</v>
      </c>
      <c r="RO1" s="331" t="s">
        <v>1202</v>
      </c>
      <c r="RP1" s="331" t="s">
        <v>1203</v>
      </c>
      <c r="RQ1" s="331" t="s">
        <v>1204</v>
      </c>
      <c r="RR1" s="331" t="s">
        <v>1205</v>
      </c>
      <c r="RS1" s="331" t="s">
        <v>1206</v>
      </c>
      <c r="RT1" s="331" t="s">
        <v>1207</v>
      </c>
      <c r="RU1" s="331" t="s">
        <v>1208</v>
      </c>
      <c r="RV1" s="331" t="s">
        <v>1209</v>
      </c>
      <c r="RW1" s="331" t="s">
        <v>1210</v>
      </c>
      <c r="RX1" s="331" t="s">
        <v>1211</v>
      </c>
      <c r="RY1" s="331" t="s">
        <v>1212</v>
      </c>
      <c r="RZ1" s="331" t="s">
        <v>1213</v>
      </c>
      <c r="SA1" s="331" t="s">
        <v>1214</v>
      </c>
      <c r="SB1" s="331" t="s">
        <v>1215</v>
      </c>
      <c r="SC1" s="331" t="s">
        <v>1216</v>
      </c>
      <c r="SD1" s="331" t="s">
        <v>1217</v>
      </c>
      <c r="SE1" s="331" t="s">
        <v>1218</v>
      </c>
      <c r="SF1" s="331" t="s">
        <v>1219</v>
      </c>
      <c r="SG1" s="331" t="s">
        <v>1220</v>
      </c>
      <c r="SH1" s="331" t="s">
        <v>1221</v>
      </c>
      <c r="SI1" s="331" t="s">
        <v>1222</v>
      </c>
      <c r="SJ1" s="331" t="s">
        <v>1223</v>
      </c>
      <c r="SK1" s="331" t="s">
        <v>1224</v>
      </c>
      <c r="SL1" s="331" t="s">
        <v>1225</v>
      </c>
      <c r="SM1" s="331" t="s">
        <v>1226</v>
      </c>
      <c r="SN1" s="331" t="s">
        <v>1227</v>
      </c>
      <c r="SO1" s="331" t="s">
        <v>1228</v>
      </c>
      <c r="SP1" s="331" t="s">
        <v>1229</v>
      </c>
      <c r="SQ1" s="331" t="s">
        <v>1230</v>
      </c>
      <c r="SR1" s="331" t="s">
        <v>1231</v>
      </c>
      <c r="SS1" s="331" t="s">
        <v>1232</v>
      </c>
      <c r="ST1" s="331" t="s">
        <v>1233</v>
      </c>
      <c r="SU1" s="331" t="s">
        <v>1234</v>
      </c>
      <c r="SV1" s="331" t="s">
        <v>1235</v>
      </c>
      <c r="SW1" s="331" t="s">
        <v>1236</v>
      </c>
      <c r="SX1" s="331" t="s">
        <v>1237</v>
      </c>
      <c r="SY1" s="331" t="s">
        <v>1238</v>
      </c>
      <c r="SZ1" s="331" t="s">
        <v>1239</v>
      </c>
      <c r="TA1" s="331" t="s">
        <v>1240</v>
      </c>
      <c r="TB1" s="331" t="s">
        <v>1241</v>
      </c>
      <c r="TC1" s="331" t="s">
        <v>1242</v>
      </c>
      <c r="TD1" s="331" t="s">
        <v>1243</v>
      </c>
      <c r="TE1" s="331" t="s">
        <v>1244</v>
      </c>
      <c r="TF1" s="331" t="s">
        <v>1245</v>
      </c>
      <c r="TG1" s="331" t="s">
        <v>1246</v>
      </c>
      <c r="TH1" s="331" t="s">
        <v>1247</v>
      </c>
      <c r="TI1" s="331" t="s">
        <v>1248</v>
      </c>
      <c r="TJ1" s="331" t="s">
        <v>1249</v>
      </c>
      <c r="TK1" s="331" t="s">
        <v>1250</v>
      </c>
      <c r="TL1" s="331" t="s">
        <v>1251</v>
      </c>
      <c r="TM1" s="331" t="s">
        <v>1252</v>
      </c>
      <c r="TN1" s="331" t="s">
        <v>1253</v>
      </c>
      <c r="TO1" s="331" t="s">
        <v>1254</v>
      </c>
      <c r="TP1" s="331" t="s">
        <v>1255</v>
      </c>
      <c r="TQ1" s="331" t="s">
        <v>1256</v>
      </c>
      <c r="TR1" s="331" t="s">
        <v>1257</v>
      </c>
      <c r="TS1" s="331" t="s">
        <v>1258</v>
      </c>
      <c r="TT1" s="331" t="s">
        <v>1259</v>
      </c>
      <c r="TU1" s="331" t="s">
        <v>1260</v>
      </c>
      <c r="TV1" s="331" t="s">
        <v>1261</v>
      </c>
      <c r="TW1" s="331" t="s">
        <v>1262</v>
      </c>
      <c r="TX1" s="331" t="s">
        <v>1263</v>
      </c>
      <c r="TY1" s="331" t="s">
        <v>1264</v>
      </c>
      <c r="TZ1" s="331" t="s">
        <v>1265</v>
      </c>
      <c r="UA1" s="331" t="s">
        <v>1266</v>
      </c>
      <c r="UB1" s="331" t="s">
        <v>1267</v>
      </c>
      <c r="UC1" s="331" t="s">
        <v>1268</v>
      </c>
      <c r="UD1" s="331" t="s">
        <v>1269</v>
      </c>
      <c r="UE1" s="331" t="s">
        <v>1270</v>
      </c>
      <c r="UF1" s="331" t="s">
        <v>1271</v>
      </c>
      <c r="UG1" s="331" t="s">
        <v>1272</v>
      </c>
      <c r="UH1" s="331" t="s">
        <v>1273</v>
      </c>
      <c r="UI1" s="331" t="s">
        <v>1274</v>
      </c>
      <c r="UJ1" s="331" t="s">
        <v>1275</v>
      </c>
      <c r="UK1" s="331" t="s">
        <v>1276</v>
      </c>
      <c r="UL1" s="331" t="s">
        <v>1277</v>
      </c>
      <c r="UM1" s="331" t="s">
        <v>1278</v>
      </c>
      <c r="UN1" s="331" t="s">
        <v>1279</v>
      </c>
      <c r="UO1" s="331" t="s">
        <v>1280</v>
      </c>
      <c r="UP1" s="331" t="s">
        <v>1281</v>
      </c>
      <c r="UQ1" s="331" t="s">
        <v>1282</v>
      </c>
      <c r="UR1" s="331" t="s">
        <v>1283</v>
      </c>
      <c r="US1" s="331" t="s">
        <v>1284</v>
      </c>
      <c r="UT1" s="331" t="s">
        <v>1285</v>
      </c>
      <c r="UU1" s="331" t="s">
        <v>1286</v>
      </c>
      <c r="UV1" s="331" t="s">
        <v>1287</v>
      </c>
      <c r="UW1" s="331" t="s">
        <v>1288</v>
      </c>
      <c r="UX1" s="331" t="s">
        <v>1289</v>
      </c>
      <c r="UY1" s="331" t="s">
        <v>1290</v>
      </c>
      <c r="UZ1" s="331" t="s">
        <v>1291</v>
      </c>
      <c r="VA1" s="331" t="s">
        <v>1292</v>
      </c>
      <c r="VB1" s="331" t="s">
        <v>1293</v>
      </c>
      <c r="VC1" s="331" t="s">
        <v>1294</v>
      </c>
      <c r="VD1" s="331" t="s">
        <v>1295</v>
      </c>
      <c r="VE1" s="331" t="s">
        <v>1296</v>
      </c>
      <c r="VF1" s="331" t="s">
        <v>1297</v>
      </c>
      <c r="VG1" s="331" t="s">
        <v>1298</v>
      </c>
      <c r="VH1" s="331" t="s">
        <v>1299</v>
      </c>
      <c r="VI1" s="331" t="s">
        <v>1300</v>
      </c>
      <c r="VJ1" s="331" t="s">
        <v>1301</v>
      </c>
      <c r="VK1" s="331" t="s">
        <v>1302</v>
      </c>
      <c r="VL1" s="331" t="s">
        <v>1303</v>
      </c>
      <c r="VM1" s="331" t="s">
        <v>1304</v>
      </c>
      <c r="VN1" s="331" t="s">
        <v>1305</v>
      </c>
      <c r="VO1" s="331" t="s">
        <v>1306</v>
      </c>
      <c r="VP1" s="331" t="s">
        <v>1307</v>
      </c>
      <c r="VQ1" s="331" t="s">
        <v>1308</v>
      </c>
      <c r="VR1" s="331" t="s">
        <v>1309</v>
      </c>
      <c r="VS1" s="331" t="s">
        <v>1310</v>
      </c>
      <c r="VT1" s="331" t="s">
        <v>1311</v>
      </c>
      <c r="VU1" s="331" t="s">
        <v>1312</v>
      </c>
      <c r="VV1" s="331" t="s">
        <v>1313</v>
      </c>
      <c r="VW1" s="331" t="s">
        <v>1314</v>
      </c>
      <c r="VX1" s="331" t="s">
        <v>1315</v>
      </c>
      <c r="VY1" s="331" t="s">
        <v>1316</v>
      </c>
      <c r="VZ1" s="331" t="s">
        <v>1317</v>
      </c>
      <c r="WA1" s="331" t="s">
        <v>1318</v>
      </c>
      <c r="WB1" s="331" t="s">
        <v>1319</v>
      </c>
      <c r="WC1" s="331" t="s">
        <v>1320</v>
      </c>
      <c r="WD1" s="331" t="s">
        <v>1321</v>
      </c>
      <c r="WE1" s="331" t="s">
        <v>1322</v>
      </c>
      <c r="WF1" s="331" t="s">
        <v>1323</v>
      </c>
      <c r="WG1" s="331" t="s">
        <v>1324</v>
      </c>
      <c r="WH1" s="331" t="s">
        <v>1325</v>
      </c>
      <c r="WI1" s="331" t="s">
        <v>1326</v>
      </c>
      <c r="WJ1" s="331" t="s">
        <v>1327</v>
      </c>
      <c r="WK1" s="331" t="s">
        <v>1328</v>
      </c>
      <c r="WL1" s="331" t="s">
        <v>1329</v>
      </c>
      <c r="WM1" s="331" t="s">
        <v>1330</v>
      </c>
      <c r="WN1" s="331" t="s">
        <v>1331</v>
      </c>
      <c r="WO1" s="331" t="s">
        <v>1332</v>
      </c>
      <c r="WP1" s="331" t="s">
        <v>1333</v>
      </c>
      <c r="WQ1" s="331" t="s">
        <v>1334</v>
      </c>
      <c r="WR1" s="331" t="s">
        <v>1335</v>
      </c>
      <c r="WS1" s="331" t="s">
        <v>1336</v>
      </c>
      <c r="WT1" s="331" t="s">
        <v>1337</v>
      </c>
      <c r="WU1" s="331" t="s">
        <v>1338</v>
      </c>
      <c r="WV1" s="331" t="s">
        <v>1339</v>
      </c>
      <c r="WW1" s="331" t="s">
        <v>1340</v>
      </c>
      <c r="WX1" s="331" t="s">
        <v>1341</v>
      </c>
      <c r="WY1" s="331" t="s">
        <v>1342</v>
      </c>
      <c r="WZ1" s="331" t="s">
        <v>1343</v>
      </c>
      <c r="XA1" s="331" t="s">
        <v>1344</v>
      </c>
      <c r="XB1" s="331" t="s">
        <v>1345</v>
      </c>
      <c r="XC1" s="331" t="s">
        <v>1346</v>
      </c>
      <c r="XD1" s="331" t="s">
        <v>1347</v>
      </c>
      <c r="XE1" s="331" t="s">
        <v>1348</v>
      </c>
      <c r="XF1" s="331" t="s">
        <v>1349</v>
      </c>
      <c r="XG1" s="331" t="s">
        <v>1350</v>
      </c>
      <c r="XH1" s="331" t="s">
        <v>1351</v>
      </c>
      <c r="XI1" s="331" t="s">
        <v>1352</v>
      </c>
      <c r="XJ1" s="331" t="s">
        <v>1353</v>
      </c>
      <c r="XK1" s="331" t="s">
        <v>1354</v>
      </c>
      <c r="XL1" s="331" t="s">
        <v>1355</v>
      </c>
      <c r="XM1" s="331" t="s">
        <v>1356</v>
      </c>
      <c r="XN1" s="331" t="s">
        <v>1357</v>
      </c>
      <c r="XO1" s="331" t="s">
        <v>1358</v>
      </c>
      <c r="XP1" s="331" t="s">
        <v>1359</v>
      </c>
      <c r="XQ1" s="331" t="s">
        <v>1360</v>
      </c>
      <c r="XR1" s="331" t="s">
        <v>1361</v>
      </c>
      <c r="XS1" s="331" t="s">
        <v>1362</v>
      </c>
      <c r="XT1" s="331" t="s">
        <v>1363</v>
      </c>
      <c r="XU1" s="331" t="s">
        <v>1364</v>
      </c>
      <c r="XV1" s="331" t="s">
        <v>1365</v>
      </c>
      <c r="XW1" s="331" t="s">
        <v>1366</v>
      </c>
      <c r="XX1" s="331" t="s">
        <v>1367</v>
      </c>
      <c r="XY1" s="331" t="s">
        <v>1368</v>
      </c>
      <c r="XZ1" s="331" t="s">
        <v>1369</v>
      </c>
      <c r="YA1" s="331" t="s">
        <v>1370</v>
      </c>
      <c r="YB1" s="331" t="s">
        <v>1371</v>
      </c>
      <c r="YC1" s="331" t="s">
        <v>1372</v>
      </c>
      <c r="YD1" s="331" t="s">
        <v>1373</v>
      </c>
      <c r="YE1" s="331" t="s">
        <v>1374</v>
      </c>
      <c r="YF1" s="331" t="s">
        <v>1375</v>
      </c>
      <c r="YG1" s="331" t="s">
        <v>1376</v>
      </c>
      <c r="YH1" s="331" t="s">
        <v>1377</v>
      </c>
      <c r="YI1" s="331" t="s">
        <v>1378</v>
      </c>
      <c r="YJ1" s="331" t="s">
        <v>1379</v>
      </c>
      <c r="YK1" s="331" t="s">
        <v>1380</v>
      </c>
      <c r="YL1" s="331" t="s">
        <v>1381</v>
      </c>
      <c r="YM1" s="331" t="s">
        <v>1382</v>
      </c>
      <c r="YN1" s="331" t="s">
        <v>1383</v>
      </c>
      <c r="YO1" s="331" t="s">
        <v>1384</v>
      </c>
      <c r="YP1" s="331" t="s">
        <v>1385</v>
      </c>
      <c r="YQ1" s="331" t="s">
        <v>1386</v>
      </c>
      <c r="YR1" s="331" t="s">
        <v>1387</v>
      </c>
      <c r="YS1" s="331" t="s">
        <v>1388</v>
      </c>
      <c r="YT1" s="331" t="s">
        <v>1389</v>
      </c>
      <c r="YU1" s="331" t="s">
        <v>1390</v>
      </c>
      <c r="YV1" s="331" t="s">
        <v>1391</v>
      </c>
      <c r="YW1" s="331" t="s">
        <v>1392</v>
      </c>
      <c r="YX1" s="331" t="s">
        <v>1393</v>
      </c>
      <c r="YY1" s="331" t="s">
        <v>1394</v>
      </c>
      <c r="YZ1" s="331" t="s">
        <v>1395</v>
      </c>
      <c r="ZA1" s="331" t="s">
        <v>1396</v>
      </c>
      <c r="ZB1" s="331" t="s">
        <v>1397</v>
      </c>
      <c r="ZC1" s="331" t="s">
        <v>1398</v>
      </c>
      <c r="ZD1" s="331" t="s">
        <v>1399</v>
      </c>
      <c r="ZE1" s="331" t="s">
        <v>1400</v>
      </c>
      <c r="ZF1" s="331" t="s">
        <v>1401</v>
      </c>
      <c r="ZG1" s="331" t="s">
        <v>1402</v>
      </c>
      <c r="ZH1" s="331" t="s">
        <v>1403</v>
      </c>
      <c r="ZI1" s="331" t="s">
        <v>1404</v>
      </c>
      <c r="ZJ1" s="331" t="s">
        <v>1405</v>
      </c>
      <c r="ZK1" s="331" t="s">
        <v>1406</v>
      </c>
      <c r="ZL1" s="331" t="s">
        <v>1407</v>
      </c>
      <c r="ZM1" s="331" t="s">
        <v>1408</v>
      </c>
      <c r="ZN1" s="331" t="s">
        <v>1409</v>
      </c>
      <c r="ZO1" s="331" t="s">
        <v>1410</v>
      </c>
      <c r="ZP1" s="331" t="s">
        <v>1411</v>
      </c>
      <c r="ZQ1" s="331" t="s">
        <v>1412</v>
      </c>
      <c r="ZR1" s="331" t="s">
        <v>1413</v>
      </c>
      <c r="ZS1" s="331" t="s">
        <v>1414</v>
      </c>
      <c r="ZT1" s="331" t="s">
        <v>1415</v>
      </c>
      <c r="ZU1" s="331" t="s">
        <v>1416</v>
      </c>
      <c r="ZV1" s="331" t="s">
        <v>1417</v>
      </c>
      <c r="ZW1" s="331" t="s">
        <v>1418</v>
      </c>
      <c r="ZX1" s="331" t="s">
        <v>1419</v>
      </c>
      <c r="ZY1" s="331" t="s">
        <v>1420</v>
      </c>
      <c r="ZZ1" s="331" t="s">
        <v>1421</v>
      </c>
      <c r="AAA1" s="331" t="s">
        <v>1422</v>
      </c>
      <c r="AAB1" s="331" t="s">
        <v>1423</v>
      </c>
      <c r="AAC1" s="331" t="s">
        <v>1424</v>
      </c>
      <c r="AAD1" s="331" t="s">
        <v>1425</v>
      </c>
      <c r="AAE1" s="331" t="s">
        <v>1426</v>
      </c>
      <c r="AAF1" s="331" t="s">
        <v>1427</v>
      </c>
      <c r="AAG1" s="331" t="s">
        <v>1428</v>
      </c>
      <c r="AAH1" s="331" t="s">
        <v>1429</v>
      </c>
      <c r="AAI1" s="331" t="s">
        <v>1430</v>
      </c>
      <c r="AAJ1" s="331" t="s">
        <v>1431</v>
      </c>
      <c r="AAK1" s="331" t="s">
        <v>1432</v>
      </c>
      <c r="AAL1" s="331" t="s">
        <v>1433</v>
      </c>
      <c r="AAM1" s="331" t="s">
        <v>1434</v>
      </c>
      <c r="AAN1" s="331" t="s">
        <v>1435</v>
      </c>
      <c r="AAO1" s="331" t="s">
        <v>1436</v>
      </c>
      <c r="AAP1" s="331" t="s">
        <v>1437</v>
      </c>
      <c r="AAQ1" s="331" t="s">
        <v>1438</v>
      </c>
      <c r="AAR1" s="331" t="s">
        <v>1439</v>
      </c>
      <c r="AAS1" s="331" t="s">
        <v>1440</v>
      </c>
      <c r="AAT1" s="331" t="s">
        <v>1441</v>
      </c>
      <c r="AAU1" s="331" t="s">
        <v>1442</v>
      </c>
      <c r="AAV1" s="331" t="s">
        <v>1443</v>
      </c>
      <c r="AAW1" s="331" t="s">
        <v>1444</v>
      </c>
      <c r="AAX1" s="331" t="s">
        <v>1445</v>
      </c>
      <c r="AAY1" s="331" t="s">
        <v>1446</v>
      </c>
      <c r="AAZ1" s="331" t="s">
        <v>1447</v>
      </c>
      <c r="ABA1" s="331" t="s">
        <v>1448</v>
      </c>
      <c r="ABB1" s="331" t="s">
        <v>1449</v>
      </c>
      <c r="ABC1" s="331" t="s">
        <v>1450</v>
      </c>
      <c r="ABD1" s="331" t="s">
        <v>1451</v>
      </c>
      <c r="ABE1" s="331" t="s">
        <v>1452</v>
      </c>
      <c r="ABF1" s="331" t="s">
        <v>1453</v>
      </c>
      <c r="ABG1" s="331" t="s">
        <v>1454</v>
      </c>
      <c r="ABH1" s="331" t="s">
        <v>1455</v>
      </c>
      <c r="ABI1" s="331" t="s">
        <v>1456</v>
      </c>
      <c r="ABJ1" s="331" t="s">
        <v>1457</v>
      </c>
      <c r="ABK1" s="331" t="s">
        <v>1458</v>
      </c>
      <c r="ABL1" s="331" t="s">
        <v>1459</v>
      </c>
      <c r="ABM1" s="331" t="s">
        <v>1460</v>
      </c>
      <c r="ABN1" s="331" t="s">
        <v>1461</v>
      </c>
      <c r="ABO1" s="331" t="s">
        <v>1462</v>
      </c>
      <c r="ABP1" s="331" t="s">
        <v>1463</v>
      </c>
      <c r="ABQ1" s="331" t="s">
        <v>1464</v>
      </c>
      <c r="ABR1" s="331" t="s">
        <v>1465</v>
      </c>
      <c r="ABS1" s="331" t="s">
        <v>1466</v>
      </c>
      <c r="ABT1" s="331" t="s">
        <v>1467</v>
      </c>
      <c r="ABU1" s="331" t="s">
        <v>1468</v>
      </c>
      <c r="ABV1" s="331" t="s">
        <v>1469</v>
      </c>
      <c r="ABW1" s="331" t="s">
        <v>1470</v>
      </c>
      <c r="ABX1" s="331" t="s">
        <v>1471</v>
      </c>
      <c r="ABY1" s="331" t="s">
        <v>1472</v>
      </c>
      <c r="ABZ1" s="331" t="s">
        <v>1473</v>
      </c>
      <c r="ACA1" s="331" t="s">
        <v>1474</v>
      </c>
      <c r="ACB1" s="331" t="s">
        <v>1475</v>
      </c>
      <c r="ACC1" s="331" t="s">
        <v>1476</v>
      </c>
      <c r="ACD1" s="331" t="s">
        <v>1477</v>
      </c>
      <c r="ACE1" s="331" t="s">
        <v>1478</v>
      </c>
      <c r="ACF1" s="331" t="s">
        <v>1479</v>
      </c>
      <c r="ACG1" s="331" t="s">
        <v>1480</v>
      </c>
      <c r="ACH1" s="331" t="s">
        <v>1481</v>
      </c>
      <c r="ACI1" s="331" t="s">
        <v>1482</v>
      </c>
      <c r="ACJ1" s="331" t="s">
        <v>1483</v>
      </c>
      <c r="ACK1" s="331" t="s">
        <v>1484</v>
      </c>
      <c r="ACL1" s="331" t="s">
        <v>1485</v>
      </c>
      <c r="ACM1" s="331" t="s">
        <v>1486</v>
      </c>
      <c r="ACN1" s="331" t="s">
        <v>1487</v>
      </c>
      <c r="ACO1" s="331" t="s">
        <v>1488</v>
      </c>
      <c r="ACP1" s="331" t="s">
        <v>1489</v>
      </c>
      <c r="ACQ1" s="331" t="s">
        <v>1490</v>
      </c>
      <c r="ACR1" s="331" t="s">
        <v>1491</v>
      </c>
      <c r="ACS1" s="331" t="s">
        <v>1492</v>
      </c>
      <c r="ACT1" s="331" t="s">
        <v>1493</v>
      </c>
      <c r="ACU1" s="331" t="s">
        <v>1494</v>
      </c>
      <c r="ACV1" s="331" t="s">
        <v>1495</v>
      </c>
      <c r="ACW1" s="331" t="s">
        <v>1496</v>
      </c>
      <c r="ACX1" s="331" t="s">
        <v>1497</v>
      </c>
      <c r="ACY1" s="331" t="s">
        <v>1498</v>
      </c>
      <c r="ACZ1" s="331" t="s">
        <v>1499</v>
      </c>
      <c r="ADA1" s="331" t="s">
        <v>1500</v>
      </c>
      <c r="ADB1" s="331" t="s">
        <v>1501</v>
      </c>
      <c r="ADC1" s="331" t="s">
        <v>1502</v>
      </c>
      <c r="ADD1" s="331" t="s">
        <v>1503</v>
      </c>
      <c r="ADE1" s="331" t="s">
        <v>1504</v>
      </c>
      <c r="ADF1" s="331" t="s">
        <v>1505</v>
      </c>
      <c r="ADG1" s="331" t="s">
        <v>1506</v>
      </c>
      <c r="ADH1" s="331" t="s">
        <v>1507</v>
      </c>
      <c r="ADI1" s="331" t="s">
        <v>1508</v>
      </c>
      <c r="ADJ1" s="331" t="s">
        <v>1509</v>
      </c>
      <c r="ADK1" s="331" t="s">
        <v>1510</v>
      </c>
      <c r="ADL1" s="331" t="s">
        <v>1511</v>
      </c>
      <c r="ADM1" s="331" t="s">
        <v>1512</v>
      </c>
      <c r="ADN1" s="331" t="s">
        <v>1513</v>
      </c>
      <c r="ADO1" s="331" t="s">
        <v>1514</v>
      </c>
      <c r="ADP1" s="331" t="s">
        <v>1515</v>
      </c>
      <c r="ADQ1" s="331" t="s">
        <v>1516</v>
      </c>
      <c r="ADR1" s="331" t="s">
        <v>1517</v>
      </c>
      <c r="ADS1" s="331" t="s">
        <v>1518</v>
      </c>
      <c r="ADT1" s="331" t="s">
        <v>1519</v>
      </c>
      <c r="ADU1" s="331" t="s">
        <v>1520</v>
      </c>
      <c r="ADV1" s="331" t="s">
        <v>1521</v>
      </c>
      <c r="ADW1" s="331" t="s">
        <v>1522</v>
      </c>
      <c r="ADX1" s="331" t="s">
        <v>1523</v>
      </c>
      <c r="ADY1" s="331" t="s">
        <v>1524</v>
      </c>
      <c r="ADZ1" s="331" t="s">
        <v>1525</v>
      </c>
      <c r="AEA1" s="331" t="s">
        <v>1526</v>
      </c>
      <c r="AEB1" s="331" t="s">
        <v>1527</v>
      </c>
      <c r="AEC1" s="331" t="s">
        <v>1528</v>
      </c>
      <c r="AED1" s="331" t="s">
        <v>1529</v>
      </c>
      <c r="AEE1" s="331" t="s">
        <v>1530</v>
      </c>
      <c r="AEF1" s="331" t="s">
        <v>1531</v>
      </c>
      <c r="AEG1" s="331" t="s">
        <v>1532</v>
      </c>
      <c r="AEH1" s="331" t="s">
        <v>1533</v>
      </c>
      <c r="AEI1" s="331" t="s">
        <v>1534</v>
      </c>
      <c r="AEJ1" s="331" t="s">
        <v>1535</v>
      </c>
      <c r="AEK1" s="331" t="s">
        <v>1536</v>
      </c>
      <c r="AEL1" s="331" t="s">
        <v>1537</v>
      </c>
      <c r="AEM1" s="331" t="s">
        <v>1538</v>
      </c>
      <c r="AEN1" s="331" t="s">
        <v>1539</v>
      </c>
      <c r="AEO1" s="331" t="s">
        <v>1540</v>
      </c>
      <c r="AEP1" s="331" t="s">
        <v>1541</v>
      </c>
      <c r="AEQ1" s="331" t="s">
        <v>1542</v>
      </c>
      <c r="AER1" s="331" t="s">
        <v>1543</v>
      </c>
      <c r="AES1" s="331" t="s">
        <v>1544</v>
      </c>
      <c r="AET1" s="331" t="s">
        <v>1545</v>
      </c>
      <c r="AEU1" s="331" t="s">
        <v>1546</v>
      </c>
      <c r="AEV1" s="331" t="s">
        <v>1547</v>
      </c>
      <c r="AEW1" s="331" t="s">
        <v>1548</v>
      </c>
      <c r="AEX1" s="331" t="s">
        <v>1549</v>
      </c>
      <c r="AEY1" s="331" t="s">
        <v>1550</v>
      </c>
      <c r="AEZ1" s="331" t="s">
        <v>1551</v>
      </c>
      <c r="AFA1" s="331" t="s">
        <v>1552</v>
      </c>
      <c r="AFB1" s="331" t="s">
        <v>1553</v>
      </c>
      <c r="AFC1" s="331" t="s">
        <v>1554</v>
      </c>
      <c r="AFD1" s="331" t="s">
        <v>1555</v>
      </c>
      <c r="AFE1" s="331" t="s">
        <v>1556</v>
      </c>
      <c r="AFF1" s="331" t="s">
        <v>1557</v>
      </c>
      <c r="AFG1" s="331" t="s">
        <v>1558</v>
      </c>
      <c r="AFH1" s="331" t="s">
        <v>1559</v>
      </c>
      <c r="AFI1" s="331" t="s">
        <v>1560</v>
      </c>
      <c r="AFJ1" s="331" t="s">
        <v>1561</v>
      </c>
      <c r="AFK1" s="331" t="s">
        <v>1562</v>
      </c>
      <c r="AFL1" s="331" t="s">
        <v>1563</v>
      </c>
      <c r="AFM1" s="331" t="s">
        <v>1564</v>
      </c>
      <c r="AFN1" s="331" t="s">
        <v>1565</v>
      </c>
      <c r="AFO1" s="331" t="s">
        <v>1566</v>
      </c>
      <c r="AFP1" s="331" t="s">
        <v>1567</v>
      </c>
      <c r="AFQ1" s="331" t="s">
        <v>1568</v>
      </c>
      <c r="AFR1" s="331" t="s">
        <v>1569</v>
      </c>
      <c r="AFS1" s="331" t="s">
        <v>1570</v>
      </c>
      <c r="AFT1" s="331" t="s">
        <v>1571</v>
      </c>
      <c r="AFU1" s="331" t="s">
        <v>1572</v>
      </c>
      <c r="AFV1" s="331" t="s">
        <v>1573</v>
      </c>
      <c r="AFW1" s="331" t="s">
        <v>1574</v>
      </c>
      <c r="AFX1" s="331" t="s">
        <v>1575</v>
      </c>
      <c r="AFY1" s="331" t="s">
        <v>1576</v>
      </c>
      <c r="AFZ1" s="331" t="s">
        <v>1577</v>
      </c>
      <c r="AGA1" s="331" t="s">
        <v>1578</v>
      </c>
      <c r="AGB1" s="331" t="s">
        <v>1579</v>
      </c>
      <c r="AGC1" s="331" t="s">
        <v>1580</v>
      </c>
      <c r="AGD1" s="331" t="s">
        <v>1581</v>
      </c>
      <c r="AGE1" s="331" t="s">
        <v>1582</v>
      </c>
      <c r="AGF1" s="331" t="s">
        <v>1583</v>
      </c>
      <c r="AGG1" s="331" t="s">
        <v>1584</v>
      </c>
      <c r="AGH1" s="331" t="s">
        <v>1585</v>
      </c>
      <c r="AGI1" s="331" t="s">
        <v>1586</v>
      </c>
      <c r="AGJ1" s="331" t="s">
        <v>1587</v>
      </c>
      <c r="AGK1" s="331" t="s">
        <v>1588</v>
      </c>
      <c r="AGL1" s="331" t="s">
        <v>1589</v>
      </c>
      <c r="AGM1" s="331" t="s">
        <v>1590</v>
      </c>
      <c r="AGN1" s="331" t="s">
        <v>1591</v>
      </c>
      <c r="AGO1" s="331" t="s">
        <v>1592</v>
      </c>
      <c r="AGP1" s="331" t="s">
        <v>1593</v>
      </c>
      <c r="AGQ1" s="331" t="s">
        <v>1594</v>
      </c>
      <c r="AGR1" s="331" t="s">
        <v>1595</v>
      </c>
      <c r="AGS1" s="331" t="s">
        <v>1596</v>
      </c>
      <c r="AGT1" s="331" t="s">
        <v>1597</v>
      </c>
      <c r="AGU1" s="331" t="s">
        <v>1598</v>
      </c>
      <c r="AGV1" s="331" t="s">
        <v>1599</v>
      </c>
      <c r="AGW1" s="331" t="s">
        <v>1600</v>
      </c>
      <c r="AGX1" s="331" t="s">
        <v>1601</v>
      </c>
      <c r="AGY1" s="331" t="s">
        <v>1602</v>
      </c>
      <c r="AGZ1" s="331" t="s">
        <v>1603</v>
      </c>
      <c r="AHA1" s="331" t="s">
        <v>1604</v>
      </c>
      <c r="AHB1" s="331" t="s">
        <v>1605</v>
      </c>
      <c r="AHC1" s="331" t="s">
        <v>1606</v>
      </c>
      <c r="AHD1" s="331" t="s">
        <v>1607</v>
      </c>
      <c r="AHE1" s="331" t="s">
        <v>1608</v>
      </c>
      <c r="AHF1" s="331" t="s">
        <v>1609</v>
      </c>
      <c r="AHG1" s="331" t="s">
        <v>1610</v>
      </c>
      <c r="AHH1" s="331" t="s">
        <v>1611</v>
      </c>
      <c r="AHI1" s="331" t="s">
        <v>1612</v>
      </c>
      <c r="AHJ1" s="331" t="s">
        <v>1613</v>
      </c>
      <c r="AHK1" s="331" t="s">
        <v>1614</v>
      </c>
      <c r="AHL1" s="331" t="s">
        <v>1615</v>
      </c>
      <c r="AHM1" s="331" t="s">
        <v>1616</v>
      </c>
      <c r="AHN1" s="331" t="s">
        <v>1617</v>
      </c>
      <c r="AHO1" s="331" t="s">
        <v>1618</v>
      </c>
      <c r="AHP1" s="331" t="s">
        <v>1619</v>
      </c>
      <c r="AHQ1" s="331" t="s">
        <v>1620</v>
      </c>
      <c r="AHR1" s="331" t="s">
        <v>1621</v>
      </c>
      <c r="AHS1" s="331" t="s">
        <v>1622</v>
      </c>
      <c r="AHT1" s="331" t="s">
        <v>1623</v>
      </c>
      <c r="AHU1" s="331" t="s">
        <v>1624</v>
      </c>
      <c r="AHV1" s="331" t="s">
        <v>1625</v>
      </c>
      <c r="AHW1" s="331" t="s">
        <v>1626</v>
      </c>
      <c r="AHX1" s="331" t="s">
        <v>1627</v>
      </c>
      <c r="AHY1" s="331" t="s">
        <v>1628</v>
      </c>
      <c r="AHZ1" s="331" t="s">
        <v>1629</v>
      </c>
      <c r="AIA1" s="331" t="s">
        <v>1630</v>
      </c>
      <c r="AIB1" s="331" t="s">
        <v>1631</v>
      </c>
      <c r="AIC1" s="331" t="s">
        <v>1632</v>
      </c>
      <c r="AID1" s="331" t="s">
        <v>1633</v>
      </c>
      <c r="AIE1" s="331" t="s">
        <v>1634</v>
      </c>
      <c r="AIF1" s="331" t="s">
        <v>1635</v>
      </c>
      <c r="AIG1" s="331" t="s">
        <v>1636</v>
      </c>
      <c r="AIH1" s="331" t="s">
        <v>1637</v>
      </c>
      <c r="AII1" s="331" t="s">
        <v>1638</v>
      </c>
      <c r="AIJ1" s="331" t="s">
        <v>1639</v>
      </c>
      <c r="AIK1" s="331" t="s">
        <v>1640</v>
      </c>
      <c r="AIL1" s="331" t="s">
        <v>1641</v>
      </c>
      <c r="AIM1" s="331" t="s">
        <v>1642</v>
      </c>
      <c r="AIN1" s="331" t="s">
        <v>1643</v>
      </c>
      <c r="AIO1" s="331" t="s">
        <v>1644</v>
      </c>
      <c r="AIP1" s="331" t="s">
        <v>1645</v>
      </c>
      <c r="AIQ1" s="331" t="s">
        <v>1646</v>
      </c>
      <c r="AIR1" s="331" t="s">
        <v>1647</v>
      </c>
      <c r="AIS1" s="331" t="s">
        <v>1648</v>
      </c>
      <c r="AIT1" s="331" t="s">
        <v>1649</v>
      </c>
      <c r="AIU1" s="331" t="s">
        <v>1650</v>
      </c>
      <c r="AIV1" s="331" t="s">
        <v>1651</v>
      </c>
      <c r="AIW1" s="331" t="s">
        <v>1652</v>
      </c>
      <c r="AIX1" s="331" t="s">
        <v>1653</v>
      </c>
      <c r="AIY1" s="331" t="s">
        <v>1654</v>
      </c>
      <c r="AIZ1" s="331" t="s">
        <v>1655</v>
      </c>
      <c r="AJA1" s="331" t="s">
        <v>1656</v>
      </c>
      <c r="AJB1" s="331" t="s">
        <v>1657</v>
      </c>
      <c r="AJC1" s="331" t="s">
        <v>1658</v>
      </c>
      <c r="AJD1" s="331" t="s">
        <v>1659</v>
      </c>
      <c r="AJE1" s="331" t="s">
        <v>1660</v>
      </c>
      <c r="AJF1" s="331" t="s">
        <v>1661</v>
      </c>
      <c r="AJG1" s="331" t="s">
        <v>1662</v>
      </c>
      <c r="AJH1" s="331" t="s">
        <v>1663</v>
      </c>
      <c r="AJI1" s="331" t="s">
        <v>1664</v>
      </c>
      <c r="AJJ1" s="331" t="s">
        <v>1665</v>
      </c>
      <c r="AJK1" s="331" t="s">
        <v>1666</v>
      </c>
      <c r="AJL1" s="331" t="s">
        <v>1667</v>
      </c>
      <c r="AJM1" s="331" t="s">
        <v>1668</v>
      </c>
      <c r="AJN1" s="331" t="s">
        <v>1669</v>
      </c>
      <c r="AJO1" s="331" t="s">
        <v>1670</v>
      </c>
      <c r="AJP1" s="331" t="s">
        <v>1671</v>
      </c>
      <c r="AJQ1" s="331" t="s">
        <v>1672</v>
      </c>
      <c r="AJR1" s="331" t="s">
        <v>1673</v>
      </c>
      <c r="AJS1" s="331" t="s">
        <v>1674</v>
      </c>
      <c r="AJT1" s="331" t="s">
        <v>1675</v>
      </c>
      <c r="AJU1" s="331" t="s">
        <v>1676</v>
      </c>
      <c r="AJV1" s="331" t="s">
        <v>1677</v>
      </c>
      <c r="AJW1" s="331" t="s">
        <v>1678</v>
      </c>
      <c r="AJX1" s="331" t="s">
        <v>1679</v>
      </c>
      <c r="AJY1" s="331" t="s">
        <v>1680</v>
      </c>
      <c r="AJZ1" s="331" t="s">
        <v>1681</v>
      </c>
      <c r="AKA1" s="331" t="s">
        <v>1682</v>
      </c>
      <c r="AKB1" s="331" t="s">
        <v>1683</v>
      </c>
      <c r="AKC1" s="331" t="s">
        <v>1684</v>
      </c>
      <c r="AKD1" s="331" t="s">
        <v>1685</v>
      </c>
      <c r="AKE1" s="331" t="s">
        <v>1686</v>
      </c>
      <c r="AKF1" s="331" t="s">
        <v>1687</v>
      </c>
      <c r="AKG1" s="331" t="s">
        <v>1688</v>
      </c>
      <c r="AKH1" s="331" t="s">
        <v>1689</v>
      </c>
      <c r="AKI1" s="331" t="s">
        <v>1690</v>
      </c>
      <c r="AKJ1" s="331" t="s">
        <v>1691</v>
      </c>
      <c r="AKK1" s="331" t="s">
        <v>1692</v>
      </c>
      <c r="AKL1" s="331" t="s">
        <v>1693</v>
      </c>
      <c r="AKM1" s="331" t="s">
        <v>1694</v>
      </c>
      <c r="AKN1" s="331" t="s">
        <v>1695</v>
      </c>
      <c r="AKO1" s="331" t="s">
        <v>1696</v>
      </c>
      <c r="AKP1" s="331" t="s">
        <v>1697</v>
      </c>
      <c r="AKQ1" s="331" t="s">
        <v>1698</v>
      </c>
      <c r="AKR1" s="331" t="s">
        <v>1699</v>
      </c>
      <c r="AKS1" s="331" t="s">
        <v>1700</v>
      </c>
      <c r="AKT1" s="331" t="s">
        <v>1701</v>
      </c>
      <c r="AKU1" s="331" t="s">
        <v>1702</v>
      </c>
      <c r="AKV1" s="331" t="s">
        <v>1703</v>
      </c>
      <c r="AKW1" s="331" t="s">
        <v>1704</v>
      </c>
      <c r="AKX1" s="331" t="s">
        <v>1705</v>
      </c>
      <c r="AKY1" s="331" t="s">
        <v>1706</v>
      </c>
      <c r="AKZ1" s="331" t="s">
        <v>1707</v>
      </c>
      <c r="ALA1" s="331" t="s">
        <v>1708</v>
      </c>
      <c r="ALB1" s="331" t="s">
        <v>1709</v>
      </c>
      <c r="ALC1" s="331" t="s">
        <v>1710</v>
      </c>
      <c r="ALD1" s="331" t="s">
        <v>1711</v>
      </c>
      <c r="ALE1" s="331" t="s">
        <v>1712</v>
      </c>
      <c r="ALF1" s="331" t="s">
        <v>1713</v>
      </c>
      <c r="ALG1" s="331" t="s">
        <v>1714</v>
      </c>
      <c r="ALH1" s="331" t="s">
        <v>1715</v>
      </c>
      <c r="ALI1" s="331" t="s">
        <v>1716</v>
      </c>
      <c r="ALJ1" s="331" t="s">
        <v>1717</v>
      </c>
      <c r="ALK1" s="331" t="s">
        <v>1718</v>
      </c>
      <c r="ALL1" s="331" t="s">
        <v>1719</v>
      </c>
      <c r="ALM1" s="331" t="s">
        <v>1720</v>
      </c>
      <c r="ALN1" s="331" t="s">
        <v>1721</v>
      </c>
      <c r="ALO1" s="331" t="s">
        <v>1722</v>
      </c>
      <c r="ALP1" s="331" t="s">
        <v>1723</v>
      </c>
      <c r="ALQ1" s="331" t="s">
        <v>1724</v>
      </c>
      <c r="ALR1" s="331" t="s">
        <v>1725</v>
      </c>
      <c r="ALS1" s="331" t="s">
        <v>1726</v>
      </c>
      <c r="ALT1" s="331" t="s">
        <v>1727</v>
      </c>
      <c r="ALU1" s="331" t="s">
        <v>1728</v>
      </c>
      <c r="ALV1" s="331" t="s">
        <v>1729</v>
      </c>
      <c r="ALW1" s="331" t="s">
        <v>1730</v>
      </c>
      <c r="ALX1" s="331" t="s">
        <v>1731</v>
      </c>
      <c r="ALY1" s="331" t="s">
        <v>1732</v>
      </c>
      <c r="ALZ1" s="331" t="s">
        <v>1733</v>
      </c>
      <c r="AMA1" s="331" t="s">
        <v>1734</v>
      </c>
      <c r="AMB1" s="331" t="s">
        <v>1735</v>
      </c>
      <c r="AMC1" s="331" t="s">
        <v>1736</v>
      </c>
      <c r="AMD1" s="331" t="s">
        <v>1737</v>
      </c>
      <c r="AME1" s="331" t="s">
        <v>1738</v>
      </c>
      <c r="AMF1" s="331" t="s">
        <v>1739</v>
      </c>
      <c r="AMG1" s="331" t="s">
        <v>1740</v>
      </c>
      <c r="AMH1" s="331" t="s">
        <v>1741</v>
      </c>
      <c r="AMI1" s="331" t="s">
        <v>1742</v>
      </c>
      <c r="AMJ1" s="331" t="s">
        <v>1743</v>
      </c>
      <c r="AMK1" s="331" t="s">
        <v>1744</v>
      </c>
      <c r="AML1" s="331" t="s">
        <v>1745</v>
      </c>
      <c r="AMM1" s="331" t="s">
        <v>1746</v>
      </c>
      <c r="AMN1" s="331" t="s">
        <v>1747</v>
      </c>
      <c r="AMO1" s="331" t="s">
        <v>1748</v>
      </c>
      <c r="AMP1" s="331" t="s">
        <v>1749</v>
      </c>
      <c r="AMQ1" s="331" t="s">
        <v>1750</v>
      </c>
      <c r="AMR1" s="331" t="s">
        <v>1751</v>
      </c>
      <c r="AMS1" s="331" t="s">
        <v>1752</v>
      </c>
      <c r="AMT1" s="331" t="s">
        <v>1753</v>
      </c>
      <c r="AMU1" s="331" t="s">
        <v>1754</v>
      </c>
      <c r="AMV1" s="331" t="s">
        <v>1755</v>
      </c>
      <c r="AMW1" s="331" t="s">
        <v>1756</v>
      </c>
      <c r="AMX1" s="331" t="s">
        <v>1757</v>
      </c>
      <c r="AMY1" s="331" t="s">
        <v>1758</v>
      </c>
      <c r="AMZ1" s="331" t="s">
        <v>1759</v>
      </c>
      <c r="ANA1" s="331" t="s">
        <v>1760</v>
      </c>
      <c r="ANB1" s="331" t="s">
        <v>1761</v>
      </c>
      <c r="ANC1" s="331" t="s">
        <v>1762</v>
      </c>
      <c r="AND1" s="331" t="s">
        <v>1763</v>
      </c>
      <c r="ANE1" s="331" t="s">
        <v>1764</v>
      </c>
      <c r="ANF1" s="331" t="s">
        <v>1765</v>
      </c>
      <c r="ANG1" s="331" t="s">
        <v>1766</v>
      </c>
      <c r="ANH1" s="331" t="s">
        <v>1767</v>
      </c>
      <c r="ANI1" s="331" t="s">
        <v>1768</v>
      </c>
      <c r="ANJ1" s="331" t="s">
        <v>1769</v>
      </c>
      <c r="ANK1" s="331" t="s">
        <v>1770</v>
      </c>
      <c r="ANL1" s="331" t="s">
        <v>1771</v>
      </c>
      <c r="ANM1" s="331" t="s">
        <v>1772</v>
      </c>
      <c r="ANN1" s="331" t="s">
        <v>1773</v>
      </c>
      <c r="ANO1" s="331" t="s">
        <v>1774</v>
      </c>
      <c r="ANP1" s="331" t="s">
        <v>1775</v>
      </c>
      <c r="ANQ1" s="331" t="s">
        <v>1776</v>
      </c>
      <c r="ANR1" s="331" t="s">
        <v>1777</v>
      </c>
      <c r="ANS1" s="331" t="s">
        <v>1778</v>
      </c>
      <c r="ANT1" s="331" t="s">
        <v>1779</v>
      </c>
      <c r="ANU1" s="331" t="s">
        <v>1780</v>
      </c>
      <c r="ANV1" s="331" t="s">
        <v>1781</v>
      </c>
      <c r="ANW1" s="331" t="s">
        <v>1782</v>
      </c>
      <c r="ANX1" s="331" t="s">
        <v>1783</v>
      </c>
      <c r="ANY1" s="331" t="s">
        <v>1784</v>
      </c>
      <c r="ANZ1" s="331" t="s">
        <v>1785</v>
      </c>
      <c r="AOA1" s="331" t="s">
        <v>1786</v>
      </c>
      <c r="AOB1" s="331" t="s">
        <v>1787</v>
      </c>
      <c r="AOC1" s="331" t="s">
        <v>1788</v>
      </c>
      <c r="AOD1" s="331" t="s">
        <v>1789</v>
      </c>
      <c r="AOE1" s="331" t="s">
        <v>1790</v>
      </c>
      <c r="AOF1" s="331" t="s">
        <v>1791</v>
      </c>
      <c r="AOG1" s="331" t="s">
        <v>1792</v>
      </c>
      <c r="AOH1" s="331" t="s">
        <v>1793</v>
      </c>
      <c r="AOI1" s="331" t="s">
        <v>1794</v>
      </c>
      <c r="AOJ1" s="331" t="s">
        <v>1795</v>
      </c>
      <c r="AOK1" s="331" t="s">
        <v>1796</v>
      </c>
      <c r="AOL1" s="331" t="s">
        <v>1797</v>
      </c>
      <c r="AOM1" s="331" t="s">
        <v>1798</v>
      </c>
      <c r="AON1" s="331" t="s">
        <v>1799</v>
      </c>
      <c r="AOO1" s="331" t="s">
        <v>1800</v>
      </c>
      <c r="AOP1" s="331" t="s">
        <v>1801</v>
      </c>
      <c r="AOQ1" s="331" t="s">
        <v>1802</v>
      </c>
      <c r="AOR1" s="331" t="s">
        <v>1803</v>
      </c>
      <c r="AOS1" s="331" t="s">
        <v>1804</v>
      </c>
      <c r="AOT1" s="331" t="s">
        <v>1805</v>
      </c>
      <c r="AOU1" s="331" t="s">
        <v>1806</v>
      </c>
      <c r="AOV1" s="331" t="s">
        <v>1807</v>
      </c>
      <c r="AOW1" s="331" t="s">
        <v>1808</v>
      </c>
      <c r="AOX1" s="331" t="s">
        <v>1809</v>
      </c>
      <c r="AOY1" s="331" t="s">
        <v>1810</v>
      </c>
      <c r="AOZ1" s="331" t="s">
        <v>1811</v>
      </c>
      <c r="APA1" s="331" t="s">
        <v>1812</v>
      </c>
      <c r="APB1" s="331" t="s">
        <v>1813</v>
      </c>
      <c r="APC1" s="331" t="s">
        <v>1814</v>
      </c>
      <c r="APD1" s="331" t="s">
        <v>1815</v>
      </c>
      <c r="APE1" s="331" t="s">
        <v>1816</v>
      </c>
      <c r="APF1" s="331" t="s">
        <v>1817</v>
      </c>
      <c r="APG1" s="331" t="s">
        <v>1818</v>
      </c>
      <c r="APH1" s="331" t="s">
        <v>1819</v>
      </c>
      <c r="API1" s="331" t="s">
        <v>1820</v>
      </c>
      <c r="APJ1" s="331" t="s">
        <v>1821</v>
      </c>
      <c r="APK1" s="331" t="s">
        <v>1822</v>
      </c>
      <c r="APL1" s="331" t="s">
        <v>1823</v>
      </c>
      <c r="APM1" s="331" t="s">
        <v>1824</v>
      </c>
      <c r="APN1" s="331" t="s">
        <v>1825</v>
      </c>
      <c r="APO1" s="331" t="s">
        <v>1826</v>
      </c>
      <c r="APP1" s="331" t="s">
        <v>1827</v>
      </c>
      <c r="APQ1" s="331" t="s">
        <v>1828</v>
      </c>
      <c r="APR1" s="331" t="s">
        <v>1829</v>
      </c>
      <c r="APS1" s="331" t="s">
        <v>1830</v>
      </c>
      <c r="APT1" s="331" t="s">
        <v>1831</v>
      </c>
      <c r="APU1" s="331" t="s">
        <v>1832</v>
      </c>
      <c r="APV1" s="331" t="s">
        <v>1833</v>
      </c>
      <c r="APW1" s="331" t="s">
        <v>1834</v>
      </c>
      <c r="APX1" s="331" t="s">
        <v>1835</v>
      </c>
      <c r="APY1" s="331" t="s">
        <v>1836</v>
      </c>
      <c r="APZ1" s="331" t="s">
        <v>1837</v>
      </c>
      <c r="AQA1" s="331" t="s">
        <v>1838</v>
      </c>
      <c r="AQB1" s="331" t="s">
        <v>1839</v>
      </c>
      <c r="AQC1" s="331" t="s">
        <v>1840</v>
      </c>
      <c r="AQD1" s="331" t="s">
        <v>1841</v>
      </c>
      <c r="AQE1" s="331" t="s">
        <v>1842</v>
      </c>
      <c r="AQF1" s="331" t="s">
        <v>1843</v>
      </c>
      <c r="AQG1" s="331" t="s">
        <v>1844</v>
      </c>
      <c r="AQH1" s="331" t="s">
        <v>1845</v>
      </c>
      <c r="AQI1" s="331" t="s">
        <v>1846</v>
      </c>
      <c r="AQJ1" s="331" t="s">
        <v>1847</v>
      </c>
      <c r="AQK1" s="331" t="s">
        <v>1848</v>
      </c>
      <c r="AQL1" s="331" t="s">
        <v>1849</v>
      </c>
      <c r="AQM1" s="331" t="s">
        <v>1850</v>
      </c>
      <c r="AQN1" s="331" t="s">
        <v>1851</v>
      </c>
      <c r="AQO1" s="331" t="s">
        <v>1852</v>
      </c>
      <c r="AQP1" s="331" t="s">
        <v>1853</v>
      </c>
      <c r="AQQ1" s="331" t="s">
        <v>1854</v>
      </c>
      <c r="AQR1" s="331" t="s">
        <v>1855</v>
      </c>
      <c r="AQS1" s="331" t="s">
        <v>1856</v>
      </c>
      <c r="AQT1" s="331" t="s">
        <v>1857</v>
      </c>
      <c r="AQU1" s="331" t="s">
        <v>1858</v>
      </c>
      <c r="AQV1" s="331" t="s">
        <v>1859</v>
      </c>
      <c r="AQW1" s="331" t="s">
        <v>1860</v>
      </c>
      <c r="AQX1" s="331" t="s">
        <v>1861</v>
      </c>
      <c r="AQY1" s="331" t="s">
        <v>1862</v>
      </c>
      <c r="AQZ1" s="331" t="s">
        <v>1863</v>
      </c>
      <c r="ARA1" s="331" t="s">
        <v>1864</v>
      </c>
      <c r="ARB1" s="331" t="s">
        <v>1865</v>
      </c>
      <c r="ARC1" s="331" t="s">
        <v>1866</v>
      </c>
      <c r="ARD1" s="331" t="s">
        <v>1867</v>
      </c>
      <c r="ARE1" s="331" t="s">
        <v>1868</v>
      </c>
      <c r="ARF1" s="331" t="s">
        <v>1869</v>
      </c>
      <c r="ARG1" s="331" t="s">
        <v>1870</v>
      </c>
      <c r="ARH1" s="331" t="s">
        <v>1871</v>
      </c>
      <c r="ARI1" s="331" t="s">
        <v>1872</v>
      </c>
      <c r="ARJ1" s="331" t="s">
        <v>1873</v>
      </c>
      <c r="ARK1" s="331" t="s">
        <v>1874</v>
      </c>
      <c r="ARL1" s="331" t="s">
        <v>1875</v>
      </c>
      <c r="ARM1" s="331" t="s">
        <v>1876</v>
      </c>
      <c r="ARN1" s="331" t="s">
        <v>1877</v>
      </c>
      <c r="ARO1" s="331" t="s">
        <v>1878</v>
      </c>
      <c r="ARP1" s="331" t="s">
        <v>1879</v>
      </c>
      <c r="ARQ1" s="331" t="s">
        <v>1880</v>
      </c>
      <c r="ARR1" s="331" t="s">
        <v>1881</v>
      </c>
      <c r="ARS1" s="331" t="s">
        <v>1882</v>
      </c>
      <c r="ART1" s="331" t="s">
        <v>1883</v>
      </c>
      <c r="ARU1" s="331" t="s">
        <v>1884</v>
      </c>
      <c r="ARV1" s="331" t="s">
        <v>1885</v>
      </c>
      <c r="ARW1" s="331" t="s">
        <v>1886</v>
      </c>
      <c r="ARX1" s="331" t="s">
        <v>1887</v>
      </c>
      <c r="ARY1" s="331" t="s">
        <v>1888</v>
      </c>
      <c r="ARZ1" s="331" t="s">
        <v>1889</v>
      </c>
      <c r="ASA1" s="331" t="s">
        <v>1890</v>
      </c>
      <c r="ASB1" s="331" t="s">
        <v>1891</v>
      </c>
      <c r="ASC1" s="331" t="s">
        <v>1892</v>
      </c>
      <c r="ASD1" s="331" t="s">
        <v>1893</v>
      </c>
      <c r="ASE1" s="331" t="s">
        <v>1894</v>
      </c>
      <c r="ASF1" s="331" t="s">
        <v>1895</v>
      </c>
      <c r="ASG1" s="331" t="s">
        <v>1896</v>
      </c>
      <c r="ASH1" s="331" t="s">
        <v>1897</v>
      </c>
      <c r="ASI1" s="331" t="s">
        <v>1898</v>
      </c>
      <c r="ASJ1" s="331" t="s">
        <v>1899</v>
      </c>
      <c r="ASK1" s="331" t="s">
        <v>1900</v>
      </c>
      <c r="ASL1" s="331" t="s">
        <v>1901</v>
      </c>
      <c r="ASM1" s="331" t="s">
        <v>1902</v>
      </c>
      <c r="ASN1" s="331" t="s">
        <v>1903</v>
      </c>
      <c r="ASO1" s="331" t="s">
        <v>1904</v>
      </c>
      <c r="ASP1" s="331" t="s">
        <v>1905</v>
      </c>
      <c r="ASQ1" s="331" t="s">
        <v>1906</v>
      </c>
      <c r="ASR1" s="331" t="s">
        <v>1907</v>
      </c>
      <c r="ASS1" s="331" t="s">
        <v>1908</v>
      </c>
      <c r="AST1" s="331" t="s">
        <v>1909</v>
      </c>
      <c r="ASU1" s="331" t="s">
        <v>1910</v>
      </c>
      <c r="ASV1" s="331" t="s">
        <v>1911</v>
      </c>
      <c r="ASW1" s="331" t="s">
        <v>1912</v>
      </c>
      <c r="ASX1" s="331" t="s">
        <v>1913</v>
      </c>
      <c r="ASY1" s="331" t="s">
        <v>1914</v>
      </c>
      <c r="ASZ1" s="331" t="s">
        <v>1915</v>
      </c>
      <c r="ATA1" s="331" t="s">
        <v>1916</v>
      </c>
      <c r="ATB1" s="331" t="s">
        <v>1917</v>
      </c>
      <c r="ATC1" s="331" t="s">
        <v>1918</v>
      </c>
      <c r="ATD1" s="331" t="s">
        <v>1919</v>
      </c>
      <c r="ATE1" s="331" t="s">
        <v>1920</v>
      </c>
      <c r="ATF1" s="331" t="s">
        <v>1921</v>
      </c>
      <c r="ATG1" s="331" t="s">
        <v>1922</v>
      </c>
      <c r="ATH1" s="331" t="s">
        <v>1923</v>
      </c>
      <c r="ATI1" s="331" t="s">
        <v>1924</v>
      </c>
      <c r="ATJ1" s="331" t="s">
        <v>1925</v>
      </c>
      <c r="ATK1" s="331" t="s">
        <v>1926</v>
      </c>
      <c r="ATL1" s="331" t="s">
        <v>1927</v>
      </c>
      <c r="ATM1" s="331" t="s">
        <v>1928</v>
      </c>
      <c r="ATN1" s="331" t="s">
        <v>1929</v>
      </c>
      <c r="ATO1" s="331" t="s">
        <v>1930</v>
      </c>
      <c r="ATP1" s="331" t="s">
        <v>1931</v>
      </c>
      <c r="ATQ1" s="331" t="s">
        <v>1932</v>
      </c>
      <c r="ATR1" s="331" t="s">
        <v>1933</v>
      </c>
      <c r="ATS1" s="331" t="s">
        <v>1934</v>
      </c>
      <c r="ATT1" s="331" t="s">
        <v>1935</v>
      </c>
      <c r="ATU1" s="331" t="s">
        <v>1936</v>
      </c>
      <c r="ATV1" s="331" t="s">
        <v>1937</v>
      </c>
      <c r="ATW1" s="331" t="s">
        <v>1938</v>
      </c>
      <c r="ATX1" s="331" t="s">
        <v>1939</v>
      </c>
      <c r="ATY1" s="331" t="s">
        <v>1940</v>
      </c>
      <c r="ATZ1" s="331" t="s">
        <v>1941</v>
      </c>
      <c r="AUA1" s="331" t="s">
        <v>1942</v>
      </c>
      <c r="AUB1" s="331" t="s">
        <v>1943</v>
      </c>
      <c r="AUC1" s="331" t="s">
        <v>1944</v>
      </c>
      <c r="AUD1" s="331" t="s">
        <v>1945</v>
      </c>
      <c r="AUE1" s="331" t="s">
        <v>1946</v>
      </c>
      <c r="AUF1" s="331" t="s">
        <v>1947</v>
      </c>
      <c r="AUG1" s="331" t="s">
        <v>1948</v>
      </c>
      <c r="AUH1" s="331" t="s">
        <v>1949</v>
      </c>
      <c r="AUI1" s="331" t="s">
        <v>1950</v>
      </c>
      <c r="AUJ1" s="331" t="s">
        <v>1951</v>
      </c>
      <c r="AUK1" s="331" t="s">
        <v>1952</v>
      </c>
      <c r="AUL1" s="331" t="s">
        <v>1953</v>
      </c>
      <c r="AUM1" s="331" t="s">
        <v>1954</v>
      </c>
      <c r="AUN1" s="331" t="s">
        <v>1955</v>
      </c>
      <c r="AUO1" s="331" t="s">
        <v>1956</v>
      </c>
      <c r="AUP1" s="331" t="s">
        <v>1957</v>
      </c>
      <c r="AUQ1" s="331" t="s">
        <v>1958</v>
      </c>
      <c r="AUR1" s="331" t="s">
        <v>1959</v>
      </c>
      <c r="AUS1" s="331" t="s">
        <v>1960</v>
      </c>
      <c r="AUT1" s="331" t="s">
        <v>1961</v>
      </c>
      <c r="AUU1" s="331" t="s">
        <v>1962</v>
      </c>
      <c r="AUV1" s="331" t="s">
        <v>1963</v>
      </c>
      <c r="AUW1" s="331" t="s">
        <v>1964</v>
      </c>
      <c r="AUX1" s="331" t="s">
        <v>1965</v>
      </c>
      <c r="AUY1" s="331" t="s">
        <v>1966</v>
      </c>
      <c r="AUZ1" s="331" t="s">
        <v>1967</v>
      </c>
      <c r="AVA1" s="331" t="s">
        <v>1968</v>
      </c>
      <c r="AVB1" s="331" t="s">
        <v>1969</v>
      </c>
      <c r="AVC1" s="331" t="s">
        <v>1970</v>
      </c>
      <c r="AVD1" s="331" t="s">
        <v>1971</v>
      </c>
      <c r="AVE1" s="331" t="s">
        <v>1972</v>
      </c>
      <c r="AVF1" s="331" t="s">
        <v>1973</v>
      </c>
      <c r="AVG1" s="331" t="s">
        <v>1974</v>
      </c>
      <c r="AVH1" s="331" t="s">
        <v>1975</v>
      </c>
      <c r="AVI1" s="331" t="s">
        <v>1976</v>
      </c>
      <c r="AVJ1" s="331" t="s">
        <v>1977</v>
      </c>
      <c r="AVK1" s="331" t="s">
        <v>1978</v>
      </c>
      <c r="AVL1" s="331" t="s">
        <v>1979</v>
      </c>
      <c r="AVM1" s="331" t="s">
        <v>1980</v>
      </c>
      <c r="AVN1" s="331" t="s">
        <v>1981</v>
      </c>
      <c r="AVO1" s="331" t="s">
        <v>1982</v>
      </c>
      <c r="AVP1" s="331" t="s">
        <v>1983</v>
      </c>
      <c r="AVQ1" s="331" t="s">
        <v>1984</v>
      </c>
      <c r="AVR1" s="331" t="s">
        <v>1985</v>
      </c>
      <c r="AVS1" s="331" t="s">
        <v>1986</v>
      </c>
      <c r="AVT1" s="331" t="s">
        <v>1987</v>
      </c>
      <c r="AVU1" s="331" t="s">
        <v>1988</v>
      </c>
      <c r="AVV1" s="331" t="s">
        <v>1989</v>
      </c>
      <c r="AVW1" s="331" t="s">
        <v>1990</v>
      </c>
      <c r="AVX1" s="331" t="s">
        <v>1991</v>
      </c>
      <c r="AVY1" s="331" t="s">
        <v>1992</v>
      </c>
      <c r="AVZ1" s="331" t="s">
        <v>1993</v>
      </c>
      <c r="AWA1" s="331" t="s">
        <v>1994</v>
      </c>
      <c r="AWB1" s="331" t="s">
        <v>1995</v>
      </c>
      <c r="AWC1" s="331" t="s">
        <v>1996</v>
      </c>
      <c r="AWD1" s="331" t="s">
        <v>1997</v>
      </c>
      <c r="AWE1" s="331" t="s">
        <v>1998</v>
      </c>
      <c r="AWF1" s="331" t="s">
        <v>1999</v>
      </c>
      <c r="AWG1" s="331" t="s">
        <v>2000</v>
      </c>
      <c r="AWH1" s="331" t="s">
        <v>2001</v>
      </c>
      <c r="AWI1" s="331" t="s">
        <v>2002</v>
      </c>
      <c r="AWJ1" s="331" t="s">
        <v>2003</v>
      </c>
      <c r="AWK1" s="331" t="s">
        <v>2004</v>
      </c>
      <c r="AWL1" s="331" t="s">
        <v>2005</v>
      </c>
      <c r="AWM1" s="331" t="s">
        <v>2006</v>
      </c>
      <c r="AWN1" s="331" t="s">
        <v>2007</v>
      </c>
      <c r="AWO1" s="331" t="s">
        <v>2008</v>
      </c>
      <c r="AWP1" s="331" t="s">
        <v>2009</v>
      </c>
      <c r="AWQ1" s="331" t="s">
        <v>2010</v>
      </c>
      <c r="AWR1" s="331" t="s">
        <v>2011</v>
      </c>
      <c r="AWS1" s="331" t="s">
        <v>2012</v>
      </c>
      <c r="AWT1" s="331" t="s">
        <v>2013</v>
      </c>
      <c r="AWU1" s="331" t="s">
        <v>2014</v>
      </c>
      <c r="AWV1" s="331" t="s">
        <v>2015</v>
      </c>
      <c r="AWW1" s="331" t="s">
        <v>2016</v>
      </c>
      <c r="AWX1" s="331" t="s">
        <v>2017</v>
      </c>
      <c r="AWY1" s="331" t="s">
        <v>2018</v>
      </c>
      <c r="AWZ1" s="331" t="s">
        <v>2019</v>
      </c>
      <c r="AXA1" s="331" t="s">
        <v>2020</v>
      </c>
      <c r="AXB1" s="331" t="s">
        <v>2021</v>
      </c>
      <c r="AXC1" s="331" t="s">
        <v>2022</v>
      </c>
      <c r="AXD1" s="331" t="s">
        <v>2023</v>
      </c>
      <c r="AXE1" s="331" t="s">
        <v>2024</v>
      </c>
      <c r="AXF1" s="331" t="s">
        <v>2025</v>
      </c>
      <c r="AXG1" s="331" t="s">
        <v>2026</v>
      </c>
      <c r="AXH1" s="331" t="s">
        <v>2027</v>
      </c>
      <c r="AXI1" s="331" t="s">
        <v>2028</v>
      </c>
      <c r="AXJ1" s="331" t="s">
        <v>2029</v>
      </c>
      <c r="AXK1" s="331" t="s">
        <v>2030</v>
      </c>
      <c r="AXL1" s="331" t="s">
        <v>2031</v>
      </c>
      <c r="AXM1" s="331" t="s">
        <v>2032</v>
      </c>
      <c r="AXN1" s="331" t="s">
        <v>2033</v>
      </c>
      <c r="AXO1" s="331" t="s">
        <v>2034</v>
      </c>
      <c r="AXP1" s="331" t="s">
        <v>2035</v>
      </c>
      <c r="AXQ1" s="331" t="s">
        <v>2036</v>
      </c>
      <c r="AXR1" s="331" t="s">
        <v>2037</v>
      </c>
      <c r="AXS1" s="331" t="s">
        <v>2038</v>
      </c>
      <c r="AXT1" s="331" t="s">
        <v>2039</v>
      </c>
      <c r="AXU1" s="331" t="s">
        <v>2040</v>
      </c>
      <c r="AXV1" s="331" t="s">
        <v>2041</v>
      </c>
      <c r="AXW1" s="331" t="s">
        <v>2042</v>
      </c>
      <c r="AXX1" s="331" t="s">
        <v>2043</v>
      </c>
      <c r="AXY1" s="331" t="s">
        <v>2044</v>
      </c>
      <c r="AXZ1" s="331" t="s">
        <v>2045</v>
      </c>
      <c r="AYA1" s="331" t="s">
        <v>2046</v>
      </c>
      <c r="AYB1" s="331" t="s">
        <v>2047</v>
      </c>
      <c r="AYC1" s="331" t="s">
        <v>2048</v>
      </c>
      <c r="AYD1" s="331" t="s">
        <v>2049</v>
      </c>
      <c r="AYE1" s="331" t="s">
        <v>2050</v>
      </c>
      <c r="AYF1" s="331" t="s">
        <v>2051</v>
      </c>
      <c r="AYG1" s="331" t="s">
        <v>2052</v>
      </c>
      <c r="AYH1" s="331" t="s">
        <v>2053</v>
      </c>
      <c r="AYI1" s="331" t="s">
        <v>2054</v>
      </c>
      <c r="AYJ1" s="331" t="s">
        <v>2055</v>
      </c>
      <c r="AYK1" s="331" t="s">
        <v>2056</v>
      </c>
      <c r="AYL1" s="331" t="s">
        <v>2057</v>
      </c>
      <c r="AYM1" s="331" t="s">
        <v>2058</v>
      </c>
      <c r="AYN1" s="331" t="s">
        <v>2059</v>
      </c>
      <c r="AYO1" s="331" t="s">
        <v>2060</v>
      </c>
      <c r="AYP1" s="331" t="s">
        <v>2061</v>
      </c>
      <c r="AYQ1" s="331" t="s">
        <v>2062</v>
      </c>
      <c r="AYR1" s="331" t="s">
        <v>2063</v>
      </c>
      <c r="AYS1" s="331" t="s">
        <v>2064</v>
      </c>
      <c r="AYT1" s="331" t="s">
        <v>2065</v>
      </c>
      <c r="AYU1" s="331" t="s">
        <v>2066</v>
      </c>
      <c r="AYV1" s="331" t="s">
        <v>2067</v>
      </c>
      <c r="AYW1" s="331" t="s">
        <v>2068</v>
      </c>
      <c r="AYX1" s="331" t="s">
        <v>2069</v>
      </c>
      <c r="AYY1" s="331" t="s">
        <v>2070</v>
      </c>
      <c r="AYZ1" s="331" t="s">
        <v>2071</v>
      </c>
      <c r="AZA1" s="331" t="s">
        <v>2072</v>
      </c>
      <c r="AZB1" s="331" t="s">
        <v>2073</v>
      </c>
      <c r="AZC1" s="331" t="s">
        <v>2074</v>
      </c>
      <c r="AZD1" s="331" t="s">
        <v>2075</v>
      </c>
      <c r="AZE1" s="331" t="s">
        <v>2076</v>
      </c>
      <c r="AZF1" s="331" t="s">
        <v>2077</v>
      </c>
      <c r="AZG1" s="331" t="s">
        <v>2078</v>
      </c>
      <c r="AZH1" s="331" t="s">
        <v>2079</v>
      </c>
      <c r="AZI1" s="331" t="s">
        <v>2080</v>
      </c>
      <c r="AZJ1" s="331" t="s">
        <v>2081</v>
      </c>
      <c r="AZK1" s="331" t="s">
        <v>2082</v>
      </c>
      <c r="AZL1" s="331" t="s">
        <v>2083</v>
      </c>
      <c r="AZM1" s="331" t="s">
        <v>2084</v>
      </c>
      <c r="AZN1" s="331" t="s">
        <v>2085</v>
      </c>
      <c r="AZO1" s="331" t="s">
        <v>2086</v>
      </c>
      <c r="AZP1" s="331" t="s">
        <v>2087</v>
      </c>
      <c r="AZQ1" s="331" t="s">
        <v>2088</v>
      </c>
      <c r="AZR1" s="331" t="s">
        <v>2089</v>
      </c>
      <c r="AZS1" s="331" t="s">
        <v>2090</v>
      </c>
      <c r="AZT1" s="331" t="s">
        <v>2091</v>
      </c>
      <c r="AZU1" s="331" t="s">
        <v>2092</v>
      </c>
      <c r="AZV1" s="331" t="s">
        <v>2093</v>
      </c>
      <c r="AZW1" s="331" t="s">
        <v>2094</v>
      </c>
      <c r="AZX1" s="331" t="s">
        <v>2095</v>
      </c>
      <c r="AZY1" s="331" t="s">
        <v>2096</v>
      </c>
      <c r="AZZ1" s="331" t="s">
        <v>2097</v>
      </c>
      <c r="BAA1" s="331" t="s">
        <v>2098</v>
      </c>
      <c r="BAB1" s="331" t="s">
        <v>2099</v>
      </c>
      <c r="BAC1" s="331" t="s">
        <v>2100</v>
      </c>
      <c r="BAD1" s="331" t="s">
        <v>2101</v>
      </c>
      <c r="BAE1" s="331" t="s">
        <v>2102</v>
      </c>
      <c r="BAF1" s="331" t="s">
        <v>2103</v>
      </c>
      <c r="BAG1" s="331" t="s">
        <v>2104</v>
      </c>
      <c r="BAH1" s="331" t="s">
        <v>2105</v>
      </c>
      <c r="BAI1" s="331" t="s">
        <v>2106</v>
      </c>
      <c r="BAJ1" s="331" t="s">
        <v>2107</v>
      </c>
      <c r="BAK1" s="331" t="s">
        <v>2108</v>
      </c>
      <c r="BAL1" s="331" t="s">
        <v>2109</v>
      </c>
      <c r="BAM1" s="331" t="s">
        <v>2110</v>
      </c>
      <c r="BAN1" s="331" t="s">
        <v>2111</v>
      </c>
      <c r="BAO1" s="331" t="s">
        <v>2112</v>
      </c>
      <c r="BAP1" s="331" t="s">
        <v>2113</v>
      </c>
      <c r="BAQ1" s="331" t="s">
        <v>2114</v>
      </c>
      <c r="BAR1" s="331" t="s">
        <v>2115</v>
      </c>
      <c r="BAS1" s="331" t="s">
        <v>2116</v>
      </c>
      <c r="BAT1" s="331" t="s">
        <v>2117</v>
      </c>
      <c r="BAU1" s="331" t="s">
        <v>2118</v>
      </c>
      <c r="BAV1" s="331" t="s">
        <v>2119</v>
      </c>
      <c r="BAW1" s="331" t="s">
        <v>2120</v>
      </c>
      <c r="BAX1" s="331" t="s">
        <v>2121</v>
      </c>
      <c r="BAY1" s="331" t="s">
        <v>2122</v>
      </c>
      <c r="BAZ1" s="331" t="s">
        <v>2123</v>
      </c>
      <c r="BBA1" s="331" t="s">
        <v>2124</v>
      </c>
      <c r="BBB1" s="331" t="s">
        <v>2125</v>
      </c>
      <c r="BBC1" s="331" t="s">
        <v>2126</v>
      </c>
      <c r="BBD1" s="331" t="s">
        <v>2127</v>
      </c>
      <c r="BBE1" s="331" t="s">
        <v>2128</v>
      </c>
      <c r="BBF1" s="331" t="s">
        <v>2129</v>
      </c>
      <c r="BBG1" s="331" t="s">
        <v>2130</v>
      </c>
      <c r="BBH1" s="331" t="s">
        <v>2131</v>
      </c>
      <c r="BBI1" s="331" t="s">
        <v>2132</v>
      </c>
      <c r="BBJ1" s="331" t="s">
        <v>2133</v>
      </c>
      <c r="BBK1" s="331" t="s">
        <v>2134</v>
      </c>
      <c r="BBL1" s="331" t="s">
        <v>2135</v>
      </c>
      <c r="BBM1" s="331" t="s">
        <v>2136</v>
      </c>
      <c r="BBN1" s="331" t="s">
        <v>2137</v>
      </c>
      <c r="BBO1" s="331" t="s">
        <v>2138</v>
      </c>
      <c r="BBP1" s="331" t="s">
        <v>2139</v>
      </c>
      <c r="BBQ1" s="331" t="s">
        <v>2140</v>
      </c>
      <c r="BBR1" s="331" t="s">
        <v>2141</v>
      </c>
      <c r="BBS1" s="331" t="s">
        <v>2142</v>
      </c>
      <c r="BBT1" s="331" t="s">
        <v>2143</v>
      </c>
      <c r="BBU1" s="331" t="s">
        <v>2144</v>
      </c>
      <c r="BBV1" s="331" t="s">
        <v>2145</v>
      </c>
      <c r="BBW1" s="331" t="s">
        <v>2146</v>
      </c>
      <c r="BBX1" s="331" t="s">
        <v>2147</v>
      </c>
      <c r="BBY1" s="331" t="s">
        <v>2148</v>
      </c>
      <c r="BBZ1" s="331" t="s">
        <v>2149</v>
      </c>
      <c r="BCA1" s="331" t="s">
        <v>2150</v>
      </c>
      <c r="BCB1" s="331" t="s">
        <v>2151</v>
      </c>
      <c r="BCC1" s="331" t="s">
        <v>2152</v>
      </c>
      <c r="BCD1" s="331" t="s">
        <v>2153</v>
      </c>
      <c r="BCE1" s="331" t="s">
        <v>2154</v>
      </c>
      <c r="BCF1" s="331" t="s">
        <v>2155</v>
      </c>
      <c r="BCG1" s="331" t="s">
        <v>2156</v>
      </c>
      <c r="BCH1" s="331" t="s">
        <v>2157</v>
      </c>
      <c r="BCI1" s="331" t="s">
        <v>2158</v>
      </c>
      <c r="BCJ1" s="331" t="s">
        <v>2159</v>
      </c>
      <c r="BCK1" s="331" t="s">
        <v>2160</v>
      </c>
      <c r="BCL1" s="331" t="s">
        <v>2161</v>
      </c>
      <c r="BCM1" s="331" t="s">
        <v>2162</v>
      </c>
      <c r="BCN1" s="331" t="s">
        <v>2163</v>
      </c>
      <c r="BCO1" s="331" t="s">
        <v>2164</v>
      </c>
      <c r="BCP1" s="331" t="s">
        <v>2165</v>
      </c>
      <c r="BCQ1" s="331" t="s">
        <v>2166</v>
      </c>
      <c r="BCR1" s="331" t="s">
        <v>2167</v>
      </c>
      <c r="BCS1" s="331" t="s">
        <v>2168</v>
      </c>
      <c r="BCT1" s="331" t="s">
        <v>2169</v>
      </c>
      <c r="BCU1" s="331" t="s">
        <v>2170</v>
      </c>
      <c r="BCV1" s="331" t="s">
        <v>2171</v>
      </c>
      <c r="BCW1" s="331" t="s">
        <v>2172</v>
      </c>
      <c r="BCX1" s="331" t="s">
        <v>2173</v>
      </c>
      <c r="BCY1" s="331" t="s">
        <v>2174</v>
      </c>
      <c r="BCZ1" s="331" t="s">
        <v>2175</v>
      </c>
      <c r="BDA1" s="331" t="s">
        <v>2176</v>
      </c>
      <c r="BDB1" s="331" t="s">
        <v>2177</v>
      </c>
      <c r="BDC1" s="331" t="s">
        <v>2178</v>
      </c>
      <c r="BDD1" s="331" t="s">
        <v>2179</v>
      </c>
      <c r="BDE1" s="331" t="s">
        <v>2180</v>
      </c>
      <c r="BDF1" s="331" t="s">
        <v>2181</v>
      </c>
      <c r="BDG1" s="331" t="s">
        <v>2182</v>
      </c>
      <c r="BDH1" s="331" t="s">
        <v>2183</v>
      </c>
      <c r="BDI1" s="331" t="s">
        <v>2184</v>
      </c>
      <c r="BDJ1" s="331" t="s">
        <v>2185</v>
      </c>
      <c r="BDK1" s="331" t="s">
        <v>2186</v>
      </c>
      <c r="BDL1" s="331" t="s">
        <v>2187</v>
      </c>
      <c r="BDM1" s="331" t="s">
        <v>2188</v>
      </c>
      <c r="BDN1" s="331" t="s">
        <v>2189</v>
      </c>
      <c r="BDO1" s="331" t="s">
        <v>2190</v>
      </c>
      <c r="BDP1" s="331" t="s">
        <v>2191</v>
      </c>
      <c r="BDQ1" s="331" t="s">
        <v>2192</v>
      </c>
      <c r="BDR1" s="331" t="s">
        <v>2193</v>
      </c>
      <c r="BDS1" s="331" t="s">
        <v>2194</v>
      </c>
      <c r="BDT1" s="331" t="s">
        <v>2195</v>
      </c>
      <c r="BDU1" s="331" t="s">
        <v>2196</v>
      </c>
      <c r="BDV1" s="331" t="s">
        <v>2197</v>
      </c>
      <c r="BDW1" s="331" t="s">
        <v>2198</v>
      </c>
      <c r="BDX1" s="331" t="s">
        <v>2199</v>
      </c>
      <c r="BDY1" s="331" t="s">
        <v>2200</v>
      </c>
      <c r="BDZ1" s="331" t="s">
        <v>2201</v>
      </c>
      <c r="BEA1" s="331" t="s">
        <v>2202</v>
      </c>
      <c r="BEB1" s="331" t="s">
        <v>2203</v>
      </c>
      <c r="BEC1" s="331" t="s">
        <v>2204</v>
      </c>
      <c r="BED1" s="331" t="s">
        <v>2205</v>
      </c>
      <c r="BEE1" s="331" t="s">
        <v>2206</v>
      </c>
      <c r="BEF1" s="331" t="s">
        <v>2207</v>
      </c>
      <c r="BEG1" s="331" t="s">
        <v>2208</v>
      </c>
      <c r="BEH1" s="331" t="s">
        <v>2209</v>
      </c>
      <c r="BEI1" s="331" t="s">
        <v>2210</v>
      </c>
      <c r="BEJ1" s="331" t="s">
        <v>2211</v>
      </c>
      <c r="BEK1" s="331" t="s">
        <v>2212</v>
      </c>
      <c r="BEL1" s="331" t="s">
        <v>2213</v>
      </c>
      <c r="BEM1" s="331" t="s">
        <v>2214</v>
      </c>
      <c r="BEN1" s="331" t="s">
        <v>2215</v>
      </c>
      <c r="BEO1" s="331" t="s">
        <v>2216</v>
      </c>
      <c r="BEP1" s="331" t="s">
        <v>2217</v>
      </c>
      <c r="BEQ1" s="331" t="s">
        <v>2218</v>
      </c>
      <c r="BER1" s="331" t="s">
        <v>2219</v>
      </c>
      <c r="BES1" s="331" t="s">
        <v>2220</v>
      </c>
      <c r="BET1" s="331" t="s">
        <v>2221</v>
      </c>
      <c r="BEU1" s="331" t="s">
        <v>2222</v>
      </c>
      <c r="BEV1" s="331" t="s">
        <v>2223</v>
      </c>
      <c r="BEW1" s="331" t="s">
        <v>2224</v>
      </c>
      <c r="BEX1" s="331" t="s">
        <v>2225</v>
      </c>
      <c r="BEY1" s="331" t="s">
        <v>2226</v>
      </c>
      <c r="BEZ1" s="331" t="s">
        <v>2227</v>
      </c>
      <c r="BFA1" s="331" t="s">
        <v>2228</v>
      </c>
      <c r="BFB1" s="331" t="s">
        <v>2229</v>
      </c>
      <c r="BFC1" s="331" t="s">
        <v>2230</v>
      </c>
      <c r="BFD1" s="331" t="s">
        <v>2231</v>
      </c>
      <c r="BFE1" s="331" t="s">
        <v>2232</v>
      </c>
      <c r="BFF1" s="331" t="s">
        <v>2233</v>
      </c>
      <c r="BFG1" s="331" t="s">
        <v>2234</v>
      </c>
      <c r="BFH1" s="331" t="s">
        <v>2235</v>
      </c>
      <c r="BFI1" s="331" t="s">
        <v>2236</v>
      </c>
      <c r="BFJ1" s="331" t="s">
        <v>2237</v>
      </c>
      <c r="BFK1" s="331" t="s">
        <v>2238</v>
      </c>
      <c r="BFL1" s="331" t="s">
        <v>2239</v>
      </c>
      <c r="BFM1" s="331" t="s">
        <v>2240</v>
      </c>
      <c r="BFN1" s="331" t="s">
        <v>2241</v>
      </c>
      <c r="BFO1" s="331" t="s">
        <v>2242</v>
      </c>
      <c r="BFP1" s="331" t="s">
        <v>2243</v>
      </c>
      <c r="BFQ1" s="331" t="s">
        <v>2244</v>
      </c>
      <c r="BFR1" s="331" t="s">
        <v>2245</v>
      </c>
      <c r="BFS1" s="331" t="s">
        <v>2246</v>
      </c>
      <c r="BFT1" s="331" t="s">
        <v>2247</v>
      </c>
      <c r="BFU1" s="331" t="s">
        <v>2248</v>
      </c>
      <c r="BFV1" s="331" t="s">
        <v>2249</v>
      </c>
      <c r="BFW1" s="331" t="s">
        <v>2250</v>
      </c>
      <c r="BFX1" s="331" t="s">
        <v>2251</v>
      </c>
      <c r="BFY1" s="331" t="s">
        <v>2252</v>
      </c>
      <c r="BFZ1" s="331" t="s">
        <v>2253</v>
      </c>
      <c r="BGA1" s="331" t="s">
        <v>2254</v>
      </c>
      <c r="BGB1" s="331" t="s">
        <v>2255</v>
      </c>
      <c r="BGC1" s="331" t="s">
        <v>2256</v>
      </c>
      <c r="BGD1" s="331" t="s">
        <v>2257</v>
      </c>
      <c r="BGE1" s="331" t="s">
        <v>2258</v>
      </c>
      <c r="BGF1" s="331" t="s">
        <v>2259</v>
      </c>
      <c r="BGG1" s="331" t="s">
        <v>2260</v>
      </c>
      <c r="BGH1" s="331" t="s">
        <v>2261</v>
      </c>
      <c r="BGI1" s="331" t="s">
        <v>2262</v>
      </c>
      <c r="BGJ1" s="331" t="s">
        <v>2263</v>
      </c>
      <c r="BGK1" s="331" t="s">
        <v>2264</v>
      </c>
      <c r="BGL1" s="331" t="s">
        <v>2265</v>
      </c>
      <c r="BGM1" s="331" t="s">
        <v>2266</v>
      </c>
      <c r="BGN1" s="331" t="s">
        <v>2267</v>
      </c>
      <c r="BGO1" s="331" t="s">
        <v>2268</v>
      </c>
      <c r="BGP1" s="331" t="s">
        <v>2269</v>
      </c>
      <c r="BGQ1" s="331" t="s">
        <v>2270</v>
      </c>
      <c r="BGR1" s="331" t="s">
        <v>2271</v>
      </c>
      <c r="BGS1" s="331" t="s">
        <v>2272</v>
      </c>
      <c r="BGT1" s="331" t="s">
        <v>2273</v>
      </c>
      <c r="BGU1" s="331" t="s">
        <v>2274</v>
      </c>
      <c r="BGV1" s="331" t="s">
        <v>2275</v>
      </c>
      <c r="BGW1" s="331" t="s">
        <v>2276</v>
      </c>
      <c r="BGX1" s="331" t="s">
        <v>2277</v>
      </c>
      <c r="BGY1" s="331" t="s">
        <v>2278</v>
      </c>
      <c r="BGZ1" s="331" t="s">
        <v>2279</v>
      </c>
      <c r="BHA1" s="331" t="s">
        <v>2280</v>
      </c>
      <c r="BHB1" s="331" t="s">
        <v>2281</v>
      </c>
      <c r="BHC1" s="331" t="s">
        <v>2282</v>
      </c>
      <c r="BHD1" s="331" t="s">
        <v>2283</v>
      </c>
      <c r="BHE1" s="331" t="s">
        <v>2284</v>
      </c>
      <c r="BHF1" s="331" t="s">
        <v>2285</v>
      </c>
      <c r="BHG1" s="331" t="s">
        <v>2286</v>
      </c>
      <c r="BHH1" s="331" t="s">
        <v>2287</v>
      </c>
      <c r="BHI1" s="331" t="s">
        <v>2288</v>
      </c>
      <c r="BHJ1" s="331" t="s">
        <v>2289</v>
      </c>
      <c r="BHK1" s="331" t="s">
        <v>2290</v>
      </c>
      <c r="BHL1" s="331" t="s">
        <v>2291</v>
      </c>
      <c r="BHM1" s="331" t="s">
        <v>2292</v>
      </c>
      <c r="BHN1" s="331" t="s">
        <v>2293</v>
      </c>
      <c r="BHO1" s="331" t="s">
        <v>2294</v>
      </c>
      <c r="BHP1" s="331" t="s">
        <v>2295</v>
      </c>
      <c r="BHQ1" s="331" t="s">
        <v>2296</v>
      </c>
      <c r="BHR1" s="331" t="s">
        <v>2297</v>
      </c>
      <c r="BHS1" s="331" t="s">
        <v>2298</v>
      </c>
      <c r="BHT1" s="331" t="s">
        <v>2299</v>
      </c>
      <c r="BHU1" s="331" t="s">
        <v>2300</v>
      </c>
      <c r="BHV1" s="331" t="s">
        <v>2301</v>
      </c>
      <c r="BHW1" s="331" t="s">
        <v>2302</v>
      </c>
      <c r="BHX1" s="331" t="s">
        <v>2303</v>
      </c>
      <c r="BHY1" s="331" t="s">
        <v>2304</v>
      </c>
      <c r="BHZ1" s="331" t="s">
        <v>2305</v>
      </c>
      <c r="BIA1" s="331" t="s">
        <v>2306</v>
      </c>
      <c r="BIB1" s="331" t="s">
        <v>2307</v>
      </c>
      <c r="BIC1" s="331" t="s">
        <v>2308</v>
      </c>
      <c r="BID1" s="331" t="s">
        <v>2309</v>
      </c>
      <c r="BIE1" s="331" t="s">
        <v>2310</v>
      </c>
      <c r="BIF1" s="331" t="s">
        <v>2311</v>
      </c>
      <c r="BIG1" s="331" t="s">
        <v>2312</v>
      </c>
      <c r="BIH1" s="331" t="s">
        <v>2313</v>
      </c>
      <c r="BII1" s="331" t="s">
        <v>2314</v>
      </c>
      <c r="BIJ1" s="331" t="s">
        <v>2315</v>
      </c>
      <c r="BIK1" s="331" t="s">
        <v>2316</v>
      </c>
      <c r="BIL1" s="331" t="s">
        <v>2317</v>
      </c>
      <c r="BIM1" s="331" t="s">
        <v>2318</v>
      </c>
      <c r="BIN1" s="331" t="s">
        <v>2319</v>
      </c>
      <c r="BIO1" s="331" t="s">
        <v>2320</v>
      </c>
      <c r="BIP1" s="331" t="s">
        <v>2321</v>
      </c>
      <c r="BIQ1" s="331" t="s">
        <v>2322</v>
      </c>
      <c r="BIR1" s="331" t="s">
        <v>2323</v>
      </c>
      <c r="BIS1" s="331" t="s">
        <v>2324</v>
      </c>
      <c r="BIT1" s="331" t="s">
        <v>2325</v>
      </c>
      <c r="BIU1" s="331" t="s">
        <v>2326</v>
      </c>
      <c r="BIV1" s="331" t="s">
        <v>2327</v>
      </c>
      <c r="BIW1" s="331" t="s">
        <v>2328</v>
      </c>
      <c r="BIX1" s="331" t="s">
        <v>2329</v>
      </c>
      <c r="BIY1" s="331" t="s">
        <v>2330</v>
      </c>
      <c r="BIZ1" s="331" t="s">
        <v>2331</v>
      </c>
      <c r="BJA1" s="331" t="s">
        <v>2332</v>
      </c>
      <c r="BJB1" s="331" t="s">
        <v>2333</v>
      </c>
      <c r="BJC1" s="331" t="s">
        <v>2334</v>
      </c>
      <c r="BJD1" s="331" t="s">
        <v>2335</v>
      </c>
      <c r="BJE1" s="331" t="s">
        <v>2336</v>
      </c>
      <c r="BJF1" s="331" t="s">
        <v>2337</v>
      </c>
      <c r="BJG1" s="331" t="s">
        <v>2338</v>
      </c>
      <c r="BJH1" s="331" t="s">
        <v>2339</v>
      </c>
      <c r="BJI1" s="331" t="s">
        <v>2340</v>
      </c>
      <c r="BJJ1" s="331" t="s">
        <v>2341</v>
      </c>
      <c r="BJK1" s="331" t="s">
        <v>2342</v>
      </c>
      <c r="BJL1" s="331" t="s">
        <v>2343</v>
      </c>
      <c r="BJM1" s="331" t="s">
        <v>2344</v>
      </c>
      <c r="BJN1" s="331" t="s">
        <v>2345</v>
      </c>
      <c r="BJO1" s="331" t="s">
        <v>2346</v>
      </c>
      <c r="BJP1" s="331" t="s">
        <v>2347</v>
      </c>
      <c r="BJQ1" s="331" t="s">
        <v>2348</v>
      </c>
      <c r="BJR1" s="331" t="s">
        <v>2349</v>
      </c>
      <c r="BJS1" s="331" t="s">
        <v>2350</v>
      </c>
      <c r="BJT1" s="331" t="s">
        <v>2351</v>
      </c>
      <c r="BJU1" s="331" t="s">
        <v>2352</v>
      </c>
      <c r="BJV1" s="331" t="s">
        <v>2353</v>
      </c>
      <c r="BJW1" s="331" t="s">
        <v>2354</v>
      </c>
      <c r="BJX1" s="331" t="s">
        <v>2355</v>
      </c>
      <c r="BJY1" s="331" t="s">
        <v>2356</v>
      </c>
      <c r="BJZ1" s="331" t="s">
        <v>2357</v>
      </c>
      <c r="BKA1" s="331" t="s">
        <v>2358</v>
      </c>
      <c r="BKB1" s="331" t="s">
        <v>2359</v>
      </c>
      <c r="BKC1" s="331" t="s">
        <v>2360</v>
      </c>
      <c r="BKD1" s="331" t="s">
        <v>2361</v>
      </c>
      <c r="BKE1" s="331" t="s">
        <v>2362</v>
      </c>
      <c r="BKF1" s="331" t="s">
        <v>2363</v>
      </c>
      <c r="BKG1" s="331" t="s">
        <v>2364</v>
      </c>
      <c r="BKH1" s="331" t="s">
        <v>2365</v>
      </c>
      <c r="BKI1" s="331" t="s">
        <v>2366</v>
      </c>
      <c r="BKJ1" s="331" t="s">
        <v>2367</v>
      </c>
      <c r="BKK1" s="331" t="s">
        <v>2368</v>
      </c>
      <c r="BKL1" s="331" t="s">
        <v>2369</v>
      </c>
      <c r="BKM1" s="331" t="s">
        <v>2370</v>
      </c>
      <c r="BKN1" s="331" t="s">
        <v>2371</v>
      </c>
      <c r="BKO1" s="331" t="s">
        <v>2372</v>
      </c>
      <c r="BKP1" s="331" t="s">
        <v>2373</v>
      </c>
      <c r="BKQ1" s="331" t="s">
        <v>2374</v>
      </c>
      <c r="BKR1" s="331" t="s">
        <v>2375</v>
      </c>
      <c r="BKS1" s="331" t="s">
        <v>2376</v>
      </c>
      <c r="BKT1" s="331" t="s">
        <v>2377</v>
      </c>
      <c r="BKU1" s="331" t="s">
        <v>2378</v>
      </c>
      <c r="BKV1" s="331" t="s">
        <v>2379</v>
      </c>
      <c r="BKW1" s="331" t="s">
        <v>2380</v>
      </c>
      <c r="BKX1" s="331" t="s">
        <v>2381</v>
      </c>
      <c r="BKY1" s="331" t="s">
        <v>2382</v>
      </c>
      <c r="BKZ1" s="331" t="s">
        <v>2383</v>
      </c>
      <c r="BLA1" s="331" t="s">
        <v>2384</v>
      </c>
      <c r="BLB1" s="331" t="s">
        <v>2385</v>
      </c>
      <c r="BLC1" s="331" t="s">
        <v>2386</v>
      </c>
      <c r="BLD1" s="331" t="s">
        <v>2387</v>
      </c>
      <c r="BLE1" s="331" t="s">
        <v>2388</v>
      </c>
      <c r="BLF1" s="331" t="s">
        <v>2389</v>
      </c>
      <c r="BLG1" s="331" t="s">
        <v>2390</v>
      </c>
      <c r="BLH1" s="331" t="s">
        <v>2391</v>
      </c>
      <c r="BLI1" s="331" t="s">
        <v>2392</v>
      </c>
      <c r="BLJ1" s="331" t="s">
        <v>2393</v>
      </c>
      <c r="BLK1" s="331" t="s">
        <v>2394</v>
      </c>
      <c r="BLL1" s="331" t="s">
        <v>2395</v>
      </c>
      <c r="BLM1" s="331" t="s">
        <v>2396</v>
      </c>
      <c r="BLN1" s="331" t="s">
        <v>2397</v>
      </c>
      <c r="BLO1" s="331" t="s">
        <v>2398</v>
      </c>
      <c r="BLP1" s="331" t="s">
        <v>2399</v>
      </c>
      <c r="BLQ1" s="331" t="s">
        <v>2400</v>
      </c>
      <c r="BLR1" s="331" t="s">
        <v>2401</v>
      </c>
      <c r="BLS1" s="331" t="s">
        <v>2402</v>
      </c>
      <c r="BLT1" s="331" t="s">
        <v>2403</v>
      </c>
      <c r="BLU1" s="331" t="s">
        <v>2404</v>
      </c>
      <c r="BLV1" s="331" t="s">
        <v>2405</v>
      </c>
      <c r="BLW1" s="331" t="s">
        <v>2406</v>
      </c>
      <c r="BLX1" s="331" t="s">
        <v>2407</v>
      </c>
      <c r="BLY1" s="331" t="s">
        <v>2408</v>
      </c>
      <c r="BLZ1" s="331" t="s">
        <v>2409</v>
      </c>
      <c r="BMA1" s="331" t="s">
        <v>2410</v>
      </c>
      <c r="BMB1" s="331" t="s">
        <v>2411</v>
      </c>
      <c r="BMC1" s="331" t="s">
        <v>2412</v>
      </c>
      <c r="BMD1" s="331" t="s">
        <v>2413</v>
      </c>
      <c r="BME1" s="331" t="s">
        <v>2414</v>
      </c>
      <c r="BMF1" s="331" t="s">
        <v>2415</v>
      </c>
      <c r="BMG1" s="331" t="s">
        <v>2416</v>
      </c>
      <c r="BMH1" s="331" t="s">
        <v>2417</v>
      </c>
      <c r="BMI1" s="331" t="s">
        <v>2418</v>
      </c>
      <c r="BMJ1" s="331" t="s">
        <v>2419</v>
      </c>
      <c r="BMK1" s="331" t="s">
        <v>2420</v>
      </c>
      <c r="BML1" s="331" t="s">
        <v>2421</v>
      </c>
      <c r="BMM1" s="331" t="s">
        <v>2422</v>
      </c>
      <c r="BMN1" s="331" t="s">
        <v>2423</v>
      </c>
      <c r="BMO1" s="331" t="s">
        <v>2424</v>
      </c>
      <c r="BMP1" s="331" t="s">
        <v>2425</v>
      </c>
      <c r="BMQ1" s="331" t="s">
        <v>2426</v>
      </c>
      <c r="BMR1" s="331" t="s">
        <v>2427</v>
      </c>
      <c r="BMS1" s="331" t="s">
        <v>2428</v>
      </c>
      <c r="BMT1" s="331" t="s">
        <v>2429</v>
      </c>
      <c r="BMU1" s="331" t="s">
        <v>2430</v>
      </c>
      <c r="BMV1" s="331" t="s">
        <v>2431</v>
      </c>
      <c r="BMW1" s="331" t="s">
        <v>2432</v>
      </c>
      <c r="BMX1" s="331" t="s">
        <v>2433</v>
      </c>
      <c r="BMY1" s="331" t="s">
        <v>2434</v>
      </c>
      <c r="BMZ1" s="331" t="s">
        <v>2435</v>
      </c>
      <c r="BNA1" s="331" t="s">
        <v>2436</v>
      </c>
      <c r="BNB1" s="331" t="s">
        <v>2437</v>
      </c>
      <c r="BNC1" s="331" t="s">
        <v>2438</v>
      </c>
      <c r="BND1" s="331" t="s">
        <v>2439</v>
      </c>
      <c r="BNE1" s="331" t="s">
        <v>2440</v>
      </c>
      <c r="BNF1" s="331" t="s">
        <v>2441</v>
      </c>
      <c r="BNG1" s="331" t="s">
        <v>2442</v>
      </c>
      <c r="BNH1" s="331" t="s">
        <v>2443</v>
      </c>
      <c r="BNI1" s="331" t="s">
        <v>2444</v>
      </c>
      <c r="BNJ1" s="331" t="s">
        <v>2445</v>
      </c>
      <c r="BNK1" s="331" t="s">
        <v>2446</v>
      </c>
      <c r="BNL1" s="331" t="s">
        <v>2447</v>
      </c>
      <c r="BNM1" s="331" t="s">
        <v>2448</v>
      </c>
      <c r="BNN1" s="331" t="s">
        <v>2449</v>
      </c>
      <c r="BNO1" s="331" t="s">
        <v>2450</v>
      </c>
      <c r="BNP1" s="331" t="s">
        <v>2451</v>
      </c>
      <c r="BNQ1" s="331" t="s">
        <v>2452</v>
      </c>
      <c r="BNR1" s="331" t="s">
        <v>2453</v>
      </c>
      <c r="BNS1" s="331" t="s">
        <v>2454</v>
      </c>
      <c r="BNT1" s="331" t="s">
        <v>2455</v>
      </c>
      <c r="BNU1" s="331" t="s">
        <v>2456</v>
      </c>
      <c r="BNV1" s="331" t="s">
        <v>2457</v>
      </c>
      <c r="BNW1" s="331" t="s">
        <v>2458</v>
      </c>
      <c r="BNX1" s="331" t="s">
        <v>2459</v>
      </c>
      <c r="BNY1" s="331" t="s">
        <v>2460</v>
      </c>
      <c r="BNZ1" s="331" t="s">
        <v>2461</v>
      </c>
      <c r="BOA1" s="331" t="s">
        <v>2462</v>
      </c>
      <c r="BOB1" s="331" t="s">
        <v>2463</v>
      </c>
      <c r="BOC1" s="331" t="s">
        <v>2464</v>
      </c>
      <c r="BOD1" s="331" t="s">
        <v>2465</v>
      </c>
      <c r="BOE1" s="331" t="s">
        <v>2466</v>
      </c>
      <c r="BOF1" s="331" t="s">
        <v>2467</v>
      </c>
      <c r="BOG1" s="331" t="s">
        <v>2468</v>
      </c>
      <c r="BOH1" s="331" t="s">
        <v>2469</v>
      </c>
      <c r="BOI1" s="331" t="s">
        <v>2470</v>
      </c>
      <c r="BOJ1" s="331" t="s">
        <v>2471</v>
      </c>
      <c r="BOK1" s="331" t="s">
        <v>2472</v>
      </c>
      <c r="BOL1" s="331" t="s">
        <v>2473</v>
      </c>
      <c r="BOM1" s="331" t="s">
        <v>2474</v>
      </c>
      <c r="BON1" s="331" t="s">
        <v>2475</v>
      </c>
      <c r="BOO1" s="331" t="s">
        <v>2476</v>
      </c>
      <c r="BOP1" s="331" t="s">
        <v>2477</v>
      </c>
      <c r="BOQ1" s="331" t="s">
        <v>2478</v>
      </c>
      <c r="BOR1" s="331" t="s">
        <v>2479</v>
      </c>
      <c r="BOS1" s="331" t="s">
        <v>2480</v>
      </c>
      <c r="BOT1" s="331" t="s">
        <v>2481</v>
      </c>
      <c r="BOU1" s="331" t="s">
        <v>2482</v>
      </c>
      <c r="BOV1" s="331" t="s">
        <v>2483</v>
      </c>
      <c r="BOW1" s="331" t="s">
        <v>2484</v>
      </c>
      <c r="BOX1" s="331" t="s">
        <v>2485</v>
      </c>
      <c r="BOY1" s="331" t="s">
        <v>2486</v>
      </c>
      <c r="BOZ1" s="331" t="s">
        <v>2487</v>
      </c>
      <c r="BPA1" s="331" t="s">
        <v>2488</v>
      </c>
      <c r="BPB1" s="331" t="s">
        <v>2489</v>
      </c>
      <c r="BPC1" s="331" t="s">
        <v>2490</v>
      </c>
      <c r="BPD1" s="331" t="s">
        <v>2491</v>
      </c>
      <c r="BPE1" s="331" t="s">
        <v>2492</v>
      </c>
      <c r="BPF1" s="331" t="s">
        <v>2493</v>
      </c>
      <c r="BPG1" s="331" t="s">
        <v>2494</v>
      </c>
      <c r="BPH1" s="331" t="s">
        <v>2495</v>
      </c>
      <c r="BPI1" s="331" t="s">
        <v>2496</v>
      </c>
      <c r="BPJ1" s="331" t="s">
        <v>2497</v>
      </c>
      <c r="BPK1" s="331" t="s">
        <v>2498</v>
      </c>
      <c r="BPL1" s="331" t="s">
        <v>2499</v>
      </c>
      <c r="BPM1" s="331" t="s">
        <v>2500</v>
      </c>
      <c r="BPN1" s="331" t="s">
        <v>2501</v>
      </c>
      <c r="BPO1" s="331" t="s">
        <v>2502</v>
      </c>
      <c r="BPP1" s="331" t="s">
        <v>2503</v>
      </c>
      <c r="BPQ1" s="331" t="s">
        <v>2504</v>
      </c>
      <c r="BPR1" s="331" t="s">
        <v>2505</v>
      </c>
      <c r="BPS1" s="331" t="s">
        <v>2506</v>
      </c>
      <c r="BPT1" s="331" t="s">
        <v>2507</v>
      </c>
      <c r="BPU1" s="331" t="s">
        <v>2508</v>
      </c>
      <c r="BPV1" s="331" t="s">
        <v>2509</v>
      </c>
      <c r="BPW1" s="331" t="s">
        <v>2510</v>
      </c>
      <c r="BPX1" s="331" t="s">
        <v>2511</v>
      </c>
      <c r="BPY1" s="331" t="s">
        <v>2512</v>
      </c>
      <c r="BPZ1" s="331" t="s">
        <v>2513</v>
      </c>
      <c r="BQA1" s="331" t="s">
        <v>2514</v>
      </c>
      <c r="BQB1" s="331" t="s">
        <v>2515</v>
      </c>
      <c r="BQC1" s="331" t="s">
        <v>2516</v>
      </c>
      <c r="BQD1" s="331" t="s">
        <v>2517</v>
      </c>
      <c r="BQE1" s="331" t="s">
        <v>2518</v>
      </c>
      <c r="BQF1" s="331" t="s">
        <v>2519</v>
      </c>
      <c r="BQG1" s="331" t="s">
        <v>2520</v>
      </c>
      <c r="BQH1" s="331" t="s">
        <v>2521</v>
      </c>
      <c r="BQI1" s="331" t="s">
        <v>2522</v>
      </c>
      <c r="BQJ1" s="331" t="s">
        <v>2523</v>
      </c>
      <c r="BQK1" s="331" t="s">
        <v>2524</v>
      </c>
      <c r="BQL1" s="331" t="s">
        <v>2525</v>
      </c>
      <c r="BQM1" s="331" t="s">
        <v>2526</v>
      </c>
      <c r="BQN1" s="331" t="s">
        <v>2527</v>
      </c>
      <c r="BQO1" s="331" t="s">
        <v>2528</v>
      </c>
      <c r="BQP1" s="331" t="s">
        <v>2529</v>
      </c>
      <c r="BQQ1" s="331" t="s">
        <v>2530</v>
      </c>
      <c r="BQR1" s="331" t="s">
        <v>2531</v>
      </c>
      <c r="BQS1" s="331" t="s">
        <v>2532</v>
      </c>
      <c r="BQT1" s="331" t="s">
        <v>2533</v>
      </c>
      <c r="BQU1" s="331" t="s">
        <v>2534</v>
      </c>
      <c r="BQV1" s="331" t="s">
        <v>2535</v>
      </c>
      <c r="BQW1" s="331" t="s">
        <v>2536</v>
      </c>
      <c r="BQX1" s="331" t="s">
        <v>2537</v>
      </c>
      <c r="BQY1" s="331" t="s">
        <v>2538</v>
      </c>
      <c r="BQZ1" s="331" t="s">
        <v>2539</v>
      </c>
      <c r="BRA1" s="331" t="s">
        <v>2540</v>
      </c>
      <c r="BRB1" s="331" t="s">
        <v>2541</v>
      </c>
      <c r="BRC1" s="331" t="s">
        <v>2542</v>
      </c>
      <c r="BRD1" s="331" t="s">
        <v>2543</v>
      </c>
      <c r="BRE1" s="331" t="s">
        <v>2544</v>
      </c>
      <c r="BRF1" s="331" t="s">
        <v>2545</v>
      </c>
      <c r="BRG1" s="331" t="s">
        <v>2546</v>
      </c>
      <c r="BRH1" s="331" t="s">
        <v>2547</v>
      </c>
      <c r="BRI1" s="331" t="s">
        <v>2548</v>
      </c>
      <c r="BRJ1" s="331" t="s">
        <v>2549</v>
      </c>
      <c r="BRK1" s="331" t="s">
        <v>2550</v>
      </c>
      <c r="BRL1" s="331" t="s">
        <v>2551</v>
      </c>
      <c r="BRM1" s="331" t="s">
        <v>2552</v>
      </c>
      <c r="BRN1" s="331" t="s">
        <v>2553</v>
      </c>
      <c r="BRO1" s="331" t="s">
        <v>2554</v>
      </c>
      <c r="BRP1" s="331" t="s">
        <v>2555</v>
      </c>
      <c r="BRQ1" s="331" t="s">
        <v>2556</v>
      </c>
      <c r="BRR1" s="331" t="s">
        <v>2557</v>
      </c>
      <c r="BRS1" s="331" t="s">
        <v>2558</v>
      </c>
      <c r="BRT1" s="331" t="s">
        <v>2559</v>
      </c>
      <c r="BRU1" s="331" t="s">
        <v>2560</v>
      </c>
      <c r="BRV1" s="331" t="s">
        <v>2561</v>
      </c>
      <c r="BRW1" s="331" t="s">
        <v>2562</v>
      </c>
      <c r="BRX1" s="331" t="s">
        <v>2563</v>
      </c>
      <c r="BRY1" s="331" t="s">
        <v>2564</v>
      </c>
      <c r="BRZ1" s="331" t="s">
        <v>2565</v>
      </c>
      <c r="BSA1" s="331" t="s">
        <v>2566</v>
      </c>
      <c r="BSB1" s="331" t="s">
        <v>2567</v>
      </c>
      <c r="BSC1" s="331" t="s">
        <v>2568</v>
      </c>
      <c r="BSD1" s="331" t="s">
        <v>2569</v>
      </c>
      <c r="BSE1" s="331" t="s">
        <v>2570</v>
      </c>
      <c r="BSF1" s="331" t="s">
        <v>2571</v>
      </c>
      <c r="BSG1" s="331" t="s">
        <v>2572</v>
      </c>
      <c r="BSH1" s="331" t="s">
        <v>2573</v>
      </c>
      <c r="BSI1" s="331" t="s">
        <v>2574</v>
      </c>
      <c r="BSJ1" s="331" t="s">
        <v>2575</v>
      </c>
      <c r="BSK1" s="331" t="s">
        <v>2576</v>
      </c>
      <c r="BSL1" s="331" t="s">
        <v>2577</v>
      </c>
      <c r="BSM1" s="331" t="s">
        <v>2578</v>
      </c>
      <c r="BSN1" s="331" t="s">
        <v>2579</v>
      </c>
      <c r="BSO1" s="331" t="s">
        <v>2580</v>
      </c>
      <c r="BSP1" s="331" t="s">
        <v>2581</v>
      </c>
      <c r="BSQ1" s="331" t="s">
        <v>2582</v>
      </c>
      <c r="BSR1" s="331" t="s">
        <v>2583</v>
      </c>
      <c r="BSS1" s="331" t="s">
        <v>2584</v>
      </c>
      <c r="BST1" s="331" t="s">
        <v>2585</v>
      </c>
      <c r="BSU1" s="331" t="s">
        <v>2586</v>
      </c>
      <c r="BSV1" s="331" t="s">
        <v>2587</v>
      </c>
      <c r="BSW1" s="331" t="s">
        <v>2588</v>
      </c>
      <c r="BSX1" s="331" t="s">
        <v>2589</v>
      </c>
      <c r="BSY1" s="331" t="s">
        <v>2590</v>
      </c>
      <c r="BSZ1" s="331" t="s">
        <v>2591</v>
      </c>
      <c r="BTA1" s="331" t="s">
        <v>2592</v>
      </c>
      <c r="BTB1" s="331" t="s">
        <v>2593</v>
      </c>
      <c r="BTC1" s="331" t="s">
        <v>2594</v>
      </c>
      <c r="BTD1" s="331" t="s">
        <v>2595</v>
      </c>
      <c r="BTE1" s="331" t="s">
        <v>2596</v>
      </c>
      <c r="BTF1" s="331" t="s">
        <v>2597</v>
      </c>
      <c r="BTG1" s="331" t="s">
        <v>2598</v>
      </c>
      <c r="BTH1" s="331" t="s">
        <v>2599</v>
      </c>
      <c r="BTI1" s="331" t="s">
        <v>2600</v>
      </c>
      <c r="BTJ1" s="331" t="s">
        <v>2601</v>
      </c>
      <c r="BTK1" s="331" t="s">
        <v>2602</v>
      </c>
      <c r="BTL1" s="331" t="s">
        <v>2603</v>
      </c>
      <c r="BTM1" s="331" t="s">
        <v>2604</v>
      </c>
      <c r="BTN1" s="331" t="s">
        <v>2605</v>
      </c>
      <c r="BTO1" s="331" t="s">
        <v>2606</v>
      </c>
      <c r="BTP1" s="331" t="s">
        <v>2607</v>
      </c>
      <c r="BTQ1" s="331" t="s">
        <v>2608</v>
      </c>
      <c r="BTR1" s="331" t="s">
        <v>2609</v>
      </c>
      <c r="BTS1" s="331" t="s">
        <v>2610</v>
      </c>
      <c r="BTT1" s="331" t="s">
        <v>2611</v>
      </c>
      <c r="BTU1" s="331" t="s">
        <v>2612</v>
      </c>
      <c r="BTV1" s="331" t="s">
        <v>2613</v>
      </c>
      <c r="BTW1" s="331" t="s">
        <v>2614</v>
      </c>
      <c r="BTX1" s="331" t="s">
        <v>2615</v>
      </c>
      <c r="BTY1" s="331" t="s">
        <v>2616</v>
      </c>
      <c r="BTZ1" s="331" t="s">
        <v>2617</v>
      </c>
      <c r="BUA1" s="331" t="s">
        <v>2618</v>
      </c>
      <c r="BUB1" s="331" t="s">
        <v>2619</v>
      </c>
      <c r="BUC1" s="331" t="s">
        <v>2620</v>
      </c>
      <c r="BUD1" s="331" t="s">
        <v>2621</v>
      </c>
      <c r="BUE1" s="331" t="s">
        <v>2622</v>
      </c>
      <c r="BUF1" s="331" t="s">
        <v>2623</v>
      </c>
      <c r="BUG1" s="331" t="s">
        <v>2624</v>
      </c>
      <c r="BUH1" s="331" t="s">
        <v>2625</v>
      </c>
      <c r="BUI1" s="331" t="s">
        <v>2626</v>
      </c>
      <c r="BUJ1" s="331" t="s">
        <v>2627</v>
      </c>
      <c r="BUK1" s="331" t="s">
        <v>2628</v>
      </c>
      <c r="BUL1" s="331" t="s">
        <v>2629</v>
      </c>
      <c r="BUM1" s="331" t="s">
        <v>2630</v>
      </c>
      <c r="BUN1" s="331" t="s">
        <v>2631</v>
      </c>
      <c r="BUO1" s="331" t="s">
        <v>2632</v>
      </c>
      <c r="BUP1" s="331" t="s">
        <v>2633</v>
      </c>
      <c r="BUQ1" s="331" t="s">
        <v>2634</v>
      </c>
      <c r="BUR1" s="331" t="s">
        <v>2635</v>
      </c>
      <c r="BUS1" s="331" t="s">
        <v>2636</v>
      </c>
      <c r="BUT1" s="331" t="s">
        <v>2637</v>
      </c>
      <c r="BUU1" s="331" t="s">
        <v>2638</v>
      </c>
      <c r="BUV1" s="331" t="s">
        <v>2639</v>
      </c>
      <c r="BUW1" s="331" t="s">
        <v>2640</v>
      </c>
      <c r="BUX1" s="331" t="s">
        <v>2641</v>
      </c>
      <c r="BUY1" s="331" t="s">
        <v>2642</v>
      </c>
      <c r="BUZ1" s="331" t="s">
        <v>2643</v>
      </c>
      <c r="BVA1" s="331" t="s">
        <v>2644</v>
      </c>
      <c r="BVB1" s="331" t="s">
        <v>2645</v>
      </c>
      <c r="BVC1" s="331" t="s">
        <v>2646</v>
      </c>
      <c r="BVD1" s="331" t="s">
        <v>2647</v>
      </c>
      <c r="BVE1" s="331" t="s">
        <v>2648</v>
      </c>
      <c r="BVF1" s="331" t="s">
        <v>2649</v>
      </c>
      <c r="BVG1" s="331" t="s">
        <v>2650</v>
      </c>
      <c r="BVH1" s="331" t="s">
        <v>2651</v>
      </c>
      <c r="BVI1" s="331" t="s">
        <v>2652</v>
      </c>
      <c r="BVJ1" s="331" t="s">
        <v>2653</v>
      </c>
      <c r="BVK1" s="331" t="s">
        <v>2654</v>
      </c>
      <c r="BVL1" s="331" t="s">
        <v>2655</v>
      </c>
      <c r="BVM1" s="331" t="s">
        <v>2656</v>
      </c>
      <c r="BVN1" s="331" t="s">
        <v>2657</v>
      </c>
      <c r="BVO1" s="331" t="s">
        <v>2658</v>
      </c>
      <c r="BVP1" s="331" t="s">
        <v>2659</v>
      </c>
      <c r="BVQ1" s="331" t="s">
        <v>2660</v>
      </c>
      <c r="BVR1" s="331" t="s">
        <v>2661</v>
      </c>
      <c r="BVS1" s="331" t="s">
        <v>2662</v>
      </c>
      <c r="BVT1" s="331" t="s">
        <v>2663</v>
      </c>
      <c r="BVU1" s="331" t="s">
        <v>2664</v>
      </c>
      <c r="BVV1" s="331" t="s">
        <v>2665</v>
      </c>
      <c r="BVW1" s="331" t="s">
        <v>2666</v>
      </c>
      <c r="BVX1" s="331" t="s">
        <v>2667</v>
      </c>
      <c r="BVY1" s="331" t="s">
        <v>2668</v>
      </c>
      <c r="BVZ1" s="331" t="s">
        <v>2669</v>
      </c>
      <c r="BWA1" s="331" t="s">
        <v>2670</v>
      </c>
      <c r="BWB1" s="331" t="s">
        <v>2671</v>
      </c>
      <c r="BWC1" s="331" t="s">
        <v>2672</v>
      </c>
      <c r="BWD1" s="331" t="s">
        <v>2673</v>
      </c>
      <c r="BWE1" s="331" t="s">
        <v>2674</v>
      </c>
      <c r="BWF1" s="331" t="s">
        <v>2675</v>
      </c>
      <c r="BWG1" s="331" t="s">
        <v>2676</v>
      </c>
      <c r="BWH1" s="331" t="s">
        <v>2677</v>
      </c>
      <c r="BWI1" s="331" t="s">
        <v>2678</v>
      </c>
      <c r="BWJ1" s="331" t="s">
        <v>2679</v>
      </c>
      <c r="BWK1" s="331" t="s">
        <v>2680</v>
      </c>
      <c r="BWL1" s="331" t="s">
        <v>2681</v>
      </c>
      <c r="BWM1" s="331" t="s">
        <v>2682</v>
      </c>
      <c r="BWN1" s="331" t="s">
        <v>2683</v>
      </c>
      <c r="BWO1" s="331" t="s">
        <v>2684</v>
      </c>
      <c r="BWP1" s="331" t="s">
        <v>2685</v>
      </c>
      <c r="BWQ1" s="331" t="s">
        <v>2686</v>
      </c>
      <c r="BWR1" s="331" t="s">
        <v>2687</v>
      </c>
      <c r="BWS1" s="331" t="s">
        <v>2688</v>
      </c>
      <c r="BWT1" s="331" t="s">
        <v>2689</v>
      </c>
      <c r="BWU1" s="331" t="s">
        <v>2690</v>
      </c>
      <c r="BWV1" s="331" t="s">
        <v>2691</v>
      </c>
      <c r="BWW1" s="331" t="s">
        <v>2692</v>
      </c>
      <c r="BWX1" s="331" t="s">
        <v>2693</v>
      </c>
      <c r="BWY1" s="331" t="s">
        <v>2694</v>
      </c>
      <c r="BWZ1" s="331" t="s">
        <v>2695</v>
      </c>
      <c r="BXA1" s="331" t="s">
        <v>2696</v>
      </c>
      <c r="BXB1" s="331" t="s">
        <v>2697</v>
      </c>
      <c r="BXC1" s="331" t="s">
        <v>2698</v>
      </c>
      <c r="BXD1" s="331" t="s">
        <v>2699</v>
      </c>
      <c r="BXE1" s="331" t="s">
        <v>2700</v>
      </c>
      <c r="BXF1" s="331" t="s">
        <v>2701</v>
      </c>
      <c r="BXG1" s="331" t="s">
        <v>2702</v>
      </c>
      <c r="BXH1" s="331" t="s">
        <v>2703</v>
      </c>
      <c r="BXI1" s="331" t="s">
        <v>2704</v>
      </c>
      <c r="BXJ1" s="331" t="s">
        <v>2705</v>
      </c>
      <c r="BXK1" s="331" t="s">
        <v>2706</v>
      </c>
      <c r="BXL1" s="331" t="s">
        <v>2707</v>
      </c>
      <c r="BXM1" s="331" t="s">
        <v>2708</v>
      </c>
      <c r="BXN1" s="331" t="s">
        <v>2709</v>
      </c>
      <c r="BXO1" s="331" t="s">
        <v>2710</v>
      </c>
      <c r="BXP1" s="331" t="s">
        <v>2711</v>
      </c>
      <c r="BXQ1" s="331" t="s">
        <v>2712</v>
      </c>
      <c r="BXR1" s="331" t="s">
        <v>2713</v>
      </c>
      <c r="BXS1" s="331" t="s">
        <v>2714</v>
      </c>
      <c r="BXT1" s="331" t="s">
        <v>2715</v>
      </c>
      <c r="BXU1" s="331" t="s">
        <v>2716</v>
      </c>
      <c r="BXV1" s="331" t="s">
        <v>2717</v>
      </c>
      <c r="BXW1" s="331" t="s">
        <v>2718</v>
      </c>
      <c r="BXX1" s="331" t="s">
        <v>2719</v>
      </c>
      <c r="BXY1" s="331" t="s">
        <v>2720</v>
      </c>
      <c r="BXZ1" s="331" t="s">
        <v>2721</v>
      </c>
      <c r="BYA1" s="331" t="s">
        <v>2722</v>
      </c>
      <c r="BYB1" s="331" t="s">
        <v>2723</v>
      </c>
      <c r="BYC1" s="331" t="s">
        <v>2724</v>
      </c>
      <c r="BYD1" s="331" t="s">
        <v>2725</v>
      </c>
      <c r="BYE1" s="331" t="s">
        <v>2726</v>
      </c>
      <c r="BYF1" s="331" t="s">
        <v>2727</v>
      </c>
      <c r="BYG1" s="331" t="s">
        <v>2728</v>
      </c>
      <c r="BYH1" s="331" t="s">
        <v>2729</v>
      </c>
      <c r="BYI1" s="331" t="s">
        <v>2730</v>
      </c>
      <c r="BYJ1" s="331" t="s">
        <v>2731</v>
      </c>
      <c r="BYK1" s="331" t="s">
        <v>2732</v>
      </c>
      <c r="BYL1" s="331" t="s">
        <v>2733</v>
      </c>
      <c r="BYM1" s="331" t="s">
        <v>2734</v>
      </c>
      <c r="BYN1" s="331" t="s">
        <v>2735</v>
      </c>
      <c r="BYO1" s="331" t="s">
        <v>2736</v>
      </c>
      <c r="BYP1" s="331" t="s">
        <v>2737</v>
      </c>
      <c r="BYQ1" s="331" t="s">
        <v>2738</v>
      </c>
      <c r="BYR1" s="331" t="s">
        <v>2739</v>
      </c>
      <c r="BYS1" s="331" t="s">
        <v>2740</v>
      </c>
      <c r="BYT1" s="331" t="s">
        <v>2741</v>
      </c>
      <c r="BYU1" s="331" t="s">
        <v>2742</v>
      </c>
      <c r="BYV1" s="331" t="s">
        <v>2743</v>
      </c>
      <c r="BYW1" s="331" t="s">
        <v>2744</v>
      </c>
      <c r="BYX1" s="331" t="s">
        <v>2745</v>
      </c>
      <c r="BYY1" s="331" t="s">
        <v>2746</v>
      </c>
      <c r="BYZ1" s="331" t="s">
        <v>2747</v>
      </c>
      <c r="BZA1" s="331" t="s">
        <v>2748</v>
      </c>
      <c r="BZB1" s="331" t="s">
        <v>2749</v>
      </c>
      <c r="BZC1" s="331" t="s">
        <v>2750</v>
      </c>
      <c r="BZD1" s="331" t="s">
        <v>2751</v>
      </c>
      <c r="BZE1" s="331" t="s">
        <v>2752</v>
      </c>
      <c r="BZF1" s="331" t="s">
        <v>2753</v>
      </c>
      <c r="BZG1" s="331" t="s">
        <v>2754</v>
      </c>
      <c r="BZH1" s="331" t="s">
        <v>2755</v>
      </c>
      <c r="BZI1" s="331" t="s">
        <v>2756</v>
      </c>
      <c r="BZJ1" s="331" t="s">
        <v>2757</v>
      </c>
      <c r="BZK1" s="331" t="s">
        <v>2758</v>
      </c>
      <c r="BZL1" s="331" t="s">
        <v>2759</v>
      </c>
      <c r="BZM1" s="331" t="s">
        <v>2760</v>
      </c>
      <c r="BZN1" s="331" t="s">
        <v>2761</v>
      </c>
      <c r="BZO1" s="331" t="s">
        <v>2762</v>
      </c>
      <c r="BZP1" s="331" t="s">
        <v>2763</v>
      </c>
      <c r="BZQ1" s="331" t="s">
        <v>2764</v>
      </c>
      <c r="BZR1" s="331" t="s">
        <v>2765</v>
      </c>
      <c r="BZS1" s="331" t="s">
        <v>2766</v>
      </c>
      <c r="BZT1" s="331" t="s">
        <v>2767</v>
      </c>
      <c r="BZU1" s="331" t="s">
        <v>2768</v>
      </c>
      <c r="BZV1" s="331" t="s">
        <v>2769</v>
      </c>
      <c r="BZW1" s="331" t="s">
        <v>2770</v>
      </c>
      <c r="BZX1" s="331" t="s">
        <v>2771</v>
      </c>
      <c r="BZY1" s="331" t="s">
        <v>2772</v>
      </c>
      <c r="BZZ1" s="331" t="s">
        <v>2773</v>
      </c>
      <c r="CAA1" s="331" t="s">
        <v>2774</v>
      </c>
      <c r="CAB1" s="331" t="s">
        <v>2775</v>
      </c>
      <c r="CAC1" s="331" t="s">
        <v>2776</v>
      </c>
      <c r="CAD1" s="331" t="s">
        <v>2777</v>
      </c>
      <c r="CAE1" s="331" t="s">
        <v>2778</v>
      </c>
      <c r="CAF1" s="331" t="s">
        <v>2779</v>
      </c>
      <c r="CAG1" s="331" t="s">
        <v>2780</v>
      </c>
      <c r="CAH1" s="331" t="s">
        <v>2781</v>
      </c>
      <c r="CAI1" s="331" t="s">
        <v>2782</v>
      </c>
      <c r="CAJ1" s="331" t="s">
        <v>2783</v>
      </c>
      <c r="CAK1" s="331" t="s">
        <v>2784</v>
      </c>
      <c r="CAL1" s="331" t="s">
        <v>2785</v>
      </c>
      <c r="CAM1" s="331" t="s">
        <v>2786</v>
      </c>
      <c r="CAN1" s="331" t="s">
        <v>2787</v>
      </c>
      <c r="CAO1" s="331" t="s">
        <v>2788</v>
      </c>
      <c r="CAP1" s="331" t="s">
        <v>2789</v>
      </c>
      <c r="CAQ1" s="331" t="s">
        <v>2790</v>
      </c>
      <c r="CAR1" s="331" t="s">
        <v>2791</v>
      </c>
      <c r="CAS1" s="331" t="s">
        <v>2792</v>
      </c>
      <c r="CAT1" s="331" t="s">
        <v>2793</v>
      </c>
      <c r="CAU1" s="331" t="s">
        <v>2794</v>
      </c>
      <c r="CAV1" s="331" t="s">
        <v>2795</v>
      </c>
      <c r="CAW1" s="331" t="s">
        <v>2796</v>
      </c>
      <c r="CAX1" s="331" t="s">
        <v>2797</v>
      </c>
      <c r="CAY1" s="331" t="s">
        <v>2798</v>
      </c>
      <c r="CAZ1" s="331" t="s">
        <v>2799</v>
      </c>
      <c r="CBA1" s="331" t="s">
        <v>2800</v>
      </c>
      <c r="CBB1" s="331" t="s">
        <v>2801</v>
      </c>
      <c r="CBC1" s="331" t="s">
        <v>2802</v>
      </c>
      <c r="CBD1" s="331" t="s">
        <v>2803</v>
      </c>
      <c r="CBE1" s="331" t="s">
        <v>2804</v>
      </c>
      <c r="CBF1" s="331" t="s">
        <v>2805</v>
      </c>
      <c r="CBG1" s="331" t="s">
        <v>2806</v>
      </c>
      <c r="CBH1" s="331" t="s">
        <v>2807</v>
      </c>
      <c r="CBI1" s="331" t="s">
        <v>2808</v>
      </c>
      <c r="CBJ1" s="331" t="s">
        <v>2809</v>
      </c>
      <c r="CBK1" s="331" t="s">
        <v>2810</v>
      </c>
      <c r="CBL1" s="331" t="s">
        <v>2811</v>
      </c>
      <c r="CBM1" s="331" t="s">
        <v>2812</v>
      </c>
      <c r="CBN1" s="331" t="s">
        <v>2813</v>
      </c>
      <c r="CBO1" s="331" t="s">
        <v>2814</v>
      </c>
      <c r="CBP1" s="331" t="s">
        <v>2815</v>
      </c>
      <c r="CBQ1" s="331" t="s">
        <v>2816</v>
      </c>
      <c r="CBR1" s="331" t="s">
        <v>2817</v>
      </c>
      <c r="CBS1" s="331" t="s">
        <v>2818</v>
      </c>
      <c r="CBT1" s="331" t="s">
        <v>2819</v>
      </c>
      <c r="CBU1" s="331" t="s">
        <v>2820</v>
      </c>
      <c r="CBV1" s="331" t="s">
        <v>2821</v>
      </c>
      <c r="CBW1" s="331" t="s">
        <v>2822</v>
      </c>
      <c r="CBX1" s="331" t="s">
        <v>2823</v>
      </c>
      <c r="CBY1" s="331" t="s">
        <v>2824</v>
      </c>
      <c r="CBZ1" s="331" t="s">
        <v>2825</v>
      </c>
      <c r="CCA1" s="331" t="s">
        <v>2826</v>
      </c>
      <c r="CCB1" s="331" t="s">
        <v>2827</v>
      </c>
      <c r="CCC1" s="331" t="s">
        <v>2828</v>
      </c>
      <c r="CCD1" s="331" t="s">
        <v>2829</v>
      </c>
      <c r="CCE1" s="331" t="s">
        <v>2830</v>
      </c>
      <c r="CCF1" s="331" t="s">
        <v>2831</v>
      </c>
      <c r="CCG1" s="331" t="s">
        <v>2832</v>
      </c>
      <c r="CCH1" s="331" t="s">
        <v>2833</v>
      </c>
      <c r="CCI1" s="331" t="s">
        <v>2834</v>
      </c>
      <c r="CCJ1" s="331" t="s">
        <v>2835</v>
      </c>
      <c r="CCK1" s="331" t="s">
        <v>2836</v>
      </c>
      <c r="CCL1" s="331" t="s">
        <v>2837</v>
      </c>
      <c r="CCM1" s="331" t="s">
        <v>2838</v>
      </c>
      <c r="CCN1" s="331" t="s">
        <v>2839</v>
      </c>
      <c r="CCO1" s="331" t="s">
        <v>2840</v>
      </c>
      <c r="CCP1" s="331" t="s">
        <v>2841</v>
      </c>
      <c r="CCQ1" s="331" t="s">
        <v>2842</v>
      </c>
      <c r="CCR1" s="331" t="s">
        <v>2843</v>
      </c>
      <c r="CCS1" s="331" t="s">
        <v>2844</v>
      </c>
      <c r="CCT1" s="331" t="s">
        <v>2845</v>
      </c>
      <c r="CCU1" s="331" t="s">
        <v>2846</v>
      </c>
      <c r="CCV1" s="331" t="s">
        <v>2847</v>
      </c>
      <c r="CCW1" s="331" t="s">
        <v>2848</v>
      </c>
      <c r="CCX1" s="331" t="s">
        <v>2849</v>
      </c>
      <c r="CCY1" s="331" t="s">
        <v>2850</v>
      </c>
      <c r="CCZ1" s="331" t="s">
        <v>2851</v>
      </c>
      <c r="CDA1" s="331" t="s">
        <v>2852</v>
      </c>
      <c r="CDB1" s="331" t="s">
        <v>2853</v>
      </c>
      <c r="CDC1" s="331" t="s">
        <v>2854</v>
      </c>
      <c r="CDD1" s="331" t="s">
        <v>2855</v>
      </c>
      <c r="CDE1" s="331" t="s">
        <v>2856</v>
      </c>
      <c r="CDF1" s="331" t="s">
        <v>2857</v>
      </c>
      <c r="CDG1" s="331" t="s">
        <v>2858</v>
      </c>
      <c r="CDH1" s="331" t="s">
        <v>2859</v>
      </c>
      <c r="CDI1" s="331" t="s">
        <v>2860</v>
      </c>
      <c r="CDJ1" s="331" t="s">
        <v>2861</v>
      </c>
      <c r="CDK1" s="331" t="s">
        <v>2862</v>
      </c>
      <c r="CDL1" s="331" t="s">
        <v>2863</v>
      </c>
      <c r="CDM1" s="331" t="s">
        <v>2864</v>
      </c>
      <c r="CDN1" s="331" t="s">
        <v>2865</v>
      </c>
      <c r="CDO1" s="331" t="s">
        <v>2866</v>
      </c>
      <c r="CDP1" s="331" t="s">
        <v>2867</v>
      </c>
      <c r="CDQ1" s="331" t="s">
        <v>2868</v>
      </c>
      <c r="CDR1" s="331" t="s">
        <v>2869</v>
      </c>
      <c r="CDS1" s="331" t="s">
        <v>2870</v>
      </c>
      <c r="CDT1" s="331" t="s">
        <v>2871</v>
      </c>
      <c r="CDU1" s="331" t="s">
        <v>2872</v>
      </c>
      <c r="CDV1" s="331" t="s">
        <v>2873</v>
      </c>
      <c r="CDW1" s="331" t="s">
        <v>2874</v>
      </c>
      <c r="CDX1" s="331" t="s">
        <v>2875</v>
      </c>
      <c r="CDY1" s="331" t="s">
        <v>2876</v>
      </c>
      <c r="CDZ1" s="331" t="s">
        <v>2877</v>
      </c>
      <c r="CEA1" s="331" t="s">
        <v>2878</v>
      </c>
      <c r="CEB1" s="331" t="s">
        <v>2879</v>
      </c>
      <c r="CEC1" s="331" t="s">
        <v>2880</v>
      </c>
      <c r="CED1" s="331" t="s">
        <v>2881</v>
      </c>
      <c r="CEE1" s="331" t="s">
        <v>2882</v>
      </c>
      <c r="CEF1" s="331" t="s">
        <v>2883</v>
      </c>
      <c r="CEG1" s="331" t="s">
        <v>2884</v>
      </c>
      <c r="CEH1" s="331" t="s">
        <v>2885</v>
      </c>
      <c r="CEI1" s="331" t="s">
        <v>2886</v>
      </c>
      <c r="CEJ1" s="331" t="s">
        <v>2887</v>
      </c>
      <c r="CEK1" s="331" t="s">
        <v>2888</v>
      </c>
      <c r="CEL1" s="331" t="s">
        <v>2889</v>
      </c>
      <c r="CEM1" s="331" t="s">
        <v>2890</v>
      </c>
      <c r="CEN1" s="331" t="s">
        <v>2891</v>
      </c>
      <c r="CEO1" s="331" t="s">
        <v>2892</v>
      </c>
      <c r="CEP1" s="331" t="s">
        <v>2893</v>
      </c>
      <c r="CEQ1" s="331" t="s">
        <v>2894</v>
      </c>
      <c r="CER1" s="331" t="s">
        <v>2895</v>
      </c>
      <c r="CES1" s="331" t="s">
        <v>2896</v>
      </c>
      <c r="CET1" s="331" t="s">
        <v>2897</v>
      </c>
      <c r="CEU1" s="331" t="s">
        <v>2898</v>
      </c>
      <c r="CEV1" s="331" t="s">
        <v>2899</v>
      </c>
      <c r="CEW1" s="331" t="s">
        <v>2900</v>
      </c>
      <c r="CEX1" s="331" t="s">
        <v>2901</v>
      </c>
      <c r="CEY1" s="331" t="s">
        <v>2902</v>
      </c>
      <c r="CEZ1" s="331" t="s">
        <v>2903</v>
      </c>
      <c r="CFA1" s="331" t="s">
        <v>2904</v>
      </c>
      <c r="CFB1" s="331" t="s">
        <v>2905</v>
      </c>
      <c r="CFC1" s="331" t="s">
        <v>2906</v>
      </c>
      <c r="CFD1" s="331" t="s">
        <v>2907</v>
      </c>
      <c r="CFE1" s="331" t="s">
        <v>2908</v>
      </c>
      <c r="CFF1" s="331" t="s">
        <v>2909</v>
      </c>
      <c r="CFG1" s="331" t="s">
        <v>2910</v>
      </c>
      <c r="CFH1" s="331" t="s">
        <v>2911</v>
      </c>
      <c r="CFI1" s="331" t="s">
        <v>2912</v>
      </c>
      <c r="CFJ1" s="331" t="s">
        <v>2913</v>
      </c>
      <c r="CFK1" s="331" t="s">
        <v>2914</v>
      </c>
      <c r="CFL1" s="331" t="s">
        <v>2915</v>
      </c>
      <c r="CFM1" s="331" t="s">
        <v>2916</v>
      </c>
      <c r="CFN1" s="331" t="s">
        <v>2917</v>
      </c>
      <c r="CFO1" s="331" t="s">
        <v>2918</v>
      </c>
      <c r="CFP1" s="331" t="s">
        <v>2919</v>
      </c>
      <c r="CFQ1" s="331" t="s">
        <v>2920</v>
      </c>
      <c r="CFR1" s="331" t="s">
        <v>2921</v>
      </c>
      <c r="CFS1" s="331" t="s">
        <v>2922</v>
      </c>
      <c r="CFT1" s="331" t="s">
        <v>2923</v>
      </c>
      <c r="CFU1" s="331" t="s">
        <v>2924</v>
      </c>
      <c r="CFV1" s="331" t="s">
        <v>2925</v>
      </c>
      <c r="CFW1" s="331" t="s">
        <v>2926</v>
      </c>
      <c r="CFX1" s="331" t="s">
        <v>2927</v>
      </c>
      <c r="CFY1" s="331" t="s">
        <v>2928</v>
      </c>
      <c r="CFZ1" s="331" t="s">
        <v>2929</v>
      </c>
      <c r="CGA1" s="331" t="s">
        <v>2930</v>
      </c>
      <c r="CGB1" s="331" t="s">
        <v>2931</v>
      </c>
      <c r="CGC1" s="331" t="s">
        <v>2932</v>
      </c>
      <c r="CGD1" s="331" t="s">
        <v>2933</v>
      </c>
      <c r="CGE1" s="331" t="s">
        <v>2934</v>
      </c>
      <c r="CGF1" s="331" t="s">
        <v>2935</v>
      </c>
      <c r="CGG1" s="331" t="s">
        <v>2936</v>
      </c>
      <c r="CGH1" s="331" t="s">
        <v>2937</v>
      </c>
      <c r="CGI1" s="331" t="s">
        <v>2938</v>
      </c>
      <c r="CGJ1" s="331" t="s">
        <v>2939</v>
      </c>
      <c r="CGK1" s="331" t="s">
        <v>2940</v>
      </c>
      <c r="CGL1" s="331" t="s">
        <v>2941</v>
      </c>
      <c r="CGM1" s="331" t="s">
        <v>2942</v>
      </c>
      <c r="CGN1" s="331" t="s">
        <v>2943</v>
      </c>
      <c r="CGO1" s="331" t="s">
        <v>2944</v>
      </c>
      <c r="CGP1" s="331" t="s">
        <v>2945</v>
      </c>
      <c r="CGQ1" s="331" t="s">
        <v>2946</v>
      </c>
      <c r="CGR1" s="331" t="s">
        <v>2947</v>
      </c>
      <c r="CGS1" s="331" t="s">
        <v>2948</v>
      </c>
      <c r="CGT1" s="331" t="s">
        <v>2949</v>
      </c>
      <c r="CGU1" s="331" t="s">
        <v>2950</v>
      </c>
      <c r="CGV1" s="331" t="s">
        <v>2951</v>
      </c>
      <c r="CGW1" s="331" t="s">
        <v>2952</v>
      </c>
      <c r="CGX1" s="331" t="s">
        <v>2953</v>
      </c>
      <c r="CGY1" s="331" t="s">
        <v>2954</v>
      </c>
      <c r="CGZ1" s="331" t="s">
        <v>2955</v>
      </c>
      <c r="CHA1" s="331" t="s">
        <v>2956</v>
      </c>
      <c r="CHB1" s="331" t="s">
        <v>2957</v>
      </c>
      <c r="CHC1" s="331" t="s">
        <v>2958</v>
      </c>
      <c r="CHD1" s="331" t="s">
        <v>2959</v>
      </c>
      <c r="CHE1" s="331" t="s">
        <v>2960</v>
      </c>
      <c r="CHF1" s="331" t="s">
        <v>2961</v>
      </c>
      <c r="CHG1" s="331" t="s">
        <v>2962</v>
      </c>
      <c r="CHH1" s="331" t="s">
        <v>2963</v>
      </c>
      <c r="CHI1" s="331" t="s">
        <v>2964</v>
      </c>
      <c r="CHJ1" s="331" t="s">
        <v>2965</v>
      </c>
      <c r="CHK1" s="331" t="s">
        <v>2966</v>
      </c>
      <c r="CHL1" s="331" t="s">
        <v>2967</v>
      </c>
      <c r="CHM1" s="331" t="s">
        <v>2968</v>
      </c>
      <c r="CHN1" s="331" t="s">
        <v>2969</v>
      </c>
      <c r="CHO1" s="331" t="s">
        <v>2970</v>
      </c>
      <c r="CHP1" s="331" t="s">
        <v>2971</v>
      </c>
      <c r="CHQ1" s="331" t="s">
        <v>2972</v>
      </c>
      <c r="CHR1" s="331" t="s">
        <v>2973</v>
      </c>
      <c r="CHS1" s="331" t="s">
        <v>2974</v>
      </c>
      <c r="CHT1" s="331" t="s">
        <v>2975</v>
      </c>
      <c r="CHU1" s="331" t="s">
        <v>2976</v>
      </c>
      <c r="CHV1" s="331" t="s">
        <v>2977</v>
      </c>
      <c r="CHW1" s="331" t="s">
        <v>2978</v>
      </c>
      <c r="CHX1" s="331" t="s">
        <v>2979</v>
      </c>
      <c r="CHY1" s="331" t="s">
        <v>2980</v>
      </c>
      <c r="CHZ1" s="331" t="s">
        <v>2981</v>
      </c>
      <c r="CIA1" s="331" t="s">
        <v>2982</v>
      </c>
      <c r="CIB1" s="331" t="s">
        <v>2983</v>
      </c>
      <c r="CIC1" s="331" t="s">
        <v>2984</v>
      </c>
      <c r="CID1" s="331" t="s">
        <v>2985</v>
      </c>
      <c r="CIE1" s="331" t="s">
        <v>2986</v>
      </c>
      <c r="CIF1" s="331" t="s">
        <v>2987</v>
      </c>
      <c r="CIG1" s="331" t="s">
        <v>2988</v>
      </c>
      <c r="CIH1" s="331" t="s">
        <v>2989</v>
      </c>
      <c r="CII1" s="331" t="s">
        <v>2990</v>
      </c>
      <c r="CIJ1" s="331" t="s">
        <v>2991</v>
      </c>
      <c r="CIK1" s="331" t="s">
        <v>2992</v>
      </c>
      <c r="CIL1" s="331" t="s">
        <v>2993</v>
      </c>
      <c r="CIM1" s="331" t="s">
        <v>2994</v>
      </c>
      <c r="CIN1" s="331" t="s">
        <v>2995</v>
      </c>
      <c r="CIO1" s="331" t="s">
        <v>2996</v>
      </c>
      <c r="CIP1" s="331" t="s">
        <v>2997</v>
      </c>
      <c r="CIQ1" s="331" t="s">
        <v>2998</v>
      </c>
      <c r="CIR1" s="331" t="s">
        <v>2999</v>
      </c>
      <c r="CIS1" s="331" t="s">
        <v>3000</v>
      </c>
      <c r="CIT1" s="331" t="s">
        <v>3001</v>
      </c>
      <c r="CIU1" s="331" t="s">
        <v>3002</v>
      </c>
      <c r="CIV1" s="331" t="s">
        <v>3003</v>
      </c>
      <c r="CIW1" s="331" t="s">
        <v>3004</v>
      </c>
      <c r="CIX1" s="331" t="s">
        <v>3005</v>
      </c>
      <c r="CIY1" s="331" t="s">
        <v>3006</v>
      </c>
      <c r="CIZ1" s="331" t="s">
        <v>3007</v>
      </c>
      <c r="CJA1" s="331" t="s">
        <v>3008</v>
      </c>
      <c r="CJB1" s="331" t="s">
        <v>3009</v>
      </c>
      <c r="CJC1" s="331" t="s">
        <v>3010</v>
      </c>
      <c r="CJD1" s="331" t="s">
        <v>3011</v>
      </c>
      <c r="CJE1" s="331" t="s">
        <v>3012</v>
      </c>
      <c r="CJF1" s="331" t="s">
        <v>3013</v>
      </c>
      <c r="CJG1" s="331" t="s">
        <v>3014</v>
      </c>
      <c r="CJH1" s="331" t="s">
        <v>3015</v>
      </c>
      <c r="CJI1" s="331" t="s">
        <v>3016</v>
      </c>
      <c r="CJJ1" s="331" t="s">
        <v>3017</v>
      </c>
      <c r="CJK1" s="331" t="s">
        <v>3018</v>
      </c>
      <c r="CJL1" s="331" t="s">
        <v>3019</v>
      </c>
      <c r="CJM1" s="331" t="s">
        <v>3020</v>
      </c>
      <c r="CJN1" s="331" t="s">
        <v>3021</v>
      </c>
      <c r="CJO1" s="331" t="s">
        <v>3022</v>
      </c>
      <c r="CJP1" s="331" t="s">
        <v>3023</v>
      </c>
      <c r="CJQ1" s="331" t="s">
        <v>3024</v>
      </c>
      <c r="CJR1" s="331" t="s">
        <v>3025</v>
      </c>
      <c r="CJS1" s="331" t="s">
        <v>3026</v>
      </c>
      <c r="CJT1" s="331" t="s">
        <v>3027</v>
      </c>
      <c r="CJU1" s="331" t="s">
        <v>3028</v>
      </c>
      <c r="CJV1" s="331" t="s">
        <v>3029</v>
      </c>
      <c r="CJW1" s="331" t="s">
        <v>3030</v>
      </c>
      <c r="CJX1" s="331" t="s">
        <v>3031</v>
      </c>
      <c r="CJY1" s="331" t="s">
        <v>3032</v>
      </c>
      <c r="CJZ1" s="331" t="s">
        <v>3033</v>
      </c>
      <c r="CKA1" s="331" t="s">
        <v>3034</v>
      </c>
      <c r="CKB1" s="331" t="s">
        <v>3035</v>
      </c>
      <c r="CKC1" s="331" t="s">
        <v>3036</v>
      </c>
      <c r="CKD1" s="331" t="s">
        <v>3037</v>
      </c>
      <c r="CKE1" s="331" t="s">
        <v>3038</v>
      </c>
      <c r="CKF1" s="331" t="s">
        <v>3039</v>
      </c>
      <c r="CKG1" s="331" t="s">
        <v>3040</v>
      </c>
      <c r="CKH1" s="331" t="s">
        <v>3041</v>
      </c>
      <c r="CKI1" s="331" t="s">
        <v>3042</v>
      </c>
      <c r="CKJ1" s="331" t="s">
        <v>3043</v>
      </c>
      <c r="CKK1" s="331" t="s">
        <v>3044</v>
      </c>
      <c r="CKL1" s="331" t="s">
        <v>3045</v>
      </c>
      <c r="CKM1" s="331" t="s">
        <v>3046</v>
      </c>
      <c r="CKN1" s="331" t="s">
        <v>3047</v>
      </c>
      <c r="CKO1" s="331" t="s">
        <v>3048</v>
      </c>
      <c r="CKP1" s="331" t="s">
        <v>3049</v>
      </c>
      <c r="CKQ1" s="331" t="s">
        <v>3050</v>
      </c>
      <c r="CKR1" s="331" t="s">
        <v>3051</v>
      </c>
      <c r="CKS1" s="331" t="s">
        <v>3052</v>
      </c>
      <c r="CKT1" s="331" t="s">
        <v>3053</v>
      </c>
      <c r="CKU1" s="331" t="s">
        <v>3054</v>
      </c>
      <c r="CKV1" s="331" t="s">
        <v>3055</v>
      </c>
      <c r="CKW1" s="331" t="s">
        <v>3056</v>
      </c>
      <c r="CKX1" s="331" t="s">
        <v>3057</v>
      </c>
      <c r="CKY1" s="331" t="s">
        <v>3058</v>
      </c>
      <c r="CKZ1" s="331" t="s">
        <v>3059</v>
      </c>
      <c r="CLA1" s="331" t="s">
        <v>3060</v>
      </c>
      <c r="CLB1" s="331" t="s">
        <v>3061</v>
      </c>
      <c r="CLC1" s="331" t="s">
        <v>3062</v>
      </c>
      <c r="CLD1" s="331" t="s">
        <v>3063</v>
      </c>
      <c r="CLE1" s="331" t="s">
        <v>3064</v>
      </c>
      <c r="CLF1" s="331" t="s">
        <v>3065</v>
      </c>
      <c r="CLG1" s="331" t="s">
        <v>3066</v>
      </c>
      <c r="CLH1" s="331" t="s">
        <v>3067</v>
      </c>
      <c r="CLI1" s="331" t="s">
        <v>3068</v>
      </c>
      <c r="CLJ1" s="331" t="s">
        <v>3069</v>
      </c>
      <c r="CLK1" s="331" t="s">
        <v>3070</v>
      </c>
      <c r="CLL1" s="331" t="s">
        <v>3071</v>
      </c>
      <c r="CLM1" s="331" t="s">
        <v>3072</v>
      </c>
      <c r="CLN1" s="331" t="s">
        <v>3073</v>
      </c>
      <c r="CLO1" s="331" t="s">
        <v>3074</v>
      </c>
      <c r="CLP1" s="331" t="s">
        <v>3075</v>
      </c>
      <c r="CLQ1" s="331" t="s">
        <v>3076</v>
      </c>
      <c r="CLR1" s="331" t="s">
        <v>3077</v>
      </c>
      <c r="CLS1" s="331" t="s">
        <v>3078</v>
      </c>
      <c r="CLT1" s="331" t="s">
        <v>3079</v>
      </c>
      <c r="CLU1" s="331" t="s">
        <v>3080</v>
      </c>
      <c r="CLV1" s="331" t="s">
        <v>3081</v>
      </c>
      <c r="CLW1" s="331" t="s">
        <v>3082</v>
      </c>
      <c r="CLX1" s="331" t="s">
        <v>3083</v>
      </c>
      <c r="CLY1" s="331" t="s">
        <v>3084</v>
      </c>
      <c r="CLZ1" s="331" t="s">
        <v>3085</v>
      </c>
      <c r="CMA1" s="331" t="s">
        <v>3086</v>
      </c>
      <c r="CMB1" s="331" t="s">
        <v>3087</v>
      </c>
      <c r="CMC1" s="331" t="s">
        <v>3088</v>
      </c>
      <c r="CMD1" s="331" t="s">
        <v>3089</v>
      </c>
      <c r="CME1" s="331" t="s">
        <v>3090</v>
      </c>
      <c r="CMF1" s="331" t="s">
        <v>3091</v>
      </c>
      <c r="CMG1" s="331" t="s">
        <v>3092</v>
      </c>
      <c r="CMH1" s="331" t="s">
        <v>3093</v>
      </c>
      <c r="CMI1" s="331" t="s">
        <v>3094</v>
      </c>
      <c r="CMJ1" s="331" t="s">
        <v>3095</v>
      </c>
      <c r="CMK1" s="331" t="s">
        <v>3096</v>
      </c>
      <c r="CML1" s="331" t="s">
        <v>3097</v>
      </c>
      <c r="CMM1" s="331" t="s">
        <v>3098</v>
      </c>
      <c r="CMN1" s="331" t="s">
        <v>3099</v>
      </c>
      <c r="CMO1" s="331" t="s">
        <v>3100</v>
      </c>
      <c r="CMP1" s="331" t="s">
        <v>3101</v>
      </c>
      <c r="CMQ1" s="331" t="s">
        <v>3102</v>
      </c>
      <c r="CMR1" s="331" t="s">
        <v>3103</v>
      </c>
      <c r="CMS1" s="331" t="s">
        <v>3104</v>
      </c>
      <c r="CMT1" s="331" t="s">
        <v>3105</v>
      </c>
      <c r="CMU1" s="331" t="s">
        <v>3106</v>
      </c>
      <c r="CMV1" s="331" t="s">
        <v>3107</v>
      </c>
      <c r="CMW1" s="331" t="s">
        <v>3108</v>
      </c>
      <c r="CMX1" s="331" t="s">
        <v>3109</v>
      </c>
      <c r="CMY1" s="331" t="s">
        <v>3110</v>
      </c>
      <c r="CMZ1" s="331" t="s">
        <v>3111</v>
      </c>
      <c r="CNA1" s="331" t="s">
        <v>3112</v>
      </c>
      <c r="CNB1" s="331" t="s">
        <v>3113</v>
      </c>
      <c r="CNC1" s="331" t="s">
        <v>3114</v>
      </c>
      <c r="CND1" s="331" t="s">
        <v>3115</v>
      </c>
      <c r="CNE1" s="331" t="s">
        <v>3116</v>
      </c>
      <c r="CNF1" s="331" t="s">
        <v>3117</v>
      </c>
      <c r="CNG1" s="331" t="s">
        <v>3118</v>
      </c>
      <c r="CNH1" s="331" t="s">
        <v>3119</v>
      </c>
      <c r="CNI1" s="331" t="s">
        <v>3120</v>
      </c>
      <c r="CNJ1" s="331" t="s">
        <v>3121</v>
      </c>
      <c r="CNK1" s="331" t="s">
        <v>3122</v>
      </c>
      <c r="CNL1" s="331" t="s">
        <v>3123</v>
      </c>
      <c r="CNM1" s="331" t="s">
        <v>3124</v>
      </c>
      <c r="CNN1" s="331" t="s">
        <v>3125</v>
      </c>
      <c r="CNO1" s="331" t="s">
        <v>3126</v>
      </c>
      <c r="CNP1" s="331" t="s">
        <v>3127</v>
      </c>
      <c r="CNQ1" s="331" t="s">
        <v>3128</v>
      </c>
      <c r="CNR1" s="331" t="s">
        <v>3129</v>
      </c>
      <c r="CNS1" s="331" t="s">
        <v>3130</v>
      </c>
      <c r="CNT1" s="331" t="s">
        <v>3131</v>
      </c>
      <c r="CNU1" s="331" t="s">
        <v>3132</v>
      </c>
      <c r="CNV1" s="331" t="s">
        <v>3133</v>
      </c>
      <c r="CNW1" s="331" t="s">
        <v>3134</v>
      </c>
      <c r="CNX1" s="331" t="s">
        <v>3135</v>
      </c>
      <c r="CNY1" s="331" t="s">
        <v>3136</v>
      </c>
      <c r="CNZ1" s="331" t="s">
        <v>3137</v>
      </c>
      <c r="COA1" s="331" t="s">
        <v>3138</v>
      </c>
      <c r="COB1" s="331" t="s">
        <v>3139</v>
      </c>
      <c r="COC1" s="331" t="s">
        <v>3140</v>
      </c>
      <c r="COD1" s="331" t="s">
        <v>3141</v>
      </c>
      <c r="COE1" s="331" t="s">
        <v>3142</v>
      </c>
      <c r="COF1" s="331" t="s">
        <v>3143</v>
      </c>
      <c r="COG1" s="331" t="s">
        <v>3144</v>
      </c>
      <c r="COH1" s="331" t="s">
        <v>3145</v>
      </c>
      <c r="COI1" s="331" t="s">
        <v>3146</v>
      </c>
      <c r="COJ1" s="331" t="s">
        <v>3147</v>
      </c>
      <c r="COK1" s="331" t="s">
        <v>3148</v>
      </c>
      <c r="COL1" s="331" t="s">
        <v>3149</v>
      </c>
      <c r="COM1" s="331" t="s">
        <v>3150</v>
      </c>
      <c r="CON1" s="331" t="s">
        <v>3151</v>
      </c>
      <c r="COO1" s="331" t="s">
        <v>3152</v>
      </c>
      <c r="COP1" s="331" t="s">
        <v>3153</v>
      </c>
      <c r="COQ1" s="331" t="s">
        <v>3154</v>
      </c>
      <c r="COR1" s="331" t="s">
        <v>3155</v>
      </c>
      <c r="COS1" s="331" t="s">
        <v>3156</v>
      </c>
      <c r="COT1" s="331" t="s">
        <v>3157</v>
      </c>
      <c r="COU1" s="331" t="s">
        <v>3158</v>
      </c>
      <c r="COV1" s="331" t="s">
        <v>3159</v>
      </c>
      <c r="COW1" s="331" t="s">
        <v>3160</v>
      </c>
      <c r="COX1" s="331" t="s">
        <v>3161</v>
      </c>
      <c r="COY1" s="331" t="s">
        <v>3162</v>
      </c>
      <c r="COZ1" s="331" t="s">
        <v>3163</v>
      </c>
      <c r="CPA1" s="331" t="s">
        <v>3164</v>
      </c>
      <c r="CPB1" s="331" t="s">
        <v>3165</v>
      </c>
      <c r="CPC1" s="331" t="s">
        <v>3166</v>
      </c>
      <c r="CPD1" s="331" t="s">
        <v>3167</v>
      </c>
      <c r="CPE1" s="331" t="s">
        <v>3168</v>
      </c>
      <c r="CPF1" s="331" t="s">
        <v>3169</v>
      </c>
      <c r="CPG1" s="331" t="s">
        <v>3170</v>
      </c>
      <c r="CPH1" s="331" t="s">
        <v>3171</v>
      </c>
      <c r="CPI1" s="331" t="s">
        <v>3172</v>
      </c>
      <c r="CPJ1" s="331" t="s">
        <v>3173</v>
      </c>
      <c r="CPK1" s="331" t="s">
        <v>3174</v>
      </c>
      <c r="CPL1" s="331" t="s">
        <v>3175</v>
      </c>
      <c r="CPM1" s="331" t="s">
        <v>3176</v>
      </c>
      <c r="CPN1" s="331" t="s">
        <v>3177</v>
      </c>
      <c r="CPO1" s="331" t="s">
        <v>3178</v>
      </c>
      <c r="CPP1" s="331" t="s">
        <v>3179</v>
      </c>
      <c r="CPQ1" s="331" t="s">
        <v>3180</v>
      </c>
      <c r="CPR1" s="331" t="s">
        <v>3181</v>
      </c>
      <c r="CPS1" s="331" t="s">
        <v>3182</v>
      </c>
      <c r="CPT1" s="331" t="s">
        <v>3183</v>
      </c>
      <c r="CPU1" s="331" t="s">
        <v>3184</v>
      </c>
      <c r="CPV1" s="331" t="s">
        <v>3185</v>
      </c>
      <c r="CPW1" s="331" t="s">
        <v>3186</v>
      </c>
      <c r="CPX1" s="331" t="s">
        <v>3187</v>
      </c>
      <c r="CPY1" s="331" t="s">
        <v>3188</v>
      </c>
      <c r="CPZ1" s="331" t="s">
        <v>3189</v>
      </c>
      <c r="CQA1" s="331" t="s">
        <v>3190</v>
      </c>
      <c r="CQB1" s="331" t="s">
        <v>3191</v>
      </c>
      <c r="CQC1" s="331" t="s">
        <v>3192</v>
      </c>
      <c r="CQD1" s="331" t="s">
        <v>3193</v>
      </c>
      <c r="CQE1" s="331" t="s">
        <v>3194</v>
      </c>
      <c r="CQF1" s="331" t="s">
        <v>3195</v>
      </c>
      <c r="CQG1" s="331" t="s">
        <v>3196</v>
      </c>
      <c r="CQH1" s="331" t="s">
        <v>3197</v>
      </c>
      <c r="CQI1" s="331" t="s">
        <v>3198</v>
      </c>
      <c r="CQJ1" s="331" t="s">
        <v>3199</v>
      </c>
      <c r="CQK1" s="331" t="s">
        <v>3200</v>
      </c>
      <c r="CQL1" s="331" t="s">
        <v>3201</v>
      </c>
      <c r="CQM1" s="331" t="s">
        <v>3202</v>
      </c>
      <c r="CQN1" s="331" t="s">
        <v>3203</v>
      </c>
      <c r="CQO1" s="331" t="s">
        <v>3204</v>
      </c>
      <c r="CQP1" s="331" t="s">
        <v>3205</v>
      </c>
      <c r="CQQ1" s="331" t="s">
        <v>3206</v>
      </c>
      <c r="CQR1" s="331" t="s">
        <v>3207</v>
      </c>
      <c r="CQS1" s="331" t="s">
        <v>3208</v>
      </c>
      <c r="CQT1" s="331" t="s">
        <v>3209</v>
      </c>
      <c r="CQU1" s="331" t="s">
        <v>3210</v>
      </c>
      <c r="CQV1" s="331" t="s">
        <v>3211</v>
      </c>
      <c r="CQW1" s="331" t="s">
        <v>3212</v>
      </c>
      <c r="CQX1" s="331" t="s">
        <v>3213</v>
      </c>
      <c r="CQY1" s="331" t="s">
        <v>3214</v>
      </c>
      <c r="CQZ1" s="331" t="s">
        <v>3215</v>
      </c>
      <c r="CRA1" s="331" t="s">
        <v>3216</v>
      </c>
      <c r="CRB1" s="331" t="s">
        <v>3217</v>
      </c>
      <c r="CRC1" s="331" t="s">
        <v>3218</v>
      </c>
      <c r="CRD1" s="331" t="s">
        <v>3219</v>
      </c>
      <c r="CRE1" s="331" t="s">
        <v>3220</v>
      </c>
      <c r="CRF1" s="331" t="s">
        <v>3221</v>
      </c>
      <c r="CRG1" s="331" t="s">
        <v>3222</v>
      </c>
      <c r="CRH1" s="331" t="s">
        <v>3223</v>
      </c>
      <c r="CRI1" s="331" t="s">
        <v>3224</v>
      </c>
      <c r="CRJ1" s="331" t="s">
        <v>3225</v>
      </c>
      <c r="CRK1" s="331" t="s">
        <v>3226</v>
      </c>
      <c r="CRL1" s="331" t="s">
        <v>3227</v>
      </c>
      <c r="CRM1" s="331" t="s">
        <v>3228</v>
      </c>
      <c r="CRN1" s="331" t="s">
        <v>3229</v>
      </c>
      <c r="CRO1" s="331" t="s">
        <v>3230</v>
      </c>
      <c r="CRP1" s="331" t="s">
        <v>3231</v>
      </c>
      <c r="CRQ1" s="331" t="s">
        <v>3232</v>
      </c>
      <c r="CRR1" s="331" t="s">
        <v>3233</v>
      </c>
      <c r="CRS1" s="331" t="s">
        <v>3234</v>
      </c>
      <c r="CRT1" s="331" t="s">
        <v>3235</v>
      </c>
      <c r="CRU1" s="331" t="s">
        <v>3236</v>
      </c>
      <c r="CRV1" s="331" t="s">
        <v>3237</v>
      </c>
      <c r="CRW1" s="331" t="s">
        <v>3238</v>
      </c>
      <c r="CRX1" s="331" t="s">
        <v>3239</v>
      </c>
      <c r="CRY1" s="331" t="s">
        <v>3240</v>
      </c>
      <c r="CRZ1" s="331" t="s">
        <v>3241</v>
      </c>
      <c r="CSA1" s="331" t="s">
        <v>3242</v>
      </c>
      <c r="CSB1" s="331" t="s">
        <v>3243</v>
      </c>
      <c r="CSC1" s="331" t="s">
        <v>3244</v>
      </c>
      <c r="CSD1" s="331" t="s">
        <v>3245</v>
      </c>
      <c r="CSE1" s="331" t="s">
        <v>3246</v>
      </c>
      <c r="CSF1" s="331" t="s">
        <v>3247</v>
      </c>
      <c r="CSG1" s="331" t="s">
        <v>3248</v>
      </c>
      <c r="CSH1" s="331" t="s">
        <v>3249</v>
      </c>
      <c r="CSI1" s="331" t="s">
        <v>3250</v>
      </c>
      <c r="CSJ1" s="331" t="s">
        <v>3251</v>
      </c>
      <c r="CSK1" s="331" t="s">
        <v>3252</v>
      </c>
      <c r="CSL1" s="331" t="s">
        <v>3253</v>
      </c>
      <c r="CSM1" s="331" t="s">
        <v>3254</v>
      </c>
      <c r="CSN1" s="331" t="s">
        <v>3255</v>
      </c>
      <c r="CSO1" s="331" t="s">
        <v>3256</v>
      </c>
      <c r="CSP1" s="331" t="s">
        <v>3257</v>
      </c>
      <c r="CSQ1" s="331" t="s">
        <v>3258</v>
      </c>
      <c r="CSR1" s="331" t="s">
        <v>3259</v>
      </c>
      <c r="CSS1" s="331" t="s">
        <v>3260</v>
      </c>
      <c r="CST1" s="331" t="s">
        <v>3261</v>
      </c>
      <c r="CSU1" s="331" t="s">
        <v>3262</v>
      </c>
      <c r="CSV1" s="331" t="s">
        <v>3263</v>
      </c>
      <c r="CSW1" s="331" t="s">
        <v>3264</v>
      </c>
      <c r="CSX1" s="331" t="s">
        <v>3265</v>
      </c>
      <c r="CSY1" s="331" t="s">
        <v>3266</v>
      </c>
      <c r="CSZ1" s="331" t="s">
        <v>3267</v>
      </c>
      <c r="CTA1" s="331" t="s">
        <v>3268</v>
      </c>
      <c r="CTB1" s="331" t="s">
        <v>3269</v>
      </c>
      <c r="CTC1" s="331" t="s">
        <v>3270</v>
      </c>
      <c r="CTD1" s="331" t="s">
        <v>3271</v>
      </c>
      <c r="CTE1" s="331" t="s">
        <v>3272</v>
      </c>
      <c r="CTF1" s="331" t="s">
        <v>3273</v>
      </c>
      <c r="CTG1" s="331" t="s">
        <v>3274</v>
      </c>
      <c r="CTH1" s="331" t="s">
        <v>3275</v>
      </c>
      <c r="CTI1" s="331" t="s">
        <v>3276</v>
      </c>
      <c r="CTJ1" s="331" t="s">
        <v>3277</v>
      </c>
      <c r="CTK1" s="331" t="s">
        <v>3278</v>
      </c>
      <c r="CTL1" s="331" t="s">
        <v>3279</v>
      </c>
      <c r="CTM1" s="331" t="s">
        <v>3280</v>
      </c>
      <c r="CTN1" s="331" t="s">
        <v>3281</v>
      </c>
      <c r="CTO1" s="331" t="s">
        <v>3282</v>
      </c>
      <c r="CTP1" s="331" t="s">
        <v>3283</v>
      </c>
      <c r="CTQ1" s="331" t="s">
        <v>3284</v>
      </c>
      <c r="CTR1" s="331" t="s">
        <v>3285</v>
      </c>
      <c r="CTS1" s="331" t="s">
        <v>3286</v>
      </c>
      <c r="CTT1" s="331" t="s">
        <v>3287</v>
      </c>
      <c r="CTU1" s="331" t="s">
        <v>3288</v>
      </c>
      <c r="CTV1" s="331" t="s">
        <v>3289</v>
      </c>
      <c r="CTW1" s="331" t="s">
        <v>3290</v>
      </c>
      <c r="CTX1" s="331" t="s">
        <v>3291</v>
      </c>
      <c r="CTY1" s="331" t="s">
        <v>3292</v>
      </c>
      <c r="CTZ1" s="331" t="s">
        <v>3293</v>
      </c>
      <c r="CUA1" s="331" t="s">
        <v>3294</v>
      </c>
      <c r="CUB1" s="331" t="s">
        <v>3295</v>
      </c>
      <c r="CUC1" s="331" t="s">
        <v>3296</v>
      </c>
      <c r="CUD1" s="331" t="s">
        <v>3297</v>
      </c>
      <c r="CUE1" s="331" t="s">
        <v>3298</v>
      </c>
      <c r="CUF1" s="331" t="s">
        <v>3299</v>
      </c>
      <c r="CUG1" s="331" t="s">
        <v>3300</v>
      </c>
      <c r="CUH1" s="331" t="s">
        <v>3301</v>
      </c>
      <c r="CUI1" s="331" t="s">
        <v>3302</v>
      </c>
      <c r="CUJ1" s="331" t="s">
        <v>3303</v>
      </c>
      <c r="CUK1" s="331" t="s">
        <v>3304</v>
      </c>
      <c r="CUL1" s="331" t="s">
        <v>3305</v>
      </c>
      <c r="CUM1" s="331" t="s">
        <v>3306</v>
      </c>
      <c r="CUN1" s="331" t="s">
        <v>3307</v>
      </c>
      <c r="CUO1" s="331" t="s">
        <v>3308</v>
      </c>
      <c r="CUP1" s="331" t="s">
        <v>3309</v>
      </c>
      <c r="CUQ1" s="331" t="s">
        <v>3310</v>
      </c>
      <c r="CUR1" s="331" t="s">
        <v>3311</v>
      </c>
      <c r="CUS1" s="331" t="s">
        <v>3312</v>
      </c>
      <c r="CUT1" s="331" t="s">
        <v>3313</v>
      </c>
      <c r="CUU1" s="331" t="s">
        <v>3314</v>
      </c>
      <c r="CUV1" s="331" t="s">
        <v>3315</v>
      </c>
      <c r="CUW1" s="331" t="s">
        <v>3316</v>
      </c>
      <c r="CUX1" s="331" t="s">
        <v>3317</v>
      </c>
      <c r="CUY1" s="331" t="s">
        <v>3318</v>
      </c>
      <c r="CUZ1" s="331" t="s">
        <v>3319</v>
      </c>
      <c r="CVA1" s="331" t="s">
        <v>3320</v>
      </c>
      <c r="CVB1" s="331" t="s">
        <v>3321</v>
      </c>
      <c r="CVC1" s="331" t="s">
        <v>3322</v>
      </c>
      <c r="CVD1" s="331" t="s">
        <v>3323</v>
      </c>
      <c r="CVE1" s="331" t="s">
        <v>3324</v>
      </c>
      <c r="CVF1" s="331" t="s">
        <v>3325</v>
      </c>
      <c r="CVG1" s="331" t="s">
        <v>3326</v>
      </c>
      <c r="CVH1" s="331" t="s">
        <v>3327</v>
      </c>
      <c r="CVI1" s="331" t="s">
        <v>3328</v>
      </c>
      <c r="CVJ1" s="331" t="s">
        <v>3329</v>
      </c>
      <c r="CVK1" s="331" t="s">
        <v>3330</v>
      </c>
      <c r="CVL1" s="331" t="s">
        <v>3331</v>
      </c>
      <c r="CVM1" s="331" t="s">
        <v>3332</v>
      </c>
      <c r="CVN1" s="331" t="s">
        <v>3333</v>
      </c>
      <c r="CVO1" s="331" t="s">
        <v>3334</v>
      </c>
      <c r="CVP1" s="331" t="s">
        <v>3335</v>
      </c>
      <c r="CVQ1" s="331" t="s">
        <v>3336</v>
      </c>
      <c r="CVR1" s="331" t="s">
        <v>3337</v>
      </c>
      <c r="CVS1" s="331" t="s">
        <v>3338</v>
      </c>
      <c r="CVT1" s="331" t="s">
        <v>3339</v>
      </c>
      <c r="CVU1" s="331" t="s">
        <v>3340</v>
      </c>
      <c r="CVV1" s="331" t="s">
        <v>3341</v>
      </c>
      <c r="CVW1" s="331" t="s">
        <v>3342</v>
      </c>
      <c r="CVX1" s="331" t="s">
        <v>3343</v>
      </c>
      <c r="CVY1" s="331" t="s">
        <v>3344</v>
      </c>
      <c r="CVZ1" s="331" t="s">
        <v>3345</v>
      </c>
      <c r="CWA1" s="331" t="s">
        <v>3346</v>
      </c>
      <c r="CWB1" s="331" t="s">
        <v>3347</v>
      </c>
      <c r="CWC1" s="331" t="s">
        <v>3348</v>
      </c>
      <c r="CWD1" s="331" t="s">
        <v>3349</v>
      </c>
      <c r="CWE1" s="331" t="s">
        <v>3350</v>
      </c>
      <c r="CWF1" s="331" t="s">
        <v>3351</v>
      </c>
      <c r="CWG1" s="331" t="s">
        <v>3352</v>
      </c>
      <c r="CWH1" s="331" t="s">
        <v>3353</v>
      </c>
      <c r="CWI1" s="331" t="s">
        <v>3354</v>
      </c>
      <c r="CWJ1" s="331" t="s">
        <v>3355</v>
      </c>
      <c r="CWK1" s="331" t="s">
        <v>3356</v>
      </c>
      <c r="CWL1" s="331" t="s">
        <v>3357</v>
      </c>
      <c r="CWM1" s="331" t="s">
        <v>3358</v>
      </c>
      <c r="CWN1" s="331" t="s">
        <v>3359</v>
      </c>
      <c r="CWO1" s="331" t="s">
        <v>3360</v>
      </c>
      <c r="CWP1" s="331" t="s">
        <v>3361</v>
      </c>
      <c r="CWQ1" s="331" t="s">
        <v>3362</v>
      </c>
      <c r="CWR1" s="331" t="s">
        <v>3363</v>
      </c>
      <c r="CWS1" s="331" t="s">
        <v>3364</v>
      </c>
      <c r="CWT1" s="331" t="s">
        <v>3365</v>
      </c>
      <c r="CWU1" s="331" t="s">
        <v>3366</v>
      </c>
      <c r="CWV1" s="331" t="s">
        <v>3367</v>
      </c>
      <c r="CWW1" s="331" t="s">
        <v>3368</v>
      </c>
      <c r="CWX1" s="331" t="s">
        <v>3369</v>
      </c>
      <c r="CWY1" s="331" t="s">
        <v>3370</v>
      </c>
      <c r="CWZ1" s="331" t="s">
        <v>3371</v>
      </c>
      <c r="CXA1" s="331" t="s">
        <v>3372</v>
      </c>
      <c r="CXB1" s="331" t="s">
        <v>3373</v>
      </c>
      <c r="CXC1" s="331" t="s">
        <v>3374</v>
      </c>
      <c r="CXD1" s="331" t="s">
        <v>3375</v>
      </c>
      <c r="CXE1" s="331" t="s">
        <v>3376</v>
      </c>
      <c r="CXF1" s="331" t="s">
        <v>3377</v>
      </c>
      <c r="CXG1" s="331" t="s">
        <v>3378</v>
      </c>
      <c r="CXH1" s="331" t="s">
        <v>3379</v>
      </c>
      <c r="CXI1" s="331" t="s">
        <v>3380</v>
      </c>
      <c r="CXJ1" s="331" t="s">
        <v>3381</v>
      </c>
      <c r="CXK1" s="331" t="s">
        <v>3382</v>
      </c>
      <c r="CXL1" s="331" t="s">
        <v>3383</v>
      </c>
      <c r="CXM1" s="331" t="s">
        <v>3384</v>
      </c>
      <c r="CXN1" s="331" t="s">
        <v>3385</v>
      </c>
      <c r="CXO1" s="331" t="s">
        <v>3386</v>
      </c>
      <c r="CXP1" s="331" t="s">
        <v>3387</v>
      </c>
      <c r="CXQ1" s="331" t="s">
        <v>3388</v>
      </c>
      <c r="CXR1" s="331" t="s">
        <v>3389</v>
      </c>
      <c r="CXS1" s="331" t="s">
        <v>3390</v>
      </c>
      <c r="CXT1" s="331" t="s">
        <v>3391</v>
      </c>
      <c r="CXU1" s="331" t="s">
        <v>3392</v>
      </c>
      <c r="CXV1" s="331" t="s">
        <v>3393</v>
      </c>
      <c r="CXW1" s="331" t="s">
        <v>3394</v>
      </c>
      <c r="CXX1" s="331" t="s">
        <v>3395</v>
      </c>
      <c r="CXY1" s="331" t="s">
        <v>3396</v>
      </c>
      <c r="CXZ1" s="331" t="s">
        <v>3397</v>
      </c>
      <c r="CYA1" s="331" t="s">
        <v>3398</v>
      </c>
      <c r="CYB1" s="331" t="s">
        <v>3399</v>
      </c>
      <c r="CYC1" s="331" t="s">
        <v>3400</v>
      </c>
      <c r="CYD1" s="331" t="s">
        <v>3401</v>
      </c>
      <c r="CYE1" s="331" t="s">
        <v>3402</v>
      </c>
      <c r="CYF1" s="331" t="s">
        <v>3403</v>
      </c>
      <c r="CYG1" s="331" t="s">
        <v>3404</v>
      </c>
      <c r="CYH1" s="331" t="s">
        <v>3405</v>
      </c>
      <c r="CYI1" s="331" t="s">
        <v>3406</v>
      </c>
      <c r="CYJ1" s="331" t="s">
        <v>3407</v>
      </c>
      <c r="CYK1" s="331" t="s">
        <v>3408</v>
      </c>
      <c r="CYL1" s="331" t="s">
        <v>3409</v>
      </c>
      <c r="CYM1" s="331" t="s">
        <v>3410</v>
      </c>
      <c r="CYN1" s="331" t="s">
        <v>3411</v>
      </c>
      <c r="CYO1" s="331" t="s">
        <v>3412</v>
      </c>
      <c r="CYP1" s="331" t="s">
        <v>3413</v>
      </c>
      <c r="CYQ1" s="331" t="s">
        <v>3414</v>
      </c>
      <c r="CYR1" s="331" t="s">
        <v>3415</v>
      </c>
      <c r="CYS1" s="331" t="s">
        <v>3416</v>
      </c>
      <c r="CYT1" s="331" t="s">
        <v>3417</v>
      </c>
      <c r="CYU1" s="331" t="s">
        <v>3418</v>
      </c>
      <c r="CYV1" s="331" t="s">
        <v>3419</v>
      </c>
      <c r="CYW1" s="331" t="s">
        <v>3420</v>
      </c>
      <c r="CYX1" s="331" t="s">
        <v>3421</v>
      </c>
      <c r="CYY1" s="331" t="s">
        <v>3422</v>
      </c>
      <c r="CYZ1" s="331" t="s">
        <v>3423</v>
      </c>
      <c r="CZA1" s="331" t="s">
        <v>3424</v>
      </c>
      <c r="CZB1" s="331" t="s">
        <v>3425</v>
      </c>
      <c r="CZC1" s="331" t="s">
        <v>3426</v>
      </c>
      <c r="CZD1" s="331" t="s">
        <v>3427</v>
      </c>
      <c r="CZE1" s="331" t="s">
        <v>3428</v>
      </c>
      <c r="CZF1" s="331" t="s">
        <v>3429</v>
      </c>
      <c r="CZG1" s="331" t="s">
        <v>3430</v>
      </c>
      <c r="CZH1" s="331" t="s">
        <v>3431</v>
      </c>
      <c r="CZI1" s="331" t="s">
        <v>3432</v>
      </c>
      <c r="CZJ1" s="331" t="s">
        <v>3433</v>
      </c>
      <c r="CZK1" s="331" t="s">
        <v>3434</v>
      </c>
      <c r="CZL1" s="331" t="s">
        <v>3435</v>
      </c>
      <c r="CZM1" s="331" t="s">
        <v>3436</v>
      </c>
      <c r="CZN1" s="331" t="s">
        <v>3437</v>
      </c>
      <c r="CZO1" s="331" t="s">
        <v>3438</v>
      </c>
      <c r="CZP1" s="331" t="s">
        <v>3439</v>
      </c>
      <c r="CZQ1" s="331" t="s">
        <v>3440</v>
      </c>
      <c r="CZR1" s="331" t="s">
        <v>3441</v>
      </c>
      <c r="CZS1" s="331" t="s">
        <v>3442</v>
      </c>
      <c r="CZT1" s="331" t="s">
        <v>3443</v>
      </c>
      <c r="CZU1" s="331" t="s">
        <v>3444</v>
      </c>
      <c r="CZV1" s="331" t="s">
        <v>3445</v>
      </c>
      <c r="CZW1" s="331" t="s">
        <v>3446</v>
      </c>
      <c r="CZX1" s="331" t="s">
        <v>3447</v>
      </c>
      <c r="CZY1" s="331" t="s">
        <v>3448</v>
      </c>
      <c r="CZZ1" s="331" t="s">
        <v>3449</v>
      </c>
      <c r="DAA1" s="331" t="s">
        <v>3450</v>
      </c>
      <c r="DAB1" s="331" t="s">
        <v>3451</v>
      </c>
      <c r="DAC1" s="331" t="s">
        <v>3452</v>
      </c>
      <c r="DAD1" s="331" t="s">
        <v>3453</v>
      </c>
      <c r="DAE1" s="331" t="s">
        <v>3454</v>
      </c>
      <c r="DAF1" s="331" t="s">
        <v>3455</v>
      </c>
      <c r="DAG1" s="331" t="s">
        <v>3456</v>
      </c>
      <c r="DAH1" s="331" t="s">
        <v>3457</v>
      </c>
      <c r="DAI1" s="331" t="s">
        <v>3458</v>
      </c>
      <c r="DAJ1" s="331" t="s">
        <v>3459</v>
      </c>
      <c r="DAK1" s="331" t="s">
        <v>3460</v>
      </c>
      <c r="DAL1" s="331" t="s">
        <v>3461</v>
      </c>
      <c r="DAM1" s="331" t="s">
        <v>3462</v>
      </c>
      <c r="DAN1" s="331" t="s">
        <v>3463</v>
      </c>
      <c r="DAO1" s="331" t="s">
        <v>3464</v>
      </c>
      <c r="DAP1" s="331" t="s">
        <v>3465</v>
      </c>
      <c r="DAQ1" s="331" t="s">
        <v>3466</v>
      </c>
      <c r="DAR1" s="331" t="s">
        <v>3467</v>
      </c>
      <c r="DAS1" s="331" t="s">
        <v>3468</v>
      </c>
      <c r="DAT1" s="331" t="s">
        <v>3469</v>
      </c>
      <c r="DAU1" s="331" t="s">
        <v>3470</v>
      </c>
      <c r="DAV1" s="331" t="s">
        <v>3471</v>
      </c>
      <c r="DAW1" s="331" t="s">
        <v>3472</v>
      </c>
      <c r="DAX1" s="331" t="s">
        <v>3473</v>
      </c>
      <c r="DAY1" s="331" t="s">
        <v>3474</v>
      </c>
      <c r="DAZ1" s="331" t="s">
        <v>3475</v>
      </c>
      <c r="DBA1" s="331" t="s">
        <v>3476</v>
      </c>
      <c r="DBB1" s="331" t="s">
        <v>3477</v>
      </c>
      <c r="DBC1" s="331" t="s">
        <v>3478</v>
      </c>
      <c r="DBD1" s="331" t="s">
        <v>3479</v>
      </c>
      <c r="DBE1" s="331" t="s">
        <v>3480</v>
      </c>
      <c r="DBF1" s="331" t="s">
        <v>3481</v>
      </c>
      <c r="DBG1" s="331" t="s">
        <v>3482</v>
      </c>
      <c r="DBH1" s="331" t="s">
        <v>3483</v>
      </c>
      <c r="DBI1" s="331" t="s">
        <v>3484</v>
      </c>
      <c r="DBJ1" s="331" t="s">
        <v>3485</v>
      </c>
      <c r="DBK1" s="331" t="s">
        <v>3486</v>
      </c>
      <c r="DBL1" s="331" t="s">
        <v>3487</v>
      </c>
      <c r="DBM1" s="331" t="s">
        <v>3488</v>
      </c>
      <c r="DBN1" s="331" t="s">
        <v>3489</v>
      </c>
      <c r="DBO1" s="331" t="s">
        <v>3490</v>
      </c>
      <c r="DBP1" s="331" t="s">
        <v>3491</v>
      </c>
      <c r="DBQ1" s="331" t="s">
        <v>3492</v>
      </c>
      <c r="DBR1" s="331" t="s">
        <v>3493</v>
      </c>
      <c r="DBS1" s="331" t="s">
        <v>3494</v>
      </c>
      <c r="DBT1" s="331" t="s">
        <v>3495</v>
      </c>
      <c r="DBU1" s="331" t="s">
        <v>3496</v>
      </c>
      <c r="DBV1" s="331" t="s">
        <v>3497</v>
      </c>
      <c r="DBW1" s="331" t="s">
        <v>3498</v>
      </c>
      <c r="DBX1" s="331" t="s">
        <v>3499</v>
      </c>
      <c r="DBY1" s="331" t="s">
        <v>3500</v>
      </c>
      <c r="DBZ1" s="331" t="s">
        <v>3501</v>
      </c>
      <c r="DCA1" s="331" t="s">
        <v>3502</v>
      </c>
      <c r="DCB1" s="331" t="s">
        <v>3503</v>
      </c>
      <c r="DCC1" s="331" t="s">
        <v>3504</v>
      </c>
      <c r="DCD1" s="331" t="s">
        <v>3505</v>
      </c>
      <c r="DCE1" s="331" t="s">
        <v>3506</v>
      </c>
      <c r="DCF1" s="331" t="s">
        <v>3507</v>
      </c>
      <c r="DCG1" s="331" t="s">
        <v>3508</v>
      </c>
      <c r="DCH1" s="331" t="s">
        <v>3509</v>
      </c>
      <c r="DCI1" s="331" t="s">
        <v>3510</v>
      </c>
      <c r="DCJ1" s="331" t="s">
        <v>3511</v>
      </c>
      <c r="DCK1" s="331" t="s">
        <v>3512</v>
      </c>
      <c r="DCL1" s="331" t="s">
        <v>3513</v>
      </c>
      <c r="DCM1" s="331" t="s">
        <v>3514</v>
      </c>
      <c r="DCN1" s="331" t="s">
        <v>3515</v>
      </c>
      <c r="DCO1" s="331" t="s">
        <v>3516</v>
      </c>
      <c r="DCP1" s="331" t="s">
        <v>3517</v>
      </c>
      <c r="DCQ1" s="331" t="s">
        <v>3518</v>
      </c>
      <c r="DCR1" s="331" t="s">
        <v>3519</v>
      </c>
      <c r="DCS1" s="331" t="s">
        <v>3520</v>
      </c>
      <c r="DCT1" s="331" t="s">
        <v>3521</v>
      </c>
      <c r="DCU1" s="331" t="s">
        <v>3522</v>
      </c>
      <c r="DCV1" s="331" t="s">
        <v>3523</v>
      </c>
      <c r="DCW1" s="331" t="s">
        <v>3524</v>
      </c>
      <c r="DCX1" s="331" t="s">
        <v>3525</v>
      </c>
      <c r="DCY1" s="331" t="s">
        <v>3526</v>
      </c>
      <c r="DCZ1" s="331" t="s">
        <v>3527</v>
      </c>
      <c r="DDA1" s="331" t="s">
        <v>3528</v>
      </c>
      <c r="DDB1" s="331" t="s">
        <v>3529</v>
      </c>
      <c r="DDC1" s="331" t="s">
        <v>3530</v>
      </c>
      <c r="DDD1" s="331" t="s">
        <v>3531</v>
      </c>
      <c r="DDE1" s="331" t="s">
        <v>3532</v>
      </c>
      <c r="DDF1" s="331" t="s">
        <v>3533</v>
      </c>
      <c r="DDG1" s="331" t="s">
        <v>3534</v>
      </c>
      <c r="DDH1" s="331" t="s">
        <v>3535</v>
      </c>
      <c r="DDI1" s="331" t="s">
        <v>3536</v>
      </c>
      <c r="DDJ1" s="331" t="s">
        <v>3537</v>
      </c>
      <c r="DDK1" s="331" t="s">
        <v>3538</v>
      </c>
      <c r="DDL1" s="331" t="s">
        <v>3539</v>
      </c>
      <c r="DDM1" s="331" t="s">
        <v>3540</v>
      </c>
      <c r="DDN1" s="331" t="s">
        <v>3541</v>
      </c>
      <c r="DDO1" s="331" t="s">
        <v>3542</v>
      </c>
      <c r="DDP1" s="331" t="s">
        <v>3543</v>
      </c>
      <c r="DDQ1" s="331" t="s">
        <v>3544</v>
      </c>
      <c r="DDR1" s="331" t="s">
        <v>3545</v>
      </c>
      <c r="DDS1" s="331" t="s">
        <v>3546</v>
      </c>
      <c r="DDT1" s="331" t="s">
        <v>3547</v>
      </c>
      <c r="DDU1" s="331" t="s">
        <v>3548</v>
      </c>
      <c r="DDV1" s="331" t="s">
        <v>3549</v>
      </c>
      <c r="DDW1" s="331" t="s">
        <v>3550</v>
      </c>
      <c r="DDX1" s="331" t="s">
        <v>3551</v>
      </c>
      <c r="DDY1" s="331" t="s">
        <v>3552</v>
      </c>
      <c r="DDZ1" s="331" t="s">
        <v>3553</v>
      </c>
      <c r="DEA1" s="331" t="s">
        <v>3554</v>
      </c>
      <c r="DEB1" s="331" t="s">
        <v>3555</v>
      </c>
      <c r="DEC1" s="331" t="s">
        <v>3556</v>
      </c>
      <c r="DED1" s="331" t="s">
        <v>3557</v>
      </c>
      <c r="DEE1" s="331" t="s">
        <v>3558</v>
      </c>
      <c r="DEF1" s="331" t="s">
        <v>3559</v>
      </c>
      <c r="DEG1" s="331" t="s">
        <v>3560</v>
      </c>
      <c r="DEH1" s="331" t="s">
        <v>3561</v>
      </c>
      <c r="DEI1" s="331" t="s">
        <v>3562</v>
      </c>
      <c r="DEJ1" s="331" t="s">
        <v>3563</v>
      </c>
      <c r="DEK1" s="331" t="s">
        <v>3564</v>
      </c>
      <c r="DEL1" s="331" t="s">
        <v>3565</v>
      </c>
      <c r="DEM1" s="331" t="s">
        <v>3566</v>
      </c>
      <c r="DEN1" s="331" t="s">
        <v>3567</v>
      </c>
      <c r="DEO1" s="331" t="s">
        <v>3568</v>
      </c>
      <c r="DEP1" s="331" t="s">
        <v>3569</v>
      </c>
      <c r="DEQ1" s="331" t="s">
        <v>3570</v>
      </c>
      <c r="DER1" s="331" t="s">
        <v>3571</v>
      </c>
      <c r="DES1" s="331" t="s">
        <v>3572</v>
      </c>
      <c r="DET1" s="331" t="s">
        <v>3573</v>
      </c>
      <c r="DEU1" s="331" t="s">
        <v>3574</v>
      </c>
      <c r="DEV1" s="331" t="s">
        <v>3575</v>
      </c>
      <c r="DEW1" s="331" t="s">
        <v>3576</v>
      </c>
      <c r="DEX1" s="331" t="s">
        <v>3577</v>
      </c>
      <c r="DEY1" s="331" t="s">
        <v>3578</v>
      </c>
      <c r="DEZ1" s="331" t="s">
        <v>3579</v>
      </c>
      <c r="DFA1" s="331" t="s">
        <v>3580</v>
      </c>
      <c r="DFB1" s="331" t="s">
        <v>3581</v>
      </c>
      <c r="DFC1" s="331" t="s">
        <v>3582</v>
      </c>
      <c r="DFD1" s="331" t="s">
        <v>3583</v>
      </c>
      <c r="DFE1" s="331" t="s">
        <v>3584</v>
      </c>
      <c r="DFF1" s="331" t="s">
        <v>3585</v>
      </c>
      <c r="DFG1" s="331" t="s">
        <v>3586</v>
      </c>
      <c r="DFH1" s="331" t="s">
        <v>3587</v>
      </c>
      <c r="DFI1" s="331" t="s">
        <v>3588</v>
      </c>
      <c r="DFJ1" s="331" t="s">
        <v>3589</v>
      </c>
      <c r="DFK1" s="331" t="s">
        <v>3590</v>
      </c>
      <c r="DFL1" s="331" t="s">
        <v>3591</v>
      </c>
      <c r="DFM1" s="331" t="s">
        <v>3592</v>
      </c>
      <c r="DFN1" s="331" t="s">
        <v>3593</v>
      </c>
      <c r="DFO1" s="331" t="s">
        <v>3594</v>
      </c>
      <c r="DFP1" s="331" t="s">
        <v>3595</v>
      </c>
      <c r="DFQ1" s="331" t="s">
        <v>3596</v>
      </c>
      <c r="DFR1" s="331" t="s">
        <v>3597</v>
      </c>
      <c r="DFS1" s="331" t="s">
        <v>3598</v>
      </c>
      <c r="DFT1" s="331" t="s">
        <v>3599</v>
      </c>
      <c r="DFU1" s="331" t="s">
        <v>3600</v>
      </c>
      <c r="DFV1" s="331" t="s">
        <v>3601</v>
      </c>
      <c r="DFW1" s="331" t="s">
        <v>3602</v>
      </c>
      <c r="DFX1" s="331" t="s">
        <v>3603</v>
      </c>
      <c r="DFY1" s="331" t="s">
        <v>3604</v>
      </c>
      <c r="DFZ1" s="331" t="s">
        <v>3605</v>
      </c>
      <c r="DGA1" s="331" t="s">
        <v>3606</v>
      </c>
      <c r="DGB1" s="331" t="s">
        <v>3607</v>
      </c>
      <c r="DGC1" s="331" t="s">
        <v>3608</v>
      </c>
      <c r="DGD1" s="331" t="s">
        <v>3609</v>
      </c>
      <c r="DGE1" s="331" t="s">
        <v>3610</v>
      </c>
      <c r="DGF1" s="331" t="s">
        <v>3611</v>
      </c>
      <c r="DGG1" s="331" t="s">
        <v>3612</v>
      </c>
      <c r="DGH1" s="331" t="s">
        <v>3613</v>
      </c>
      <c r="DGI1" s="331" t="s">
        <v>3614</v>
      </c>
      <c r="DGJ1" s="331" t="s">
        <v>3615</v>
      </c>
      <c r="DGK1" s="331" t="s">
        <v>3616</v>
      </c>
      <c r="DGL1" s="331" t="s">
        <v>3617</v>
      </c>
      <c r="DGM1" s="331" t="s">
        <v>3618</v>
      </c>
      <c r="DGN1" s="331" t="s">
        <v>3619</v>
      </c>
      <c r="DGO1" s="331" t="s">
        <v>3620</v>
      </c>
      <c r="DGP1" s="331" t="s">
        <v>3621</v>
      </c>
      <c r="DGQ1" s="331" t="s">
        <v>3622</v>
      </c>
      <c r="DGR1" s="331" t="s">
        <v>3623</v>
      </c>
      <c r="DGS1" s="331" t="s">
        <v>3624</v>
      </c>
      <c r="DGT1" s="331" t="s">
        <v>3625</v>
      </c>
      <c r="DGU1" s="331" t="s">
        <v>3626</v>
      </c>
      <c r="DGV1" s="331" t="s">
        <v>3627</v>
      </c>
      <c r="DGW1" s="331" t="s">
        <v>3628</v>
      </c>
      <c r="DGX1" s="331" t="s">
        <v>3629</v>
      </c>
      <c r="DGY1" s="331" t="s">
        <v>3630</v>
      </c>
      <c r="DGZ1" s="331" t="s">
        <v>3631</v>
      </c>
      <c r="DHA1" s="331" t="s">
        <v>3632</v>
      </c>
      <c r="DHB1" s="331" t="s">
        <v>3633</v>
      </c>
      <c r="DHC1" s="331" t="s">
        <v>3634</v>
      </c>
      <c r="DHD1" s="331" t="s">
        <v>3635</v>
      </c>
      <c r="DHE1" s="331" t="s">
        <v>3636</v>
      </c>
      <c r="DHF1" s="331" t="s">
        <v>3637</v>
      </c>
      <c r="DHG1" s="331" t="s">
        <v>3638</v>
      </c>
      <c r="DHH1" s="331" t="s">
        <v>3639</v>
      </c>
      <c r="DHI1" s="331" t="s">
        <v>3640</v>
      </c>
      <c r="DHJ1" s="331" t="s">
        <v>3641</v>
      </c>
      <c r="DHK1" s="331" t="s">
        <v>3642</v>
      </c>
      <c r="DHL1" s="331" t="s">
        <v>3643</v>
      </c>
      <c r="DHM1" s="331" t="s">
        <v>3644</v>
      </c>
      <c r="DHN1" s="331" t="s">
        <v>3645</v>
      </c>
      <c r="DHO1" s="331" t="s">
        <v>3646</v>
      </c>
      <c r="DHP1" s="331" t="s">
        <v>3647</v>
      </c>
      <c r="DHQ1" s="331" t="s">
        <v>3648</v>
      </c>
      <c r="DHR1" s="331" t="s">
        <v>3649</v>
      </c>
      <c r="DHS1" s="331" t="s">
        <v>3650</v>
      </c>
      <c r="DHT1" s="331" t="s">
        <v>3651</v>
      </c>
      <c r="DHU1" s="331" t="s">
        <v>3652</v>
      </c>
      <c r="DHV1" s="331" t="s">
        <v>3653</v>
      </c>
      <c r="DHW1" s="331" t="s">
        <v>3654</v>
      </c>
      <c r="DHX1" s="331" t="s">
        <v>3655</v>
      </c>
      <c r="DHY1" s="331" t="s">
        <v>3656</v>
      </c>
      <c r="DHZ1" s="331" t="s">
        <v>3657</v>
      </c>
      <c r="DIA1" s="331" t="s">
        <v>3658</v>
      </c>
      <c r="DIB1" s="331" t="s">
        <v>3659</v>
      </c>
      <c r="DIC1" s="331" t="s">
        <v>3660</v>
      </c>
      <c r="DID1" s="331" t="s">
        <v>3661</v>
      </c>
      <c r="DIE1" s="331" t="s">
        <v>3662</v>
      </c>
      <c r="DIF1" s="331" t="s">
        <v>3663</v>
      </c>
      <c r="DIG1" s="331" t="s">
        <v>3664</v>
      </c>
      <c r="DIH1" s="331" t="s">
        <v>3665</v>
      </c>
      <c r="DII1" s="331" t="s">
        <v>3666</v>
      </c>
      <c r="DIJ1" s="331" t="s">
        <v>3667</v>
      </c>
      <c r="DIK1" s="331" t="s">
        <v>3668</v>
      </c>
      <c r="DIL1" s="331" t="s">
        <v>3669</v>
      </c>
      <c r="DIM1" s="331" t="s">
        <v>3670</v>
      </c>
      <c r="DIN1" s="331" t="s">
        <v>3671</v>
      </c>
      <c r="DIO1" s="331" t="s">
        <v>3672</v>
      </c>
      <c r="DIP1" s="331" t="s">
        <v>3673</v>
      </c>
      <c r="DIQ1" s="331" t="s">
        <v>3674</v>
      </c>
      <c r="DIR1" s="331" t="s">
        <v>3675</v>
      </c>
      <c r="DIS1" s="331" t="s">
        <v>3676</v>
      </c>
      <c r="DIT1" s="331" t="s">
        <v>3677</v>
      </c>
      <c r="DIU1" s="331" t="s">
        <v>3678</v>
      </c>
      <c r="DIV1" s="331" t="s">
        <v>3679</v>
      </c>
      <c r="DIW1" s="331" t="s">
        <v>3680</v>
      </c>
      <c r="DIX1" s="331" t="s">
        <v>3681</v>
      </c>
      <c r="DIY1" s="331" t="s">
        <v>3682</v>
      </c>
      <c r="DIZ1" s="331" t="s">
        <v>3683</v>
      </c>
      <c r="DJA1" s="331" t="s">
        <v>3684</v>
      </c>
      <c r="DJB1" s="331" t="s">
        <v>3685</v>
      </c>
      <c r="DJC1" s="331" t="s">
        <v>3686</v>
      </c>
      <c r="DJD1" s="331" t="s">
        <v>3687</v>
      </c>
      <c r="DJE1" s="331" t="s">
        <v>3688</v>
      </c>
      <c r="DJF1" s="331" t="s">
        <v>3689</v>
      </c>
      <c r="DJG1" s="331" t="s">
        <v>3690</v>
      </c>
      <c r="DJH1" s="331" t="s">
        <v>3691</v>
      </c>
      <c r="DJI1" s="331" t="s">
        <v>3692</v>
      </c>
      <c r="DJJ1" s="331" t="s">
        <v>3693</v>
      </c>
      <c r="DJK1" s="331" t="s">
        <v>3694</v>
      </c>
      <c r="DJL1" s="331" t="s">
        <v>3695</v>
      </c>
      <c r="DJM1" s="331" t="s">
        <v>3696</v>
      </c>
      <c r="DJN1" s="331" t="s">
        <v>3697</v>
      </c>
      <c r="DJO1" s="331" t="s">
        <v>3698</v>
      </c>
      <c r="DJP1" s="331" t="s">
        <v>3699</v>
      </c>
      <c r="DJQ1" s="331" t="s">
        <v>3700</v>
      </c>
      <c r="DJR1" s="331" t="s">
        <v>3701</v>
      </c>
      <c r="DJS1" s="331" t="s">
        <v>3702</v>
      </c>
      <c r="DJT1" s="331" t="s">
        <v>3703</v>
      </c>
      <c r="DJU1" s="331" t="s">
        <v>3704</v>
      </c>
      <c r="DJV1" s="331" t="s">
        <v>3705</v>
      </c>
      <c r="DJW1" s="331" t="s">
        <v>3706</v>
      </c>
      <c r="DJX1" s="331" t="s">
        <v>3707</v>
      </c>
      <c r="DJY1" s="331" t="s">
        <v>3708</v>
      </c>
      <c r="DJZ1" s="331" t="s">
        <v>3709</v>
      </c>
      <c r="DKA1" s="331" t="s">
        <v>3710</v>
      </c>
      <c r="DKB1" s="331" t="s">
        <v>3711</v>
      </c>
      <c r="DKC1" s="331" t="s">
        <v>3712</v>
      </c>
      <c r="DKD1" s="331" t="s">
        <v>3713</v>
      </c>
      <c r="DKE1" s="331" t="s">
        <v>3714</v>
      </c>
      <c r="DKF1" s="331" t="s">
        <v>3715</v>
      </c>
      <c r="DKG1" s="331" t="s">
        <v>3716</v>
      </c>
      <c r="DKH1" s="331" t="s">
        <v>3717</v>
      </c>
      <c r="DKI1" s="331" t="s">
        <v>3718</v>
      </c>
      <c r="DKJ1" s="331" t="s">
        <v>3719</v>
      </c>
      <c r="DKK1" s="331" t="s">
        <v>3720</v>
      </c>
      <c r="DKL1" s="331" t="s">
        <v>3721</v>
      </c>
      <c r="DKM1" s="331" t="s">
        <v>3722</v>
      </c>
      <c r="DKN1" s="331" t="s">
        <v>3723</v>
      </c>
      <c r="DKO1" s="331" t="s">
        <v>3724</v>
      </c>
      <c r="DKP1" s="331" t="s">
        <v>3725</v>
      </c>
      <c r="DKQ1" s="331" t="s">
        <v>3726</v>
      </c>
      <c r="DKR1" s="331" t="s">
        <v>3727</v>
      </c>
      <c r="DKS1" s="331" t="s">
        <v>3728</v>
      </c>
      <c r="DKT1" s="331" t="s">
        <v>3729</v>
      </c>
      <c r="DKU1" s="331" t="s">
        <v>3730</v>
      </c>
      <c r="DKV1" s="331" t="s">
        <v>3731</v>
      </c>
      <c r="DKW1" s="331" t="s">
        <v>3732</v>
      </c>
      <c r="DKX1" s="331" t="s">
        <v>3733</v>
      </c>
      <c r="DKY1" s="331" t="s">
        <v>3734</v>
      </c>
      <c r="DKZ1" s="331" t="s">
        <v>3735</v>
      </c>
      <c r="DLA1" s="331" t="s">
        <v>3736</v>
      </c>
      <c r="DLB1" s="331" t="s">
        <v>3737</v>
      </c>
      <c r="DLC1" s="331" t="s">
        <v>3738</v>
      </c>
      <c r="DLD1" s="331" t="s">
        <v>3739</v>
      </c>
      <c r="DLE1" s="331" t="s">
        <v>3740</v>
      </c>
      <c r="DLF1" s="331" t="s">
        <v>3741</v>
      </c>
      <c r="DLG1" s="331" t="s">
        <v>3742</v>
      </c>
      <c r="DLH1" s="331" t="s">
        <v>3743</v>
      </c>
      <c r="DLI1" s="331" t="s">
        <v>3744</v>
      </c>
      <c r="DLJ1" s="331" t="s">
        <v>3745</v>
      </c>
      <c r="DLK1" s="331" t="s">
        <v>3746</v>
      </c>
      <c r="DLL1" s="331" t="s">
        <v>3747</v>
      </c>
      <c r="DLM1" s="331" t="s">
        <v>3748</v>
      </c>
      <c r="DLN1" s="331" t="s">
        <v>3749</v>
      </c>
      <c r="DLO1" s="331" t="s">
        <v>3750</v>
      </c>
      <c r="DLP1" s="331" t="s">
        <v>3751</v>
      </c>
      <c r="DLQ1" s="331" t="s">
        <v>3752</v>
      </c>
      <c r="DLR1" s="331" t="s">
        <v>3753</v>
      </c>
      <c r="DLS1" s="331" t="s">
        <v>3754</v>
      </c>
      <c r="DLT1" s="331" t="s">
        <v>3755</v>
      </c>
      <c r="DLU1" s="331" t="s">
        <v>3756</v>
      </c>
      <c r="DLV1" s="331" t="s">
        <v>3757</v>
      </c>
      <c r="DLW1" s="331" t="s">
        <v>3758</v>
      </c>
      <c r="DLX1" s="331" t="s">
        <v>3759</v>
      </c>
      <c r="DLY1" s="331" t="s">
        <v>3760</v>
      </c>
      <c r="DLZ1" s="331" t="s">
        <v>3761</v>
      </c>
      <c r="DMA1" s="331" t="s">
        <v>3762</v>
      </c>
      <c r="DMB1" s="331" t="s">
        <v>3763</v>
      </c>
      <c r="DMC1" s="331" t="s">
        <v>3764</v>
      </c>
      <c r="DMD1" s="331" t="s">
        <v>3765</v>
      </c>
      <c r="DME1" s="331" t="s">
        <v>3766</v>
      </c>
      <c r="DMF1" s="331" t="s">
        <v>3767</v>
      </c>
      <c r="DMG1" s="331" t="s">
        <v>3768</v>
      </c>
      <c r="DMH1" s="331" t="s">
        <v>3769</v>
      </c>
      <c r="DMI1" s="331" t="s">
        <v>3770</v>
      </c>
      <c r="DMJ1" s="331" t="s">
        <v>3771</v>
      </c>
      <c r="DMK1" s="331" t="s">
        <v>3772</v>
      </c>
      <c r="DML1" s="331" t="s">
        <v>3773</v>
      </c>
      <c r="DMM1" s="331" t="s">
        <v>3774</v>
      </c>
      <c r="DMN1" s="331" t="s">
        <v>3775</v>
      </c>
      <c r="DMO1" s="331" t="s">
        <v>3776</v>
      </c>
      <c r="DMP1" s="331" t="s">
        <v>3777</v>
      </c>
      <c r="DMQ1" s="331" t="s">
        <v>3778</v>
      </c>
      <c r="DMR1" s="331" t="s">
        <v>3779</v>
      </c>
      <c r="DMS1" s="331" t="s">
        <v>3780</v>
      </c>
      <c r="DMT1" s="331" t="s">
        <v>3781</v>
      </c>
      <c r="DMU1" s="331" t="s">
        <v>3782</v>
      </c>
      <c r="DMV1" s="331" t="s">
        <v>3783</v>
      </c>
      <c r="DMW1" s="331" t="s">
        <v>3784</v>
      </c>
      <c r="DMX1" s="331" t="s">
        <v>3785</v>
      </c>
      <c r="DMY1" s="331" t="s">
        <v>3786</v>
      </c>
      <c r="DMZ1" s="331" t="s">
        <v>3787</v>
      </c>
      <c r="DNA1" s="331" t="s">
        <v>3788</v>
      </c>
      <c r="DNB1" s="331" t="s">
        <v>3789</v>
      </c>
      <c r="DNC1" s="331" t="s">
        <v>3790</v>
      </c>
      <c r="DND1" s="331" t="s">
        <v>3791</v>
      </c>
      <c r="DNE1" s="331" t="s">
        <v>3792</v>
      </c>
      <c r="DNF1" s="331" t="s">
        <v>3793</v>
      </c>
      <c r="DNG1" s="331" t="s">
        <v>3794</v>
      </c>
      <c r="DNH1" s="331" t="s">
        <v>3795</v>
      </c>
      <c r="DNI1" s="331" t="s">
        <v>3796</v>
      </c>
      <c r="DNJ1" s="331" t="s">
        <v>3797</v>
      </c>
      <c r="DNK1" s="331" t="s">
        <v>3798</v>
      </c>
      <c r="DNL1" s="331" t="s">
        <v>3799</v>
      </c>
      <c r="DNM1" s="331" t="s">
        <v>3800</v>
      </c>
      <c r="DNN1" s="331" t="s">
        <v>3801</v>
      </c>
      <c r="DNO1" s="331" t="s">
        <v>3802</v>
      </c>
      <c r="DNP1" s="331" t="s">
        <v>3803</v>
      </c>
      <c r="DNQ1" s="331" t="s">
        <v>3804</v>
      </c>
      <c r="DNR1" s="331" t="s">
        <v>3805</v>
      </c>
      <c r="DNS1" s="331" t="s">
        <v>3806</v>
      </c>
      <c r="DNT1" s="331" t="s">
        <v>3807</v>
      </c>
      <c r="DNU1" s="331" t="s">
        <v>3808</v>
      </c>
      <c r="DNV1" s="331" t="s">
        <v>3809</v>
      </c>
      <c r="DNW1" s="331" t="s">
        <v>3810</v>
      </c>
      <c r="DNX1" s="331" t="s">
        <v>3811</v>
      </c>
      <c r="DNY1" s="331" t="s">
        <v>3812</v>
      </c>
      <c r="DNZ1" s="331" t="s">
        <v>3813</v>
      </c>
      <c r="DOA1" s="331" t="s">
        <v>3814</v>
      </c>
      <c r="DOB1" s="331" t="s">
        <v>3815</v>
      </c>
      <c r="DOC1" s="331" t="s">
        <v>3816</v>
      </c>
      <c r="DOD1" s="331" t="s">
        <v>3817</v>
      </c>
      <c r="DOE1" s="331" t="s">
        <v>3818</v>
      </c>
      <c r="DOF1" s="331" t="s">
        <v>3819</v>
      </c>
      <c r="DOG1" s="331" t="s">
        <v>3820</v>
      </c>
      <c r="DOH1" s="331" t="s">
        <v>3821</v>
      </c>
      <c r="DOI1" s="331" t="s">
        <v>3822</v>
      </c>
      <c r="DOJ1" s="331" t="s">
        <v>3823</v>
      </c>
      <c r="DOK1" s="331" t="s">
        <v>3824</v>
      </c>
      <c r="DOL1" s="331" t="s">
        <v>3825</v>
      </c>
      <c r="DOM1" s="331" t="s">
        <v>3826</v>
      </c>
      <c r="DON1" s="331" t="s">
        <v>3827</v>
      </c>
      <c r="DOO1" s="331" t="s">
        <v>3828</v>
      </c>
      <c r="DOP1" s="331" t="s">
        <v>3829</v>
      </c>
      <c r="DOQ1" s="331" t="s">
        <v>3830</v>
      </c>
      <c r="DOR1" s="331" t="s">
        <v>3831</v>
      </c>
      <c r="DOS1" s="331" t="s">
        <v>3832</v>
      </c>
      <c r="DOT1" s="331" t="s">
        <v>3833</v>
      </c>
      <c r="DOU1" s="331" t="s">
        <v>3834</v>
      </c>
      <c r="DOV1" s="331" t="s">
        <v>3835</v>
      </c>
      <c r="DOW1" s="331" t="s">
        <v>3836</v>
      </c>
      <c r="DOX1" s="331" t="s">
        <v>3837</v>
      </c>
      <c r="DOY1" s="331" t="s">
        <v>3838</v>
      </c>
      <c r="DOZ1" s="331" t="s">
        <v>3839</v>
      </c>
      <c r="DPA1" s="331" t="s">
        <v>3840</v>
      </c>
      <c r="DPB1" s="331" t="s">
        <v>3841</v>
      </c>
      <c r="DPC1" s="331" t="s">
        <v>3842</v>
      </c>
      <c r="DPD1" s="331" t="s">
        <v>3843</v>
      </c>
      <c r="DPE1" s="331" t="s">
        <v>3844</v>
      </c>
      <c r="DPF1" s="331" t="s">
        <v>3845</v>
      </c>
      <c r="DPG1" s="331" t="s">
        <v>3846</v>
      </c>
      <c r="DPH1" s="331" t="s">
        <v>3847</v>
      </c>
      <c r="DPI1" s="331" t="s">
        <v>3848</v>
      </c>
      <c r="DPJ1" s="331" t="s">
        <v>3849</v>
      </c>
      <c r="DPK1" s="331" t="s">
        <v>3850</v>
      </c>
      <c r="DPL1" s="331" t="s">
        <v>3851</v>
      </c>
      <c r="DPM1" s="331" t="s">
        <v>3852</v>
      </c>
      <c r="DPN1" s="331" t="s">
        <v>3853</v>
      </c>
      <c r="DPO1" s="331" t="s">
        <v>3854</v>
      </c>
      <c r="DPP1" s="331" t="s">
        <v>3855</v>
      </c>
      <c r="DPQ1" s="331" t="s">
        <v>3856</v>
      </c>
      <c r="DPR1" s="331" t="s">
        <v>3857</v>
      </c>
      <c r="DPS1" s="331" t="s">
        <v>3858</v>
      </c>
      <c r="DPT1" s="331" t="s">
        <v>3859</v>
      </c>
      <c r="DPU1" s="331" t="s">
        <v>3860</v>
      </c>
      <c r="DPV1" s="331" t="s">
        <v>3861</v>
      </c>
      <c r="DPW1" s="331" t="s">
        <v>3862</v>
      </c>
      <c r="DPX1" s="331" t="s">
        <v>3863</v>
      </c>
      <c r="DPY1" s="331" t="s">
        <v>3864</v>
      </c>
      <c r="DPZ1" s="331" t="s">
        <v>3865</v>
      </c>
      <c r="DQA1" s="331" t="s">
        <v>3866</v>
      </c>
      <c r="DQB1" s="331" t="s">
        <v>3867</v>
      </c>
      <c r="DQC1" s="331" t="s">
        <v>3868</v>
      </c>
      <c r="DQD1" s="331" t="s">
        <v>3869</v>
      </c>
      <c r="DQE1" s="331" t="s">
        <v>3870</v>
      </c>
      <c r="DQF1" s="331" t="s">
        <v>3871</v>
      </c>
      <c r="DQG1" s="331" t="s">
        <v>3872</v>
      </c>
      <c r="DQH1" s="331" t="s">
        <v>3873</v>
      </c>
      <c r="DQI1" s="331" t="s">
        <v>3874</v>
      </c>
      <c r="DQJ1" s="331" t="s">
        <v>3875</v>
      </c>
      <c r="DQK1" s="331" t="s">
        <v>3876</v>
      </c>
      <c r="DQL1" s="331" t="s">
        <v>3877</v>
      </c>
      <c r="DQM1" s="331" t="s">
        <v>3878</v>
      </c>
      <c r="DQN1" s="331" t="s">
        <v>3879</v>
      </c>
      <c r="DQO1" s="331" t="s">
        <v>3880</v>
      </c>
      <c r="DQP1" s="331" t="s">
        <v>3881</v>
      </c>
      <c r="DQQ1" s="331" t="s">
        <v>3882</v>
      </c>
      <c r="DQR1" s="331" t="s">
        <v>3883</v>
      </c>
      <c r="DQS1" s="331" t="s">
        <v>3884</v>
      </c>
      <c r="DQT1" s="331" t="s">
        <v>3885</v>
      </c>
      <c r="DQU1" s="331" t="s">
        <v>3886</v>
      </c>
      <c r="DQV1" s="331" t="s">
        <v>3887</v>
      </c>
      <c r="DQW1" s="331" t="s">
        <v>3888</v>
      </c>
      <c r="DQX1" s="331" t="s">
        <v>3889</v>
      </c>
      <c r="DQY1" s="331" t="s">
        <v>3890</v>
      </c>
      <c r="DQZ1" s="331" t="s">
        <v>3891</v>
      </c>
      <c r="DRA1" s="331" t="s">
        <v>3892</v>
      </c>
      <c r="DRB1" s="331" t="s">
        <v>3893</v>
      </c>
      <c r="DRC1" s="331" t="s">
        <v>3894</v>
      </c>
      <c r="DRD1" s="331" t="s">
        <v>3895</v>
      </c>
      <c r="DRE1" s="331" t="s">
        <v>3896</v>
      </c>
      <c r="DRF1" s="331" t="s">
        <v>3897</v>
      </c>
      <c r="DRG1" s="331" t="s">
        <v>3898</v>
      </c>
      <c r="DRH1" s="331" t="s">
        <v>3899</v>
      </c>
      <c r="DRI1" s="331" t="s">
        <v>3900</v>
      </c>
      <c r="DRJ1" s="331" t="s">
        <v>3901</v>
      </c>
      <c r="DRK1" s="331" t="s">
        <v>3902</v>
      </c>
      <c r="DRL1" s="331" t="s">
        <v>3903</v>
      </c>
      <c r="DRM1" s="331" t="s">
        <v>3904</v>
      </c>
      <c r="DRN1" s="331" t="s">
        <v>3905</v>
      </c>
      <c r="DRO1" s="331" t="s">
        <v>3906</v>
      </c>
      <c r="DRP1" s="331" t="s">
        <v>3907</v>
      </c>
      <c r="DRQ1" s="331" t="s">
        <v>3908</v>
      </c>
      <c r="DRR1" s="331" t="s">
        <v>3909</v>
      </c>
      <c r="DRS1" s="331" t="s">
        <v>3910</v>
      </c>
      <c r="DRT1" s="331" t="s">
        <v>3911</v>
      </c>
      <c r="DRU1" s="331" t="s">
        <v>3912</v>
      </c>
      <c r="DRV1" s="331" t="s">
        <v>3913</v>
      </c>
      <c r="DRW1" s="331" t="s">
        <v>3914</v>
      </c>
      <c r="DRX1" s="331" t="s">
        <v>3915</v>
      </c>
      <c r="DRY1" s="331" t="s">
        <v>3916</v>
      </c>
      <c r="DRZ1" s="331" t="s">
        <v>3917</v>
      </c>
      <c r="DSA1" s="331" t="s">
        <v>3918</v>
      </c>
      <c r="DSB1" s="331" t="s">
        <v>3919</v>
      </c>
      <c r="DSC1" s="331" t="s">
        <v>3920</v>
      </c>
      <c r="DSD1" s="331" t="s">
        <v>3921</v>
      </c>
      <c r="DSE1" s="331" t="s">
        <v>3922</v>
      </c>
      <c r="DSF1" s="331" t="s">
        <v>3923</v>
      </c>
      <c r="DSG1" s="331" t="s">
        <v>3924</v>
      </c>
      <c r="DSH1" s="331" t="s">
        <v>3925</v>
      </c>
      <c r="DSI1" s="331" t="s">
        <v>3926</v>
      </c>
      <c r="DSJ1" s="331" t="s">
        <v>3927</v>
      </c>
      <c r="DSK1" s="331" t="s">
        <v>3928</v>
      </c>
      <c r="DSL1" s="331" t="s">
        <v>3929</v>
      </c>
      <c r="DSM1" s="331" t="s">
        <v>3930</v>
      </c>
      <c r="DSN1" s="331" t="s">
        <v>3931</v>
      </c>
      <c r="DSO1" s="331" t="s">
        <v>3932</v>
      </c>
      <c r="DSP1" s="331" t="s">
        <v>3933</v>
      </c>
      <c r="DSQ1" s="331" t="s">
        <v>3934</v>
      </c>
      <c r="DSR1" s="331" t="s">
        <v>3935</v>
      </c>
      <c r="DSS1" s="331" t="s">
        <v>3936</v>
      </c>
      <c r="DST1" s="331" t="s">
        <v>3937</v>
      </c>
      <c r="DSU1" s="331" t="s">
        <v>3938</v>
      </c>
      <c r="DSV1" s="331" t="s">
        <v>3939</v>
      </c>
      <c r="DSW1" s="331" t="s">
        <v>3940</v>
      </c>
      <c r="DSX1" s="331" t="s">
        <v>3941</v>
      </c>
      <c r="DSY1" s="331" t="s">
        <v>3942</v>
      </c>
      <c r="DSZ1" s="331" t="s">
        <v>3943</v>
      </c>
      <c r="DTA1" s="331" t="s">
        <v>3944</v>
      </c>
      <c r="DTB1" s="331" t="s">
        <v>3945</v>
      </c>
      <c r="DTC1" s="331" t="s">
        <v>3946</v>
      </c>
      <c r="DTD1" s="331" t="s">
        <v>3947</v>
      </c>
      <c r="DTE1" s="331" t="s">
        <v>3948</v>
      </c>
      <c r="DTF1" s="331" t="s">
        <v>3949</v>
      </c>
      <c r="DTG1" s="331" t="s">
        <v>3950</v>
      </c>
      <c r="DTH1" s="331" t="s">
        <v>3951</v>
      </c>
      <c r="DTI1" s="331" t="s">
        <v>3952</v>
      </c>
      <c r="DTJ1" s="331" t="s">
        <v>3953</v>
      </c>
      <c r="DTK1" s="331" t="s">
        <v>3954</v>
      </c>
      <c r="DTL1" s="331" t="s">
        <v>3955</v>
      </c>
      <c r="DTM1" s="331" t="s">
        <v>3956</v>
      </c>
      <c r="DTN1" s="331" t="s">
        <v>3957</v>
      </c>
      <c r="DTO1" s="331" t="s">
        <v>3958</v>
      </c>
      <c r="DTP1" s="331" t="s">
        <v>3959</v>
      </c>
      <c r="DTQ1" s="331" t="s">
        <v>3960</v>
      </c>
      <c r="DTR1" s="331" t="s">
        <v>3961</v>
      </c>
      <c r="DTS1" s="331" t="s">
        <v>3962</v>
      </c>
      <c r="DTT1" s="331" t="s">
        <v>3963</v>
      </c>
      <c r="DTU1" s="331" t="s">
        <v>3964</v>
      </c>
      <c r="DTV1" s="331" t="s">
        <v>3965</v>
      </c>
      <c r="DTW1" s="331" t="s">
        <v>3966</v>
      </c>
      <c r="DTX1" s="331" t="s">
        <v>3967</v>
      </c>
      <c r="DTY1" s="331" t="s">
        <v>3968</v>
      </c>
      <c r="DTZ1" s="331" t="s">
        <v>3969</v>
      </c>
      <c r="DUA1" s="331" t="s">
        <v>3970</v>
      </c>
      <c r="DUB1" s="331" t="s">
        <v>3971</v>
      </c>
      <c r="DUC1" s="331" t="s">
        <v>3972</v>
      </c>
      <c r="DUD1" s="331" t="s">
        <v>3973</v>
      </c>
      <c r="DUE1" s="331" t="s">
        <v>3974</v>
      </c>
      <c r="DUF1" s="331" t="s">
        <v>3975</v>
      </c>
      <c r="DUG1" s="331" t="s">
        <v>3976</v>
      </c>
      <c r="DUH1" s="331" t="s">
        <v>3977</v>
      </c>
      <c r="DUI1" s="331" t="s">
        <v>3978</v>
      </c>
      <c r="DUJ1" s="331" t="s">
        <v>3979</v>
      </c>
      <c r="DUK1" s="331" t="s">
        <v>3980</v>
      </c>
      <c r="DUL1" s="331" t="s">
        <v>3981</v>
      </c>
      <c r="DUM1" s="331" t="s">
        <v>3982</v>
      </c>
      <c r="DUN1" s="331" t="s">
        <v>3983</v>
      </c>
      <c r="DUO1" s="331" t="s">
        <v>3984</v>
      </c>
      <c r="DUP1" s="331" t="s">
        <v>3985</v>
      </c>
      <c r="DUQ1" s="331" t="s">
        <v>3986</v>
      </c>
      <c r="DUR1" s="331" t="s">
        <v>3987</v>
      </c>
      <c r="DUS1" s="331" t="s">
        <v>3988</v>
      </c>
      <c r="DUT1" s="331" t="s">
        <v>3989</v>
      </c>
      <c r="DUU1" s="331" t="s">
        <v>3990</v>
      </c>
      <c r="DUV1" s="331" t="s">
        <v>3991</v>
      </c>
      <c r="DUW1" s="331" t="s">
        <v>3992</v>
      </c>
      <c r="DUX1" s="331" t="s">
        <v>3993</v>
      </c>
      <c r="DUY1" s="331" t="s">
        <v>3994</v>
      </c>
      <c r="DUZ1" s="331" t="s">
        <v>3995</v>
      </c>
      <c r="DVA1" s="331" t="s">
        <v>3996</v>
      </c>
      <c r="DVB1" s="331" t="s">
        <v>3997</v>
      </c>
      <c r="DVC1" s="331" t="s">
        <v>3998</v>
      </c>
      <c r="DVD1" s="331" t="s">
        <v>3999</v>
      </c>
      <c r="DVE1" s="331" t="s">
        <v>4000</v>
      </c>
      <c r="DVF1" s="331" t="s">
        <v>4001</v>
      </c>
      <c r="DVG1" s="331" t="s">
        <v>4002</v>
      </c>
      <c r="DVH1" s="331" t="s">
        <v>4003</v>
      </c>
      <c r="DVI1" s="331" t="s">
        <v>4004</v>
      </c>
      <c r="DVJ1" s="331" t="s">
        <v>4005</v>
      </c>
      <c r="DVK1" s="331" t="s">
        <v>4006</v>
      </c>
      <c r="DVL1" s="331" t="s">
        <v>4007</v>
      </c>
      <c r="DVM1" s="331" t="s">
        <v>4008</v>
      </c>
      <c r="DVN1" s="331" t="s">
        <v>4009</v>
      </c>
      <c r="DVO1" s="331" t="s">
        <v>4010</v>
      </c>
      <c r="DVP1" s="331" t="s">
        <v>4011</v>
      </c>
      <c r="DVQ1" s="331" t="s">
        <v>4012</v>
      </c>
      <c r="DVR1" s="331" t="s">
        <v>4013</v>
      </c>
      <c r="DVS1" s="331" t="s">
        <v>4014</v>
      </c>
      <c r="DVT1" s="331" t="s">
        <v>4015</v>
      </c>
      <c r="DVU1" s="331" t="s">
        <v>4016</v>
      </c>
      <c r="DVV1" s="331" t="s">
        <v>4017</v>
      </c>
      <c r="DVW1" s="331" t="s">
        <v>4018</v>
      </c>
      <c r="DVX1" s="331" t="s">
        <v>4019</v>
      </c>
      <c r="DVY1" s="331" t="s">
        <v>4020</v>
      </c>
      <c r="DVZ1" s="331" t="s">
        <v>4021</v>
      </c>
      <c r="DWA1" s="331" t="s">
        <v>4022</v>
      </c>
      <c r="DWB1" s="331" t="s">
        <v>4023</v>
      </c>
      <c r="DWC1" s="331" t="s">
        <v>4024</v>
      </c>
      <c r="DWD1" s="331" t="s">
        <v>4025</v>
      </c>
      <c r="DWE1" s="331" t="s">
        <v>4026</v>
      </c>
      <c r="DWF1" s="331" t="s">
        <v>4027</v>
      </c>
      <c r="DWG1" s="331" t="s">
        <v>4028</v>
      </c>
      <c r="DWH1" s="331" t="s">
        <v>4029</v>
      </c>
      <c r="DWI1" s="331" t="s">
        <v>4030</v>
      </c>
      <c r="DWJ1" s="331" t="s">
        <v>4031</v>
      </c>
      <c r="DWK1" s="331" t="s">
        <v>4032</v>
      </c>
      <c r="DWL1" s="331" t="s">
        <v>4033</v>
      </c>
      <c r="DWM1" s="331" t="s">
        <v>4034</v>
      </c>
      <c r="DWN1" s="331" t="s">
        <v>4035</v>
      </c>
      <c r="DWO1" s="331" t="s">
        <v>4036</v>
      </c>
      <c r="DWP1" s="331" t="s">
        <v>4037</v>
      </c>
      <c r="DWQ1" s="331" t="s">
        <v>4038</v>
      </c>
      <c r="DWR1" s="331" t="s">
        <v>4039</v>
      </c>
      <c r="DWS1" s="331" t="s">
        <v>4040</v>
      </c>
      <c r="DWT1" s="331" t="s">
        <v>4041</v>
      </c>
      <c r="DWU1" s="331" t="s">
        <v>4042</v>
      </c>
      <c r="DWV1" s="331" t="s">
        <v>4043</v>
      </c>
      <c r="DWW1" s="331" t="s">
        <v>4044</v>
      </c>
      <c r="DWX1" s="331" t="s">
        <v>4045</v>
      </c>
      <c r="DWY1" s="331" t="s">
        <v>4046</v>
      </c>
      <c r="DWZ1" s="331" t="s">
        <v>4047</v>
      </c>
      <c r="DXA1" s="331" t="s">
        <v>4048</v>
      </c>
      <c r="DXB1" s="331" t="s">
        <v>4049</v>
      </c>
      <c r="DXC1" s="331" t="s">
        <v>4050</v>
      </c>
      <c r="DXD1" s="331" t="s">
        <v>4051</v>
      </c>
      <c r="DXE1" s="331" t="s">
        <v>4052</v>
      </c>
      <c r="DXF1" s="331" t="s">
        <v>4053</v>
      </c>
      <c r="DXG1" s="331" t="s">
        <v>4054</v>
      </c>
      <c r="DXH1" s="331" t="s">
        <v>4055</v>
      </c>
      <c r="DXI1" s="331" t="s">
        <v>4056</v>
      </c>
      <c r="DXJ1" s="331" t="s">
        <v>4057</v>
      </c>
      <c r="DXK1" s="331" t="s">
        <v>4058</v>
      </c>
      <c r="DXL1" s="331" t="s">
        <v>4059</v>
      </c>
      <c r="DXM1" s="331" t="s">
        <v>4060</v>
      </c>
      <c r="DXN1" s="331" t="s">
        <v>4061</v>
      </c>
      <c r="DXO1" s="331" t="s">
        <v>4062</v>
      </c>
      <c r="DXP1" s="331" t="s">
        <v>4063</v>
      </c>
      <c r="DXQ1" s="331" t="s">
        <v>4064</v>
      </c>
      <c r="DXR1" s="331" t="s">
        <v>4065</v>
      </c>
      <c r="DXS1" s="331" t="s">
        <v>4066</v>
      </c>
      <c r="DXT1" s="331" t="s">
        <v>4067</v>
      </c>
      <c r="DXU1" s="331" t="s">
        <v>4068</v>
      </c>
      <c r="DXV1" s="331" t="s">
        <v>4069</v>
      </c>
      <c r="DXW1" s="331" t="s">
        <v>4070</v>
      </c>
      <c r="DXX1" s="331" t="s">
        <v>4071</v>
      </c>
      <c r="DXY1" s="331" t="s">
        <v>4072</v>
      </c>
      <c r="DXZ1" s="331" t="s">
        <v>4073</v>
      </c>
      <c r="DYA1" s="331" t="s">
        <v>4074</v>
      </c>
      <c r="DYB1" s="331" t="s">
        <v>4075</v>
      </c>
      <c r="DYC1" s="331" t="s">
        <v>4076</v>
      </c>
      <c r="DYD1" s="331" t="s">
        <v>4077</v>
      </c>
      <c r="DYE1" s="331" t="s">
        <v>4078</v>
      </c>
      <c r="DYF1" s="331" t="s">
        <v>4079</v>
      </c>
      <c r="DYG1" s="331" t="s">
        <v>4080</v>
      </c>
      <c r="DYH1" s="331" t="s">
        <v>4081</v>
      </c>
      <c r="DYI1" s="331" t="s">
        <v>4082</v>
      </c>
      <c r="DYJ1" s="331" t="s">
        <v>4083</v>
      </c>
      <c r="DYK1" s="331" t="s">
        <v>4084</v>
      </c>
      <c r="DYL1" s="331" t="s">
        <v>4085</v>
      </c>
      <c r="DYM1" s="331" t="s">
        <v>4086</v>
      </c>
      <c r="DYN1" s="331" t="s">
        <v>4087</v>
      </c>
      <c r="DYO1" s="331" t="s">
        <v>4088</v>
      </c>
      <c r="DYP1" s="331" t="s">
        <v>4089</v>
      </c>
      <c r="DYQ1" s="331" t="s">
        <v>4090</v>
      </c>
      <c r="DYR1" s="331" t="s">
        <v>4091</v>
      </c>
      <c r="DYS1" s="331" t="s">
        <v>4092</v>
      </c>
      <c r="DYT1" s="331" t="s">
        <v>4093</v>
      </c>
      <c r="DYU1" s="331" t="s">
        <v>4094</v>
      </c>
      <c r="DYV1" s="331" t="s">
        <v>4095</v>
      </c>
      <c r="DYW1" s="331" t="s">
        <v>4096</v>
      </c>
      <c r="DYX1" s="331" t="s">
        <v>4097</v>
      </c>
      <c r="DYY1" s="331" t="s">
        <v>4098</v>
      </c>
      <c r="DYZ1" s="331" t="s">
        <v>4099</v>
      </c>
      <c r="DZA1" s="331" t="s">
        <v>4100</v>
      </c>
      <c r="DZB1" s="331" t="s">
        <v>4101</v>
      </c>
      <c r="DZC1" s="331" t="s">
        <v>4102</v>
      </c>
      <c r="DZD1" s="331" t="s">
        <v>4103</v>
      </c>
      <c r="DZE1" s="331" t="s">
        <v>4104</v>
      </c>
      <c r="DZF1" s="331" t="s">
        <v>4105</v>
      </c>
      <c r="DZG1" s="331" t="s">
        <v>4106</v>
      </c>
      <c r="DZH1" s="331" t="s">
        <v>4107</v>
      </c>
      <c r="DZI1" s="331" t="s">
        <v>4108</v>
      </c>
      <c r="DZJ1" s="331" t="s">
        <v>4109</v>
      </c>
      <c r="DZK1" s="331" t="s">
        <v>4110</v>
      </c>
      <c r="DZL1" s="331" t="s">
        <v>4111</v>
      </c>
      <c r="DZM1" s="331" t="s">
        <v>4112</v>
      </c>
      <c r="DZN1" s="331" t="s">
        <v>4113</v>
      </c>
      <c r="DZO1" s="331" t="s">
        <v>4114</v>
      </c>
      <c r="DZP1" s="331" t="s">
        <v>4115</v>
      </c>
      <c r="DZQ1" s="331" t="s">
        <v>4116</v>
      </c>
      <c r="DZR1" s="331" t="s">
        <v>4117</v>
      </c>
      <c r="DZS1" s="331" t="s">
        <v>4118</v>
      </c>
      <c r="DZT1" s="331" t="s">
        <v>4119</v>
      </c>
      <c r="DZU1" s="331" t="s">
        <v>4120</v>
      </c>
      <c r="DZV1" s="331" t="s">
        <v>4121</v>
      </c>
      <c r="DZW1" s="331" t="s">
        <v>4122</v>
      </c>
      <c r="DZX1" s="331" t="s">
        <v>4123</v>
      </c>
      <c r="DZY1" s="331" t="s">
        <v>4124</v>
      </c>
      <c r="DZZ1" s="331" t="s">
        <v>4125</v>
      </c>
      <c r="EAA1" s="331" t="s">
        <v>4126</v>
      </c>
      <c r="EAB1" s="331" t="s">
        <v>4127</v>
      </c>
      <c r="EAC1" s="331" t="s">
        <v>4128</v>
      </c>
      <c r="EAD1" s="331" t="s">
        <v>4129</v>
      </c>
      <c r="EAE1" s="331" t="s">
        <v>4130</v>
      </c>
      <c r="EAF1" s="331" t="s">
        <v>4131</v>
      </c>
      <c r="EAG1" s="331" t="s">
        <v>4132</v>
      </c>
      <c r="EAH1" s="331" t="s">
        <v>4133</v>
      </c>
      <c r="EAI1" s="331" t="s">
        <v>4134</v>
      </c>
      <c r="EAJ1" s="331" t="s">
        <v>4135</v>
      </c>
      <c r="EAK1" s="331" t="s">
        <v>4136</v>
      </c>
      <c r="EAL1" s="331" t="s">
        <v>4137</v>
      </c>
      <c r="EAM1" s="331" t="s">
        <v>4138</v>
      </c>
      <c r="EAN1" s="331" t="s">
        <v>4139</v>
      </c>
      <c r="EAO1" s="331" t="s">
        <v>4140</v>
      </c>
      <c r="EAP1" s="331" t="s">
        <v>4141</v>
      </c>
      <c r="EAQ1" s="331" t="s">
        <v>4142</v>
      </c>
      <c r="EAR1" s="331" t="s">
        <v>4143</v>
      </c>
      <c r="EAS1" s="331" t="s">
        <v>4144</v>
      </c>
      <c r="EAT1" s="331" t="s">
        <v>4145</v>
      </c>
      <c r="EAU1" s="331" t="s">
        <v>4146</v>
      </c>
      <c r="EAV1" s="331" t="s">
        <v>4147</v>
      </c>
      <c r="EAW1" s="331" t="s">
        <v>4148</v>
      </c>
      <c r="EAX1" s="331" t="s">
        <v>4149</v>
      </c>
      <c r="EAY1" s="331" t="s">
        <v>4150</v>
      </c>
      <c r="EAZ1" s="331" t="s">
        <v>4151</v>
      </c>
      <c r="EBA1" s="331" t="s">
        <v>4152</v>
      </c>
      <c r="EBB1" s="331" t="s">
        <v>4153</v>
      </c>
      <c r="EBC1" s="331" t="s">
        <v>4154</v>
      </c>
      <c r="EBD1" s="331" t="s">
        <v>4155</v>
      </c>
      <c r="EBE1" s="331" t="s">
        <v>4156</v>
      </c>
      <c r="EBF1" s="331" t="s">
        <v>4157</v>
      </c>
      <c r="EBG1" s="331" t="s">
        <v>4158</v>
      </c>
      <c r="EBH1" s="331" t="s">
        <v>4159</v>
      </c>
      <c r="EBI1" s="331" t="s">
        <v>4160</v>
      </c>
      <c r="EBJ1" s="331" t="s">
        <v>4161</v>
      </c>
      <c r="EBK1" s="331" t="s">
        <v>4162</v>
      </c>
      <c r="EBL1" s="331" t="s">
        <v>4163</v>
      </c>
      <c r="EBM1" s="331" t="s">
        <v>4164</v>
      </c>
      <c r="EBN1" s="331" t="s">
        <v>4165</v>
      </c>
      <c r="EBO1" s="331" t="s">
        <v>4166</v>
      </c>
      <c r="EBP1" s="331" t="s">
        <v>4167</v>
      </c>
      <c r="EBQ1" s="331" t="s">
        <v>4168</v>
      </c>
      <c r="EBR1" s="331" t="s">
        <v>4169</v>
      </c>
      <c r="EBS1" s="331" t="s">
        <v>4170</v>
      </c>
      <c r="EBT1" s="331" t="s">
        <v>4171</v>
      </c>
      <c r="EBU1" s="331" t="s">
        <v>4172</v>
      </c>
      <c r="EBV1" s="331" t="s">
        <v>4173</v>
      </c>
      <c r="EBW1" s="331" t="s">
        <v>4174</v>
      </c>
      <c r="EBX1" s="331" t="s">
        <v>4175</v>
      </c>
      <c r="EBY1" s="331" t="s">
        <v>4176</v>
      </c>
      <c r="EBZ1" s="331" t="s">
        <v>4177</v>
      </c>
      <c r="ECA1" s="331" t="s">
        <v>4178</v>
      </c>
      <c r="ECB1" s="331" t="s">
        <v>4179</v>
      </c>
      <c r="ECC1" s="331" t="s">
        <v>4180</v>
      </c>
      <c r="ECD1" s="331" t="s">
        <v>4181</v>
      </c>
      <c r="ECE1" s="331" t="s">
        <v>4182</v>
      </c>
      <c r="ECF1" s="331" t="s">
        <v>4183</v>
      </c>
      <c r="ECG1" s="331" t="s">
        <v>4184</v>
      </c>
      <c r="ECH1" s="331" t="s">
        <v>4185</v>
      </c>
      <c r="ECI1" s="331" t="s">
        <v>4186</v>
      </c>
      <c r="ECJ1" s="331" t="s">
        <v>4187</v>
      </c>
      <c r="ECK1" s="331" t="s">
        <v>4188</v>
      </c>
      <c r="ECL1" s="331" t="s">
        <v>4189</v>
      </c>
      <c r="ECM1" s="331" t="s">
        <v>4190</v>
      </c>
      <c r="ECN1" s="331" t="s">
        <v>4191</v>
      </c>
      <c r="ECO1" s="331" t="s">
        <v>4192</v>
      </c>
      <c r="ECP1" s="331" t="s">
        <v>4193</v>
      </c>
      <c r="ECQ1" s="331" t="s">
        <v>4194</v>
      </c>
      <c r="ECR1" s="331" t="s">
        <v>4195</v>
      </c>
      <c r="ECS1" s="331" t="s">
        <v>4196</v>
      </c>
      <c r="ECT1" s="331" t="s">
        <v>4197</v>
      </c>
      <c r="ECU1" s="331" t="s">
        <v>4198</v>
      </c>
      <c r="ECV1" s="331" t="s">
        <v>4199</v>
      </c>
      <c r="ECW1" s="331" t="s">
        <v>4200</v>
      </c>
      <c r="ECX1" s="331" t="s">
        <v>4201</v>
      </c>
      <c r="ECY1" s="331" t="s">
        <v>4202</v>
      </c>
      <c r="ECZ1" s="331" t="s">
        <v>4203</v>
      </c>
      <c r="EDA1" s="331" t="s">
        <v>4204</v>
      </c>
      <c r="EDB1" s="331" t="s">
        <v>4205</v>
      </c>
      <c r="EDC1" s="331" t="s">
        <v>4206</v>
      </c>
      <c r="EDD1" s="331" t="s">
        <v>4207</v>
      </c>
      <c r="EDE1" s="331" t="s">
        <v>4208</v>
      </c>
      <c r="EDF1" s="331" t="s">
        <v>4209</v>
      </c>
      <c r="EDG1" s="331" t="s">
        <v>4210</v>
      </c>
      <c r="EDH1" s="331" t="s">
        <v>4211</v>
      </c>
      <c r="EDI1" s="331" t="s">
        <v>4212</v>
      </c>
      <c r="EDJ1" s="331" t="s">
        <v>4213</v>
      </c>
      <c r="EDK1" s="331" t="s">
        <v>4214</v>
      </c>
      <c r="EDL1" s="331" t="s">
        <v>4215</v>
      </c>
      <c r="EDM1" s="331" t="s">
        <v>4216</v>
      </c>
      <c r="EDN1" s="331" t="s">
        <v>4217</v>
      </c>
      <c r="EDO1" s="331" t="s">
        <v>4218</v>
      </c>
      <c r="EDP1" s="331" t="s">
        <v>4219</v>
      </c>
      <c r="EDQ1" s="331" t="s">
        <v>4220</v>
      </c>
      <c r="EDR1" s="331" t="s">
        <v>4221</v>
      </c>
      <c r="EDS1" s="331" t="s">
        <v>4222</v>
      </c>
      <c r="EDT1" s="331" t="s">
        <v>4223</v>
      </c>
      <c r="EDU1" s="331" t="s">
        <v>4224</v>
      </c>
      <c r="EDV1" s="331" t="s">
        <v>4225</v>
      </c>
      <c r="EDW1" s="331" t="s">
        <v>4226</v>
      </c>
      <c r="EDX1" s="331" t="s">
        <v>4227</v>
      </c>
      <c r="EDY1" s="331" t="s">
        <v>4228</v>
      </c>
      <c r="EDZ1" s="331" t="s">
        <v>4229</v>
      </c>
      <c r="EEA1" s="331" t="s">
        <v>4230</v>
      </c>
      <c r="EEB1" s="331" t="s">
        <v>4231</v>
      </c>
      <c r="EEC1" s="331" t="s">
        <v>4232</v>
      </c>
      <c r="EED1" s="331" t="s">
        <v>4233</v>
      </c>
      <c r="EEE1" s="331" t="s">
        <v>4234</v>
      </c>
      <c r="EEF1" s="331" t="s">
        <v>4235</v>
      </c>
      <c r="EEG1" s="331" t="s">
        <v>4236</v>
      </c>
      <c r="EEH1" s="331" t="s">
        <v>4237</v>
      </c>
      <c r="EEI1" s="331" t="s">
        <v>4238</v>
      </c>
      <c r="EEJ1" s="331" t="s">
        <v>4239</v>
      </c>
      <c r="EEK1" s="331" t="s">
        <v>4240</v>
      </c>
      <c r="EEL1" s="331" t="s">
        <v>4241</v>
      </c>
      <c r="EEM1" s="331" t="s">
        <v>4242</v>
      </c>
      <c r="EEN1" s="331" t="s">
        <v>4243</v>
      </c>
      <c r="EEO1" s="331" t="s">
        <v>4244</v>
      </c>
      <c r="EEP1" s="331" t="s">
        <v>4245</v>
      </c>
      <c r="EEQ1" s="331" t="s">
        <v>4246</v>
      </c>
      <c r="EER1" s="331" t="s">
        <v>4247</v>
      </c>
      <c r="EES1" s="331" t="s">
        <v>4248</v>
      </c>
      <c r="EET1" s="331" t="s">
        <v>4249</v>
      </c>
      <c r="EEU1" s="331" t="s">
        <v>4250</v>
      </c>
      <c r="EEV1" s="331" t="s">
        <v>4251</v>
      </c>
      <c r="EEW1" s="331" t="s">
        <v>4252</v>
      </c>
      <c r="EEX1" s="331" t="s">
        <v>4253</v>
      </c>
      <c r="EEY1" s="331" t="s">
        <v>4254</v>
      </c>
      <c r="EEZ1" s="331" t="s">
        <v>4255</v>
      </c>
      <c r="EFA1" s="331" t="s">
        <v>4256</v>
      </c>
      <c r="EFB1" s="331" t="s">
        <v>4257</v>
      </c>
      <c r="EFC1" s="331" t="s">
        <v>4258</v>
      </c>
      <c r="EFD1" s="331" t="s">
        <v>4259</v>
      </c>
      <c r="EFE1" s="331" t="s">
        <v>4260</v>
      </c>
      <c r="EFF1" s="331" t="s">
        <v>4261</v>
      </c>
      <c r="EFG1" s="331" t="s">
        <v>4262</v>
      </c>
      <c r="EFH1" s="331" t="s">
        <v>4263</v>
      </c>
      <c r="EFI1" s="331" t="s">
        <v>4264</v>
      </c>
      <c r="EFJ1" s="331" t="s">
        <v>4265</v>
      </c>
      <c r="EFK1" s="331" t="s">
        <v>4266</v>
      </c>
      <c r="EFL1" s="331" t="s">
        <v>4267</v>
      </c>
      <c r="EFM1" s="331" t="s">
        <v>4268</v>
      </c>
      <c r="EFN1" s="331" t="s">
        <v>4269</v>
      </c>
      <c r="EFO1" s="331" t="s">
        <v>4270</v>
      </c>
      <c r="EFP1" s="331" t="s">
        <v>4271</v>
      </c>
      <c r="EFQ1" s="331" t="s">
        <v>4272</v>
      </c>
      <c r="EFR1" s="331" t="s">
        <v>4273</v>
      </c>
      <c r="EFS1" s="331" t="s">
        <v>4274</v>
      </c>
      <c r="EFT1" s="331" t="s">
        <v>4275</v>
      </c>
      <c r="EFU1" s="331" t="s">
        <v>4276</v>
      </c>
      <c r="EFV1" s="331" t="s">
        <v>4277</v>
      </c>
      <c r="EFW1" s="331" t="s">
        <v>4278</v>
      </c>
      <c r="EFX1" s="331" t="s">
        <v>4279</v>
      </c>
      <c r="EFY1" s="331" t="s">
        <v>4280</v>
      </c>
      <c r="EFZ1" s="331" t="s">
        <v>4281</v>
      </c>
      <c r="EGA1" s="331" t="s">
        <v>4282</v>
      </c>
      <c r="EGB1" s="331" t="s">
        <v>4283</v>
      </c>
      <c r="EGC1" s="331" t="s">
        <v>4284</v>
      </c>
      <c r="EGD1" s="331" t="s">
        <v>4285</v>
      </c>
      <c r="EGE1" s="331" t="s">
        <v>4286</v>
      </c>
      <c r="EGF1" s="331" t="s">
        <v>4287</v>
      </c>
      <c r="EGG1" s="331" t="s">
        <v>4288</v>
      </c>
      <c r="EGH1" s="331" t="s">
        <v>4289</v>
      </c>
      <c r="EGI1" s="331" t="s">
        <v>4290</v>
      </c>
      <c r="EGJ1" s="331" t="s">
        <v>4291</v>
      </c>
      <c r="EGK1" s="331" t="s">
        <v>4292</v>
      </c>
      <c r="EGL1" s="331" t="s">
        <v>4293</v>
      </c>
      <c r="EGM1" s="331" t="s">
        <v>4294</v>
      </c>
      <c r="EGN1" s="331" t="s">
        <v>4295</v>
      </c>
      <c r="EGO1" s="331" t="s">
        <v>4296</v>
      </c>
      <c r="EGP1" s="331" t="s">
        <v>4297</v>
      </c>
      <c r="EGQ1" s="331" t="s">
        <v>4298</v>
      </c>
      <c r="EGR1" s="331" t="s">
        <v>4299</v>
      </c>
      <c r="EGS1" s="331" t="s">
        <v>4300</v>
      </c>
      <c r="EGT1" s="331" t="s">
        <v>4301</v>
      </c>
      <c r="EGU1" s="331" t="s">
        <v>4302</v>
      </c>
      <c r="EGV1" s="331" t="s">
        <v>4303</v>
      </c>
      <c r="EGW1" s="331" t="s">
        <v>4304</v>
      </c>
      <c r="EGX1" s="331" t="s">
        <v>4305</v>
      </c>
      <c r="EGY1" s="331" t="s">
        <v>4306</v>
      </c>
      <c r="EGZ1" s="331" t="s">
        <v>4307</v>
      </c>
      <c r="EHA1" s="331" t="s">
        <v>4308</v>
      </c>
      <c r="EHB1" s="331" t="s">
        <v>4309</v>
      </c>
      <c r="EHC1" s="331" t="s">
        <v>4310</v>
      </c>
      <c r="EHD1" s="331" t="s">
        <v>4311</v>
      </c>
      <c r="EHE1" s="331" t="s">
        <v>4312</v>
      </c>
      <c r="EHF1" s="331" t="s">
        <v>4313</v>
      </c>
      <c r="EHG1" s="331" t="s">
        <v>4314</v>
      </c>
      <c r="EHH1" s="331" t="s">
        <v>4315</v>
      </c>
      <c r="EHI1" s="331" t="s">
        <v>4316</v>
      </c>
      <c r="EHJ1" s="331" t="s">
        <v>4317</v>
      </c>
      <c r="EHK1" s="331" t="s">
        <v>4318</v>
      </c>
      <c r="EHL1" s="331" t="s">
        <v>4319</v>
      </c>
      <c r="EHM1" s="331" t="s">
        <v>4320</v>
      </c>
      <c r="EHN1" s="331" t="s">
        <v>4321</v>
      </c>
      <c r="EHO1" s="331" t="s">
        <v>4322</v>
      </c>
      <c r="EHP1" s="331" t="s">
        <v>4323</v>
      </c>
      <c r="EHQ1" s="331" t="s">
        <v>4324</v>
      </c>
      <c r="EHR1" s="331" t="s">
        <v>4325</v>
      </c>
      <c r="EHS1" s="331" t="s">
        <v>4326</v>
      </c>
      <c r="EHT1" s="331" t="s">
        <v>4327</v>
      </c>
      <c r="EHU1" s="331" t="s">
        <v>4328</v>
      </c>
      <c r="EHV1" s="331" t="s">
        <v>4329</v>
      </c>
      <c r="EHW1" s="331" t="s">
        <v>4330</v>
      </c>
      <c r="EHX1" s="331" t="s">
        <v>4331</v>
      </c>
      <c r="EHY1" s="331" t="s">
        <v>4332</v>
      </c>
      <c r="EHZ1" s="331" t="s">
        <v>4333</v>
      </c>
      <c r="EIA1" s="331" t="s">
        <v>4334</v>
      </c>
      <c r="EIB1" s="331" t="s">
        <v>4335</v>
      </c>
      <c r="EIC1" s="331" t="s">
        <v>4336</v>
      </c>
      <c r="EID1" s="331" t="s">
        <v>4337</v>
      </c>
      <c r="EIE1" s="331" t="s">
        <v>4338</v>
      </c>
      <c r="EIF1" s="331" t="s">
        <v>4339</v>
      </c>
      <c r="EIG1" s="331" t="s">
        <v>4340</v>
      </c>
      <c r="EIH1" s="331" t="s">
        <v>4341</v>
      </c>
      <c r="EII1" s="331" t="s">
        <v>4342</v>
      </c>
      <c r="EIJ1" s="331" t="s">
        <v>4343</v>
      </c>
      <c r="EIK1" s="331" t="s">
        <v>4344</v>
      </c>
      <c r="EIL1" s="331" t="s">
        <v>4345</v>
      </c>
      <c r="EIM1" s="331" t="s">
        <v>4346</v>
      </c>
      <c r="EIN1" s="331" t="s">
        <v>4347</v>
      </c>
      <c r="EIO1" s="331" t="s">
        <v>4348</v>
      </c>
      <c r="EIP1" s="331" t="s">
        <v>4349</v>
      </c>
      <c r="EIQ1" s="331" t="s">
        <v>4350</v>
      </c>
      <c r="EIR1" s="331" t="s">
        <v>4351</v>
      </c>
      <c r="EIS1" s="331" t="s">
        <v>4352</v>
      </c>
      <c r="EIT1" s="331" t="s">
        <v>4353</v>
      </c>
      <c r="EIU1" s="331" t="s">
        <v>4354</v>
      </c>
      <c r="EIV1" s="331" t="s">
        <v>4355</v>
      </c>
      <c r="EIW1" s="331" t="s">
        <v>4356</v>
      </c>
      <c r="EIX1" s="331" t="s">
        <v>4357</v>
      </c>
      <c r="EIY1" s="331" t="s">
        <v>4358</v>
      </c>
      <c r="EIZ1" s="331" t="s">
        <v>4359</v>
      </c>
      <c r="EJA1" s="331" t="s">
        <v>4360</v>
      </c>
      <c r="EJB1" s="331" t="s">
        <v>4361</v>
      </c>
      <c r="EJC1" s="331" t="s">
        <v>4362</v>
      </c>
      <c r="EJD1" s="331" t="s">
        <v>4363</v>
      </c>
      <c r="EJE1" s="331" t="s">
        <v>4364</v>
      </c>
      <c r="EJF1" s="331" t="s">
        <v>4365</v>
      </c>
      <c r="EJG1" s="331" t="s">
        <v>4366</v>
      </c>
      <c r="EJH1" s="331" t="s">
        <v>4367</v>
      </c>
      <c r="EJI1" s="331" t="s">
        <v>4368</v>
      </c>
      <c r="EJJ1" s="331" t="s">
        <v>4369</v>
      </c>
      <c r="EJK1" s="331" t="s">
        <v>4370</v>
      </c>
      <c r="EJL1" s="331" t="s">
        <v>4371</v>
      </c>
      <c r="EJM1" s="331" t="s">
        <v>4372</v>
      </c>
      <c r="EJN1" s="331" t="s">
        <v>4373</v>
      </c>
      <c r="EJO1" s="331" t="s">
        <v>4374</v>
      </c>
      <c r="EJP1" s="331" t="s">
        <v>4375</v>
      </c>
      <c r="EJQ1" s="331" t="s">
        <v>4376</v>
      </c>
      <c r="EJR1" s="331" t="s">
        <v>4377</v>
      </c>
      <c r="EJS1" s="331" t="s">
        <v>4378</v>
      </c>
      <c r="EJT1" s="331" t="s">
        <v>4379</v>
      </c>
      <c r="EJU1" s="331" t="s">
        <v>4380</v>
      </c>
      <c r="EJV1" s="331" t="s">
        <v>4381</v>
      </c>
      <c r="EJW1" s="331" t="s">
        <v>4382</v>
      </c>
      <c r="EJX1" s="331" t="s">
        <v>4383</v>
      </c>
      <c r="EJY1" s="331" t="s">
        <v>4384</v>
      </c>
      <c r="EJZ1" s="331" t="s">
        <v>4385</v>
      </c>
      <c r="EKA1" s="331" t="s">
        <v>4386</v>
      </c>
      <c r="EKB1" s="331" t="s">
        <v>4387</v>
      </c>
      <c r="EKC1" s="331" t="s">
        <v>4388</v>
      </c>
      <c r="EKD1" s="331" t="s">
        <v>4389</v>
      </c>
      <c r="EKE1" s="331" t="s">
        <v>4390</v>
      </c>
      <c r="EKF1" s="331" t="s">
        <v>4391</v>
      </c>
      <c r="EKG1" s="331" t="s">
        <v>4392</v>
      </c>
      <c r="EKH1" s="331" t="s">
        <v>4393</v>
      </c>
      <c r="EKI1" s="331" t="s">
        <v>4394</v>
      </c>
      <c r="EKJ1" s="331" t="s">
        <v>4395</v>
      </c>
      <c r="EKK1" s="331" t="s">
        <v>4396</v>
      </c>
      <c r="EKL1" s="331" t="s">
        <v>4397</v>
      </c>
      <c r="EKM1" s="331" t="s">
        <v>4398</v>
      </c>
      <c r="EKN1" s="331" t="s">
        <v>4399</v>
      </c>
      <c r="EKO1" s="331" t="s">
        <v>4400</v>
      </c>
      <c r="EKP1" s="331" t="s">
        <v>4401</v>
      </c>
      <c r="EKQ1" s="331" t="s">
        <v>4402</v>
      </c>
      <c r="EKR1" s="331" t="s">
        <v>4403</v>
      </c>
      <c r="EKS1" s="331" t="s">
        <v>4404</v>
      </c>
      <c r="EKT1" s="331" t="s">
        <v>4405</v>
      </c>
      <c r="EKU1" s="331" t="s">
        <v>4406</v>
      </c>
      <c r="EKV1" s="331" t="s">
        <v>4407</v>
      </c>
      <c r="EKW1" s="331" t="s">
        <v>4408</v>
      </c>
      <c r="EKX1" s="331" t="s">
        <v>4409</v>
      </c>
      <c r="EKY1" s="331" t="s">
        <v>4410</v>
      </c>
      <c r="EKZ1" s="331" t="s">
        <v>4411</v>
      </c>
      <c r="ELA1" s="331" t="s">
        <v>4412</v>
      </c>
      <c r="ELB1" s="331" t="s">
        <v>4413</v>
      </c>
      <c r="ELC1" s="331" t="s">
        <v>4414</v>
      </c>
      <c r="ELD1" s="331" t="s">
        <v>4415</v>
      </c>
      <c r="ELE1" s="331" t="s">
        <v>4416</v>
      </c>
      <c r="ELF1" s="331" t="s">
        <v>4417</v>
      </c>
      <c r="ELG1" s="331" t="s">
        <v>4418</v>
      </c>
      <c r="ELH1" s="331" t="s">
        <v>4419</v>
      </c>
      <c r="ELI1" s="331" t="s">
        <v>4420</v>
      </c>
      <c r="ELJ1" s="331" t="s">
        <v>4421</v>
      </c>
      <c r="ELK1" s="331" t="s">
        <v>4422</v>
      </c>
      <c r="ELL1" s="331" t="s">
        <v>4423</v>
      </c>
      <c r="ELM1" s="331" t="s">
        <v>4424</v>
      </c>
      <c r="ELN1" s="331" t="s">
        <v>4425</v>
      </c>
      <c r="ELO1" s="331" t="s">
        <v>4426</v>
      </c>
      <c r="ELP1" s="331" t="s">
        <v>4427</v>
      </c>
      <c r="ELQ1" s="331" t="s">
        <v>4428</v>
      </c>
      <c r="ELR1" s="331" t="s">
        <v>4429</v>
      </c>
      <c r="ELS1" s="331" t="s">
        <v>4430</v>
      </c>
      <c r="ELT1" s="331" t="s">
        <v>4431</v>
      </c>
      <c r="ELU1" s="331" t="s">
        <v>4432</v>
      </c>
      <c r="ELV1" s="331" t="s">
        <v>4433</v>
      </c>
      <c r="ELW1" s="331" t="s">
        <v>4434</v>
      </c>
      <c r="ELX1" s="331" t="s">
        <v>4435</v>
      </c>
      <c r="ELY1" s="331" t="s">
        <v>4436</v>
      </c>
      <c r="ELZ1" s="331" t="s">
        <v>4437</v>
      </c>
      <c r="EMA1" s="331" t="s">
        <v>4438</v>
      </c>
      <c r="EMB1" s="331" t="s">
        <v>4439</v>
      </c>
      <c r="EMC1" s="331" t="s">
        <v>4440</v>
      </c>
      <c r="EMD1" s="331" t="s">
        <v>4441</v>
      </c>
      <c r="EME1" s="331" t="s">
        <v>4442</v>
      </c>
      <c r="EMF1" s="331" t="s">
        <v>4443</v>
      </c>
      <c r="EMG1" s="331" t="s">
        <v>4444</v>
      </c>
      <c r="EMH1" s="331" t="s">
        <v>4445</v>
      </c>
      <c r="EMI1" s="331" t="s">
        <v>4446</v>
      </c>
      <c r="EMJ1" s="331" t="s">
        <v>4447</v>
      </c>
      <c r="EMK1" s="331" t="s">
        <v>4448</v>
      </c>
      <c r="EML1" s="331" t="s">
        <v>4449</v>
      </c>
      <c r="EMM1" s="331" t="s">
        <v>4450</v>
      </c>
      <c r="EMN1" s="331" t="s">
        <v>4451</v>
      </c>
      <c r="EMO1" s="331" t="s">
        <v>4452</v>
      </c>
      <c r="EMP1" s="331" t="s">
        <v>4453</v>
      </c>
      <c r="EMQ1" s="331" t="s">
        <v>4454</v>
      </c>
      <c r="EMR1" s="331" t="s">
        <v>4455</v>
      </c>
      <c r="EMS1" s="331" t="s">
        <v>4456</v>
      </c>
      <c r="EMT1" s="331" t="s">
        <v>4457</v>
      </c>
      <c r="EMU1" s="331" t="s">
        <v>4458</v>
      </c>
      <c r="EMV1" s="331" t="s">
        <v>4459</v>
      </c>
      <c r="EMW1" s="331" t="s">
        <v>4460</v>
      </c>
      <c r="EMX1" s="331" t="s">
        <v>4461</v>
      </c>
      <c r="EMY1" s="331" t="s">
        <v>4462</v>
      </c>
      <c r="EMZ1" s="331" t="s">
        <v>4463</v>
      </c>
      <c r="ENA1" s="331" t="s">
        <v>4464</v>
      </c>
      <c r="ENB1" s="331" t="s">
        <v>4465</v>
      </c>
      <c r="ENC1" s="331" t="s">
        <v>4466</v>
      </c>
      <c r="END1" s="331" t="s">
        <v>4467</v>
      </c>
      <c r="ENE1" s="331" t="s">
        <v>4468</v>
      </c>
      <c r="ENF1" s="331" t="s">
        <v>4469</v>
      </c>
      <c r="ENG1" s="331" t="s">
        <v>4470</v>
      </c>
      <c r="ENH1" s="331" t="s">
        <v>4471</v>
      </c>
      <c r="ENI1" s="331" t="s">
        <v>4472</v>
      </c>
      <c r="ENJ1" s="331" t="s">
        <v>4473</v>
      </c>
      <c r="ENK1" s="331" t="s">
        <v>4474</v>
      </c>
      <c r="ENL1" s="331" t="s">
        <v>4475</v>
      </c>
      <c r="ENM1" s="331" t="s">
        <v>4476</v>
      </c>
      <c r="ENN1" s="331" t="s">
        <v>4477</v>
      </c>
      <c r="ENO1" s="331" t="s">
        <v>4478</v>
      </c>
      <c r="ENP1" s="331" t="s">
        <v>4479</v>
      </c>
      <c r="ENQ1" s="331" t="s">
        <v>4480</v>
      </c>
      <c r="ENR1" s="331" t="s">
        <v>4481</v>
      </c>
      <c r="ENS1" s="331" t="s">
        <v>4482</v>
      </c>
      <c r="ENT1" s="331" t="s">
        <v>4483</v>
      </c>
      <c r="ENU1" s="331" t="s">
        <v>4484</v>
      </c>
      <c r="ENV1" s="331" t="s">
        <v>4485</v>
      </c>
      <c r="ENW1" s="331" t="s">
        <v>4486</v>
      </c>
      <c r="ENX1" s="331" t="s">
        <v>4487</v>
      </c>
      <c r="ENY1" s="331" t="s">
        <v>4488</v>
      </c>
      <c r="ENZ1" s="331" t="s">
        <v>4489</v>
      </c>
      <c r="EOA1" s="331" t="s">
        <v>4490</v>
      </c>
      <c r="EOB1" s="331" t="s">
        <v>4491</v>
      </c>
      <c r="EOC1" s="331" t="s">
        <v>4492</v>
      </c>
      <c r="EOD1" s="331" t="s">
        <v>4493</v>
      </c>
      <c r="EOE1" s="331" t="s">
        <v>4494</v>
      </c>
      <c r="EOF1" s="331" t="s">
        <v>4495</v>
      </c>
      <c r="EOG1" s="331" t="s">
        <v>4496</v>
      </c>
      <c r="EOH1" s="331" t="s">
        <v>4497</v>
      </c>
      <c r="EOI1" s="331" t="s">
        <v>4498</v>
      </c>
      <c r="EOJ1" s="331" t="s">
        <v>4499</v>
      </c>
      <c r="EOK1" s="331" t="s">
        <v>4500</v>
      </c>
      <c r="EOL1" s="331" t="s">
        <v>4501</v>
      </c>
      <c r="EOM1" s="331" t="s">
        <v>4502</v>
      </c>
      <c r="EON1" s="331" t="s">
        <v>4503</v>
      </c>
      <c r="EOO1" s="331" t="s">
        <v>4504</v>
      </c>
      <c r="EOP1" s="331" t="s">
        <v>4505</v>
      </c>
      <c r="EOQ1" s="331" t="s">
        <v>4506</v>
      </c>
      <c r="EOR1" s="331" t="s">
        <v>4507</v>
      </c>
      <c r="EOS1" s="331" t="s">
        <v>4508</v>
      </c>
      <c r="EOT1" s="331" t="s">
        <v>4509</v>
      </c>
      <c r="EOU1" s="331" t="s">
        <v>4510</v>
      </c>
      <c r="EOV1" s="331" t="s">
        <v>4511</v>
      </c>
      <c r="EOW1" s="331" t="s">
        <v>4512</v>
      </c>
      <c r="EOX1" s="331" t="s">
        <v>4513</v>
      </c>
      <c r="EOY1" s="331" t="s">
        <v>4514</v>
      </c>
      <c r="EOZ1" s="331" t="s">
        <v>4515</v>
      </c>
      <c r="EPA1" s="331" t="s">
        <v>4516</v>
      </c>
      <c r="EPB1" s="331" t="s">
        <v>4517</v>
      </c>
      <c r="EPC1" s="331" t="s">
        <v>4518</v>
      </c>
      <c r="EPD1" s="331" t="s">
        <v>4519</v>
      </c>
      <c r="EPE1" s="331" t="s">
        <v>4520</v>
      </c>
      <c r="EPF1" s="331" t="s">
        <v>4521</v>
      </c>
      <c r="EPG1" s="331" t="s">
        <v>4522</v>
      </c>
      <c r="EPH1" s="331" t="s">
        <v>4523</v>
      </c>
      <c r="EPI1" s="331" t="s">
        <v>4524</v>
      </c>
      <c r="EPJ1" s="331" t="s">
        <v>4525</v>
      </c>
      <c r="EPK1" s="331" t="s">
        <v>4526</v>
      </c>
      <c r="EPL1" s="331" t="s">
        <v>4527</v>
      </c>
      <c r="EPM1" s="331" t="s">
        <v>4528</v>
      </c>
      <c r="EPN1" s="331" t="s">
        <v>4529</v>
      </c>
      <c r="EPO1" s="331" t="s">
        <v>4530</v>
      </c>
      <c r="EPP1" s="331" t="s">
        <v>4531</v>
      </c>
      <c r="EPQ1" s="331" t="s">
        <v>4532</v>
      </c>
      <c r="EPR1" s="331" t="s">
        <v>4533</v>
      </c>
      <c r="EPS1" s="331" t="s">
        <v>4534</v>
      </c>
      <c r="EPT1" s="331" t="s">
        <v>4535</v>
      </c>
      <c r="EPU1" s="331" t="s">
        <v>4536</v>
      </c>
      <c r="EPV1" s="331" t="s">
        <v>4537</v>
      </c>
      <c r="EPW1" s="331" t="s">
        <v>4538</v>
      </c>
      <c r="EPX1" s="331" t="s">
        <v>4539</v>
      </c>
      <c r="EPY1" s="331" t="s">
        <v>4540</v>
      </c>
      <c r="EPZ1" s="331" t="s">
        <v>4541</v>
      </c>
      <c r="EQA1" s="331" t="s">
        <v>4542</v>
      </c>
      <c r="EQB1" s="331" t="s">
        <v>4543</v>
      </c>
      <c r="EQC1" s="331" t="s">
        <v>4544</v>
      </c>
      <c r="EQD1" s="331" t="s">
        <v>4545</v>
      </c>
      <c r="EQE1" s="331" t="s">
        <v>4546</v>
      </c>
      <c r="EQF1" s="331" t="s">
        <v>4547</v>
      </c>
      <c r="EQG1" s="331" t="s">
        <v>4548</v>
      </c>
      <c r="EQH1" s="331" t="s">
        <v>4549</v>
      </c>
      <c r="EQI1" s="331" t="s">
        <v>4550</v>
      </c>
      <c r="EQJ1" s="331" t="s">
        <v>4551</v>
      </c>
      <c r="EQK1" s="331" t="s">
        <v>4552</v>
      </c>
      <c r="EQL1" s="331" t="s">
        <v>4553</v>
      </c>
      <c r="EQM1" s="331" t="s">
        <v>4554</v>
      </c>
      <c r="EQN1" s="331" t="s">
        <v>4555</v>
      </c>
      <c r="EQO1" s="331" t="s">
        <v>4556</v>
      </c>
      <c r="EQP1" s="331" t="s">
        <v>4557</v>
      </c>
      <c r="EQQ1" s="331" t="s">
        <v>4558</v>
      </c>
      <c r="EQR1" s="331" t="s">
        <v>4559</v>
      </c>
      <c r="EQS1" s="331" t="s">
        <v>4560</v>
      </c>
      <c r="EQT1" s="331" t="s">
        <v>4561</v>
      </c>
      <c r="EQU1" s="331" t="s">
        <v>4562</v>
      </c>
      <c r="EQV1" s="331" t="s">
        <v>4563</v>
      </c>
      <c r="EQW1" s="331" t="s">
        <v>4564</v>
      </c>
      <c r="EQX1" s="331" t="s">
        <v>4565</v>
      </c>
      <c r="EQY1" s="331" t="s">
        <v>4566</v>
      </c>
      <c r="EQZ1" s="331" t="s">
        <v>4567</v>
      </c>
      <c r="ERA1" s="331" t="s">
        <v>4568</v>
      </c>
      <c r="ERB1" s="331" t="s">
        <v>4569</v>
      </c>
      <c r="ERC1" s="331" t="s">
        <v>4570</v>
      </c>
      <c r="ERD1" s="331" t="s">
        <v>4571</v>
      </c>
      <c r="ERE1" s="331" t="s">
        <v>4572</v>
      </c>
      <c r="ERF1" s="331" t="s">
        <v>4573</v>
      </c>
      <c r="ERG1" s="331" t="s">
        <v>4574</v>
      </c>
      <c r="ERH1" s="331" t="s">
        <v>4575</v>
      </c>
      <c r="ERI1" s="331" t="s">
        <v>4576</v>
      </c>
      <c r="ERJ1" s="331" t="s">
        <v>4577</v>
      </c>
      <c r="ERK1" s="331" t="s">
        <v>4578</v>
      </c>
      <c r="ERL1" s="331" t="s">
        <v>4579</v>
      </c>
      <c r="ERM1" s="331" t="s">
        <v>4580</v>
      </c>
      <c r="ERN1" s="331" t="s">
        <v>4581</v>
      </c>
      <c r="ERO1" s="331" t="s">
        <v>4582</v>
      </c>
      <c r="ERP1" s="331" t="s">
        <v>4583</v>
      </c>
      <c r="ERQ1" s="331" t="s">
        <v>4584</v>
      </c>
      <c r="ERR1" s="331" t="s">
        <v>4585</v>
      </c>
      <c r="ERS1" s="331" t="s">
        <v>4586</v>
      </c>
      <c r="ERT1" s="331" t="s">
        <v>4587</v>
      </c>
      <c r="ERU1" s="331" t="s">
        <v>4588</v>
      </c>
      <c r="ERV1" s="331" t="s">
        <v>4589</v>
      </c>
      <c r="ERW1" s="331" t="s">
        <v>4590</v>
      </c>
      <c r="ERX1" s="331" t="s">
        <v>4591</v>
      </c>
      <c r="ERY1" s="331" t="s">
        <v>4592</v>
      </c>
      <c r="ERZ1" s="331" t="s">
        <v>4593</v>
      </c>
      <c r="ESA1" s="331" t="s">
        <v>4594</v>
      </c>
      <c r="ESB1" s="331" t="s">
        <v>4595</v>
      </c>
      <c r="ESC1" s="331" t="s">
        <v>4596</v>
      </c>
      <c r="ESD1" s="331" t="s">
        <v>4597</v>
      </c>
      <c r="ESE1" s="331" t="s">
        <v>4598</v>
      </c>
      <c r="ESF1" s="331" t="s">
        <v>4599</v>
      </c>
      <c r="ESG1" s="331" t="s">
        <v>4600</v>
      </c>
      <c r="ESH1" s="331" t="s">
        <v>4601</v>
      </c>
      <c r="ESI1" s="331" t="s">
        <v>4602</v>
      </c>
      <c r="ESJ1" s="331" t="s">
        <v>4603</v>
      </c>
      <c r="ESK1" s="331" t="s">
        <v>4604</v>
      </c>
      <c r="ESL1" s="331" t="s">
        <v>4605</v>
      </c>
      <c r="ESM1" s="331" t="s">
        <v>4606</v>
      </c>
      <c r="ESN1" s="331" t="s">
        <v>4607</v>
      </c>
      <c r="ESO1" s="331" t="s">
        <v>4608</v>
      </c>
      <c r="ESP1" s="331" t="s">
        <v>4609</v>
      </c>
      <c r="ESQ1" s="331" t="s">
        <v>4610</v>
      </c>
      <c r="ESR1" s="331" t="s">
        <v>4611</v>
      </c>
      <c r="ESS1" s="331" t="s">
        <v>4612</v>
      </c>
      <c r="EST1" s="331" t="s">
        <v>4613</v>
      </c>
      <c r="ESU1" s="331" t="s">
        <v>4614</v>
      </c>
      <c r="ESV1" s="331" t="s">
        <v>4615</v>
      </c>
      <c r="ESW1" s="331" t="s">
        <v>4616</v>
      </c>
      <c r="ESX1" s="331" t="s">
        <v>4617</v>
      </c>
      <c r="ESY1" s="331" t="s">
        <v>4618</v>
      </c>
      <c r="ESZ1" s="331" t="s">
        <v>4619</v>
      </c>
      <c r="ETA1" s="331" t="s">
        <v>4620</v>
      </c>
      <c r="ETB1" s="331" t="s">
        <v>4621</v>
      </c>
      <c r="ETC1" s="331" t="s">
        <v>4622</v>
      </c>
      <c r="ETD1" s="331" t="s">
        <v>4623</v>
      </c>
      <c r="ETE1" s="331" t="s">
        <v>4624</v>
      </c>
      <c r="ETF1" s="331" t="s">
        <v>4625</v>
      </c>
      <c r="ETG1" s="331" t="s">
        <v>4626</v>
      </c>
      <c r="ETH1" s="331" t="s">
        <v>4627</v>
      </c>
      <c r="ETI1" s="331" t="s">
        <v>4628</v>
      </c>
      <c r="ETJ1" s="331" t="s">
        <v>4629</v>
      </c>
      <c r="ETK1" s="331" t="s">
        <v>4630</v>
      </c>
      <c r="ETL1" s="331" t="s">
        <v>4631</v>
      </c>
      <c r="ETM1" s="331" t="s">
        <v>4632</v>
      </c>
      <c r="ETN1" s="331" t="s">
        <v>4633</v>
      </c>
      <c r="ETO1" s="331" t="s">
        <v>4634</v>
      </c>
      <c r="ETP1" s="331" t="s">
        <v>4635</v>
      </c>
      <c r="ETQ1" s="331" t="s">
        <v>4636</v>
      </c>
      <c r="ETR1" s="331" t="s">
        <v>4637</v>
      </c>
      <c r="ETS1" s="331" t="s">
        <v>4638</v>
      </c>
      <c r="ETT1" s="331" t="s">
        <v>4639</v>
      </c>
      <c r="ETU1" s="331" t="s">
        <v>4640</v>
      </c>
      <c r="ETV1" s="331" t="s">
        <v>4641</v>
      </c>
      <c r="ETW1" s="331" t="s">
        <v>4642</v>
      </c>
      <c r="ETX1" s="331" t="s">
        <v>4643</v>
      </c>
      <c r="ETY1" s="331" t="s">
        <v>4644</v>
      </c>
      <c r="ETZ1" s="331" t="s">
        <v>4645</v>
      </c>
      <c r="EUA1" s="331" t="s">
        <v>4646</v>
      </c>
      <c r="EUB1" s="331" t="s">
        <v>4647</v>
      </c>
      <c r="EUC1" s="331" t="s">
        <v>4648</v>
      </c>
      <c r="EUD1" s="331" t="s">
        <v>4649</v>
      </c>
      <c r="EUE1" s="331" t="s">
        <v>4650</v>
      </c>
      <c r="EUF1" s="331" t="s">
        <v>4651</v>
      </c>
      <c r="EUG1" s="331" t="s">
        <v>4652</v>
      </c>
      <c r="EUH1" s="331" t="s">
        <v>4653</v>
      </c>
      <c r="EUI1" s="331" t="s">
        <v>4654</v>
      </c>
      <c r="EUJ1" s="331" t="s">
        <v>4655</v>
      </c>
      <c r="EUK1" s="331" t="s">
        <v>4656</v>
      </c>
      <c r="EUL1" s="331" t="s">
        <v>4657</v>
      </c>
      <c r="EUM1" s="331" t="s">
        <v>4658</v>
      </c>
      <c r="EUN1" s="331" t="s">
        <v>4659</v>
      </c>
      <c r="EUO1" s="331" t="s">
        <v>4660</v>
      </c>
      <c r="EUP1" s="331" t="s">
        <v>4661</v>
      </c>
      <c r="EUQ1" s="331" t="s">
        <v>4662</v>
      </c>
      <c r="EUR1" s="331" t="s">
        <v>4663</v>
      </c>
      <c r="EUS1" s="331" t="s">
        <v>4664</v>
      </c>
      <c r="EUT1" s="331" t="s">
        <v>4665</v>
      </c>
      <c r="EUU1" s="331" t="s">
        <v>4666</v>
      </c>
      <c r="EUV1" s="331" t="s">
        <v>4667</v>
      </c>
      <c r="EUW1" s="331" t="s">
        <v>4668</v>
      </c>
      <c r="EUX1" s="331" t="s">
        <v>4669</v>
      </c>
      <c r="EUY1" s="331" t="s">
        <v>4670</v>
      </c>
      <c r="EUZ1" s="331" t="s">
        <v>4671</v>
      </c>
      <c r="EVA1" s="331" t="s">
        <v>4672</v>
      </c>
      <c r="EVB1" s="331" t="s">
        <v>4673</v>
      </c>
      <c r="EVC1" s="331" t="s">
        <v>4674</v>
      </c>
      <c r="EVD1" s="331" t="s">
        <v>4675</v>
      </c>
      <c r="EVE1" s="331" t="s">
        <v>4676</v>
      </c>
      <c r="EVF1" s="331" t="s">
        <v>4677</v>
      </c>
      <c r="EVG1" s="331" t="s">
        <v>4678</v>
      </c>
      <c r="EVH1" s="331" t="s">
        <v>4679</v>
      </c>
      <c r="EVI1" s="331" t="s">
        <v>4680</v>
      </c>
      <c r="EVJ1" s="331" t="s">
        <v>4681</v>
      </c>
      <c r="EVK1" s="331" t="s">
        <v>4682</v>
      </c>
      <c r="EVL1" s="331" t="s">
        <v>4683</v>
      </c>
      <c r="EVM1" s="331" t="s">
        <v>4684</v>
      </c>
      <c r="EVN1" s="331" t="s">
        <v>4685</v>
      </c>
      <c r="EVO1" s="331" t="s">
        <v>4686</v>
      </c>
      <c r="EVP1" s="331" t="s">
        <v>4687</v>
      </c>
      <c r="EVQ1" s="331" t="s">
        <v>4688</v>
      </c>
      <c r="EVR1" s="331" t="s">
        <v>4689</v>
      </c>
      <c r="EVS1" s="331" t="s">
        <v>4690</v>
      </c>
      <c r="EVT1" s="331" t="s">
        <v>4691</v>
      </c>
      <c r="EVU1" s="331" t="s">
        <v>4692</v>
      </c>
      <c r="EVV1" s="331" t="s">
        <v>4693</v>
      </c>
      <c r="EVW1" s="331" t="s">
        <v>4694</v>
      </c>
      <c r="EVX1" s="331" t="s">
        <v>4695</v>
      </c>
      <c r="EVY1" s="331" t="s">
        <v>4696</v>
      </c>
      <c r="EVZ1" s="331" t="s">
        <v>4697</v>
      </c>
      <c r="EWA1" s="331" t="s">
        <v>4698</v>
      </c>
      <c r="EWB1" s="331" t="s">
        <v>4699</v>
      </c>
      <c r="EWC1" s="331" t="s">
        <v>4700</v>
      </c>
      <c r="EWD1" s="331" t="s">
        <v>4701</v>
      </c>
      <c r="EWE1" s="331" t="s">
        <v>4702</v>
      </c>
      <c r="EWF1" s="331" t="s">
        <v>4703</v>
      </c>
      <c r="EWG1" s="331" t="s">
        <v>4704</v>
      </c>
      <c r="EWH1" s="331" t="s">
        <v>4705</v>
      </c>
      <c r="EWI1" s="331" t="s">
        <v>4706</v>
      </c>
      <c r="EWJ1" s="331" t="s">
        <v>4707</v>
      </c>
      <c r="EWK1" s="331" t="s">
        <v>4708</v>
      </c>
      <c r="EWL1" s="331" t="s">
        <v>4709</v>
      </c>
      <c r="EWM1" s="331" t="s">
        <v>4710</v>
      </c>
      <c r="EWN1" s="331" t="s">
        <v>4711</v>
      </c>
      <c r="EWO1" s="331" t="s">
        <v>4712</v>
      </c>
      <c r="EWP1" s="331" t="s">
        <v>4713</v>
      </c>
      <c r="EWQ1" s="331" t="s">
        <v>4714</v>
      </c>
      <c r="EWR1" s="331" t="s">
        <v>4715</v>
      </c>
      <c r="EWS1" s="331" t="s">
        <v>4716</v>
      </c>
      <c r="EWT1" s="331" t="s">
        <v>4717</v>
      </c>
      <c r="EWU1" s="331" t="s">
        <v>4718</v>
      </c>
      <c r="EWV1" s="331" t="s">
        <v>4719</v>
      </c>
      <c r="EWW1" s="331" t="s">
        <v>4720</v>
      </c>
      <c r="EWX1" s="331" t="s">
        <v>4721</v>
      </c>
      <c r="EWY1" s="331" t="s">
        <v>4722</v>
      </c>
      <c r="EWZ1" s="331" t="s">
        <v>4723</v>
      </c>
      <c r="EXA1" s="331" t="s">
        <v>4724</v>
      </c>
      <c r="EXB1" s="331" t="s">
        <v>4725</v>
      </c>
      <c r="EXC1" s="331" t="s">
        <v>4726</v>
      </c>
      <c r="EXD1" s="331" t="s">
        <v>4727</v>
      </c>
      <c r="EXE1" s="331" t="s">
        <v>4728</v>
      </c>
      <c r="EXF1" s="331" t="s">
        <v>4729</v>
      </c>
      <c r="EXG1" s="331" t="s">
        <v>4730</v>
      </c>
      <c r="EXH1" s="331" t="s">
        <v>4731</v>
      </c>
      <c r="EXI1" s="331" t="s">
        <v>4732</v>
      </c>
      <c r="EXJ1" s="331" t="s">
        <v>4733</v>
      </c>
      <c r="EXK1" s="331" t="s">
        <v>4734</v>
      </c>
      <c r="EXL1" s="331" t="s">
        <v>4735</v>
      </c>
      <c r="EXM1" s="331" t="s">
        <v>4736</v>
      </c>
      <c r="EXN1" s="331" t="s">
        <v>4737</v>
      </c>
      <c r="EXO1" s="331" t="s">
        <v>4738</v>
      </c>
      <c r="EXP1" s="331" t="s">
        <v>4739</v>
      </c>
      <c r="EXQ1" s="331" t="s">
        <v>4740</v>
      </c>
      <c r="EXR1" s="331" t="s">
        <v>4741</v>
      </c>
      <c r="EXS1" s="331" t="s">
        <v>4742</v>
      </c>
      <c r="EXT1" s="331" t="s">
        <v>4743</v>
      </c>
      <c r="EXU1" s="331" t="s">
        <v>4744</v>
      </c>
      <c r="EXV1" s="331" t="s">
        <v>4745</v>
      </c>
      <c r="EXW1" s="331" t="s">
        <v>4746</v>
      </c>
      <c r="EXX1" s="331" t="s">
        <v>4747</v>
      </c>
      <c r="EXY1" s="331" t="s">
        <v>4748</v>
      </c>
      <c r="EXZ1" s="331" t="s">
        <v>4749</v>
      </c>
      <c r="EYA1" s="331" t="s">
        <v>4750</v>
      </c>
      <c r="EYB1" s="331" t="s">
        <v>4751</v>
      </c>
      <c r="EYC1" s="331" t="s">
        <v>4752</v>
      </c>
      <c r="EYD1" s="331" t="s">
        <v>4753</v>
      </c>
      <c r="EYE1" s="331" t="s">
        <v>4754</v>
      </c>
      <c r="EYF1" s="331" t="s">
        <v>4755</v>
      </c>
      <c r="EYG1" s="331" t="s">
        <v>4756</v>
      </c>
      <c r="EYH1" s="331" t="s">
        <v>4757</v>
      </c>
      <c r="EYI1" s="331" t="s">
        <v>4758</v>
      </c>
      <c r="EYJ1" s="331" t="s">
        <v>4759</v>
      </c>
      <c r="EYK1" s="331" t="s">
        <v>4760</v>
      </c>
      <c r="EYL1" s="331" t="s">
        <v>4761</v>
      </c>
      <c r="EYM1" s="331" t="s">
        <v>4762</v>
      </c>
      <c r="EYN1" s="331" t="s">
        <v>4763</v>
      </c>
      <c r="EYO1" s="331" t="s">
        <v>4764</v>
      </c>
      <c r="EYP1" s="331" t="s">
        <v>4765</v>
      </c>
      <c r="EYQ1" s="331" t="s">
        <v>4766</v>
      </c>
      <c r="EYR1" s="331" t="s">
        <v>4767</v>
      </c>
      <c r="EYS1" s="331" t="s">
        <v>4768</v>
      </c>
      <c r="EYT1" s="331" t="s">
        <v>4769</v>
      </c>
      <c r="EYU1" s="331" t="s">
        <v>4770</v>
      </c>
      <c r="EYV1" s="331" t="s">
        <v>4771</v>
      </c>
      <c r="EYW1" s="331" t="s">
        <v>4772</v>
      </c>
      <c r="EYX1" s="331" t="s">
        <v>4773</v>
      </c>
      <c r="EYY1" s="331" t="s">
        <v>4774</v>
      </c>
      <c r="EYZ1" s="331" t="s">
        <v>4775</v>
      </c>
      <c r="EZA1" s="331" t="s">
        <v>4776</v>
      </c>
      <c r="EZB1" s="331" t="s">
        <v>4777</v>
      </c>
      <c r="EZC1" s="331" t="s">
        <v>4778</v>
      </c>
      <c r="EZD1" s="331" t="s">
        <v>4779</v>
      </c>
      <c r="EZE1" s="331" t="s">
        <v>4780</v>
      </c>
      <c r="EZF1" s="331" t="s">
        <v>4781</v>
      </c>
      <c r="EZG1" s="331" t="s">
        <v>4782</v>
      </c>
      <c r="EZH1" s="331" t="s">
        <v>4783</v>
      </c>
      <c r="EZI1" s="331" t="s">
        <v>4784</v>
      </c>
      <c r="EZJ1" s="331" t="s">
        <v>4785</v>
      </c>
      <c r="EZK1" s="331" t="s">
        <v>4786</v>
      </c>
      <c r="EZL1" s="331" t="s">
        <v>4787</v>
      </c>
      <c r="EZM1" s="331" t="s">
        <v>4788</v>
      </c>
      <c r="EZN1" s="331" t="s">
        <v>4789</v>
      </c>
      <c r="EZO1" s="331" t="s">
        <v>4790</v>
      </c>
      <c r="EZP1" s="331" t="s">
        <v>4791</v>
      </c>
      <c r="EZQ1" s="331" t="s">
        <v>4792</v>
      </c>
      <c r="EZR1" s="331" t="s">
        <v>4793</v>
      </c>
      <c r="EZS1" s="331" t="s">
        <v>4794</v>
      </c>
      <c r="EZT1" s="331" t="s">
        <v>4795</v>
      </c>
      <c r="EZU1" s="331" t="s">
        <v>4796</v>
      </c>
      <c r="EZV1" s="331" t="s">
        <v>4797</v>
      </c>
      <c r="EZW1" s="331" t="s">
        <v>4798</v>
      </c>
      <c r="EZX1" s="331" t="s">
        <v>4799</v>
      </c>
      <c r="EZY1" s="331" t="s">
        <v>4800</v>
      </c>
      <c r="EZZ1" s="331" t="s">
        <v>4801</v>
      </c>
      <c r="FAA1" s="331" t="s">
        <v>4802</v>
      </c>
      <c r="FAB1" s="331" t="s">
        <v>4803</v>
      </c>
      <c r="FAC1" s="331" t="s">
        <v>4804</v>
      </c>
      <c r="FAD1" s="331" t="s">
        <v>4805</v>
      </c>
      <c r="FAE1" s="331" t="s">
        <v>4806</v>
      </c>
      <c r="FAF1" s="331" t="s">
        <v>4807</v>
      </c>
      <c r="FAG1" s="331" t="s">
        <v>4808</v>
      </c>
      <c r="FAH1" s="331" t="s">
        <v>4809</v>
      </c>
      <c r="FAI1" s="331" t="s">
        <v>4810</v>
      </c>
      <c r="FAJ1" s="331" t="s">
        <v>4811</v>
      </c>
      <c r="FAK1" s="331" t="s">
        <v>4812</v>
      </c>
      <c r="FAL1" s="331" t="s">
        <v>4813</v>
      </c>
      <c r="FAM1" s="331" t="s">
        <v>4814</v>
      </c>
      <c r="FAN1" s="331" t="s">
        <v>4815</v>
      </c>
      <c r="FAO1" s="331" t="s">
        <v>4816</v>
      </c>
      <c r="FAP1" s="331" t="s">
        <v>4817</v>
      </c>
      <c r="FAQ1" s="331" t="s">
        <v>4818</v>
      </c>
      <c r="FAR1" s="331" t="s">
        <v>4819</v>
      </c>
      <c r="FAS1" s="331" t="s">
        <v>4820</v>
      </c>
      <c r="FAT1" s="331" t="s">
        <v>4821</v>
      </c>
      <c r="FAU1" s="331" t="s">
        <v>4822</v>
      </c>
      <c r="FAV1" s="331" t="s">
        <v>4823</v>
      </c>
      <c r="FAW1" s="331" t="s">
        <v>4824</v>
      </c>
      <c r="FAX1" s="331" t="s">
        <v>4825</v>
      </c>
      <c r="FAY1" s="331" t="s">
        <v>4826</v>
      </c>
      <c r="FAZ1" s="331" t="s">
        <v>4827</v>
      </c>
      <c r="FBA1" s="331" t="s">
        <v>4828</v>
      </c>
      <c r="FBB1" s="331" t="s">
        <v>4829</v>
      </c>
      <c r="FBC1" s="331" t="s">
        <v>4830</v>
      </c>
      <c r="FBD1" s="331" t="s">
        <v>4831</v>
      </c>
      <c r="FBE1" s="331" t="s">
        <v>4832</v>
      </c>
      <c r="FBF1" s="331" t="s">
        <v>4833</v>
      </c>
      <c r="FBG1" s="331" t="s">
        <v>4834</v>
      </c>
      <c r="FBH1" s="331" t="s">
        <v>4835</v>
      </c>
      <c r="FBI1" s="331" t="s">
        <v>4836</v>
      </c>
      <c r="FBJ1" s="331" t="s">
        <v>4837</v>
      </c>
      <c r="FBK1" s="331" t="s">
        <v>4838</v>
      </c>
      <c r="FBL1" s="331" t="s">
        <v>4839</v>
      </c>
      <c r="FBM1" s="331" t="s">
        <v>4840</v>
      </c>
      <c r="FBN1" s="331" t="s">
        <v>4841</v>
      </c>
      <c r="FBO1" s="331" t="s">
        <v>4842</v>
      </c>
      <c r="FBP1" s="331" t="s">
        <v>4843</v>
      </c>
      <c r="FBQ1" s="331" t="s">
        <v>4844</v>
      </c>
      <c r="FBR1" s="331" t="s">
        <v>4845</v>
      </c>
      <c r="FBS1" s="331" t="s">
        <v>4846</v>
      </c>
      <c r="FBT1" s="331" t="s">
        <v>4847</v>
      </c>
      <c r="FBU1" s="331" t="s">
        <v>4848</v>
      </c>
      <c r="FBV1" s="331" t="s">
        <v>4849</v>
      </c>
      <c r="FBW1" s="331" t="s">
        <v>4850</v>
      </c>
      <c r="FBX1" s="331" t="s">
        <v>4851</v>
      </c>
      <c r="FBY1" s="331" t="s">
        <v>4852</v>
      </c>
      <c r="FBZ1" s="331" t="s">
        <v>4853</v>
      </c>
      <c r="FCA1" s="331" t="s">
        <v>4854</v>
      </c>
      <c r="FCB1" s="331" t="s">
        <v>4855</v>
      </c>
      <c r="FCC1" s="331" t="s">
        <v>4856</v>
      </c>
      <c r="FCD1" s="331" t="s">
        <v>4857</v>
      </c>
      <c r="FCE1" s="331" t="s">
        <v>4858</v>
      </c>
      <c r="FCF1" s="331" t="s">
        <v>4859</v>
      </c>
      <c r="FCG1" s="331" t="s">
        <v>4860</v>
      </c>
      <c r="FCH1" s="331" t="s">
        <v>4861</v>
      </c>
      <c r="FCI1" s="331" t="s">
        <v>4862</v>
      </c>
      <c r="FCJ1" s="331" t="s">
        <v>4863</v>
      </c>
      <c r="FCK1" s="331" t="s">
        <v>4864</v>
      </c>
      <c r="FCL1" s="331" t="s">
        <v>4865</v>
      </c>
      <c r="FCM1" s="331" t="s">
        <v>4866</v>
      </c>
      <c r="FCN1" s="331" t="s">
        <v>4867</v>
      </c>
      <c r="FCO1" s="331" t="s">
        <v>4868</v>
      </c>
      <c r="FCP1" s="331" t="s">
        <v>4869</v>
      </c>
      <c r="FCQ1" s="331" t="s">
        <v>4870</v>
      </c>
      <c r="FCR1" s="331" t="s">
        <v>4871</v>
      </c>
      <c r="FCS1" s="331" t="s">
        <v>4872</v>
      </c>
      <c r="FCT1" s="331" t="s">
        <v>4873</v>
      </c>
      <c r="FCU1" s="331" t="s">
        <v>4874</v>
      </c>
      <c r="FCV1" s="331" t="s">
        <v>4875</v>
      </c>
      <c r="FCW1" s="331" t="s">
        <v>4876</v>
      </c>
      <c r="FCX1" s="331" t="s">
        <v>4877</v>
      </c>
      <c r="FCY1" s="331" t="s">
        <v>4878</v>
      </c>
      <c r="FCZ1" s="331" t="s">
        <v>4879</v>
      </c>
      <c r="FDA1" s="331" t="s">
        <v>4880</v>
      </c>
      <c r="FDB1" s="331" t="s">
        <v>4881</v>
      </c>
      <c r="FDC1" s="331" t="s">
        <v>4882</v>
      </c>
      <c r="FDD1" s="331" t="s">
        <v>4883</v>
      </c>
      <c r="FDE1" s="331" t="s">
        <v>4884</v>
      </c>
      <c r="FDF1" s="331" t="s">
        <v>4885</v>
      </c>
      <c r="FDG1" s="331" t="s">
        <v>4886</v>
      </c>
      <c r="FDH1" s="331" t="s">
        <v>4887</v>
      </c>
      <c r="FDI1" s="331" t="s">
        <v>4888</v>
      </c>
      <c r="FDJ1" s="331" t="s">
        <v>4889</v>
      </c>
      <c r="FDK1" s="331" t="s">
        <v>4890</v>
      </c>
      <c r="FDL1" s="331" t="s">
        <v>4891</v>
      </c>
      <c r="FDM1" s="331" t="s">
        <v>4892</v>
      </c>
      <c r="FDN1" s="331" t="s">
        <v>4893</v>
      </c>
      <c r="FDO1" s="331" t="s">
        <v>4894</v>
      </c>
      <c r="FDP1" s="331" t="s">
        <v>4895</v>
      </c>
      <c r="FDQ1" s="331" t="s">
        <v>4896</v>
      </c>
      <c r="FDR1" s="331" t="s">
        <v>4897</v>
      </c>
      <c r="FDS1" s="331" t="s">
        <v>4898</v>
      </c>
      <c r="FDT1" s="331" t="s">
        <v>4899</v>
      </c>
      <c r="FDU1" s="331" t="s">
        <v>4900</v>
      </c>
      <c r="FDV1" s="331" t="s">
        <v>4901</v>
      </c>
      <c r="FDW1" s="331" t="s">
        <v>4902</v>
      </c>
      <c r="FDX1" s="331" t="s">
        <v>4903</v>
      </c>
      <c r="FDY1" s="331" t="s">
        <v>4904</v>
      </c>
      <c r="FDZ1" s="331" t="s">
        <v>4905</v>
      </c>
      <c r="FEA1" s="331" t="s">
        <v>4906</v>
      </c>
      <c r="FEB1" s="331" t="s">
        <v>4907</v>
      </c>
      <c r="FEC1" s="331" t="s">
        <v>4908</v>
      </c>
      <c r="FED1" s="331" t="s">
        <v>4909</v>
      </c>
      <c r="FEE1" s="331" t="s">
        <v>4910</v>
      </c>
      <c r="FEF1" s="331" t="s">
        <v>4911</v>
      </c>
      <c r="FEG1" s="331" t="s">
        <v>4912</v>
      </c>
      <c r="FEH1" s="331" t="s">
        <v>4913</v>
      </c>
      <c r="FEI1" s="331" t="s">
        <v>4914</v>
      </c>
      <c r="FEJ1" s="331" t="s">
        <v>4915</v>
      </c>
      <c r="FEK1" s="331" t="s">
        <v>4916</v>
      </c>
      <c r="FEL1" s="331" t="s">
        <v>4917</v>
      </c>
      <c r="FEM1" s="331" t="s">
        <v>4918</v>
      </c>
      <c r="FEN1" s="331" t="s">
        <v>4919</v>
      </c>
      <c r="FEO1" s="331" t="s">
        <v>4920</v>
      </c>
      <c r="FEP1" s="331" t="s">
        <v>4921</v>
      </c>
      <c r="FEQ1" s="331" t="s">
        <v>4922</v>
      </c>
      <c r="FER1" s="331" t="s">
        <v>4923</v>
      </c>
      <c r="FES1" s="331" t="s">
        <v>4924</v>
      </c>
      <c r="FET1" s="331" t="s">
        <v>4925</v>
      </c>
      <c r="FEU1" s="331" t="s">
        <v>4926</v>
      </c>
      <c r="FEV1" s="331" t="s">
        <v>4927</v>
      </c>
      <c r="FEW1" s="331" t="s">
        <v>4928</v>
      </c>
      <c r="FEX1" s="331" t="s">
        <v>4929</v>
      </c>
      <c r="FEY1" s="331" t="s">
        <v>4930</v>
      </c>
      <c r="FEZ1" s="331" t="s">
        <v>4931</v>
      </c>
      <c r="FFA1" s="331" t="s">
        <v>4932</v>
      </c>
      <c r="FFB1" s="331" t="s">
        <v>4933</v>
      </c>
      <c r="FFC1" s="331" t="s">
        <v>4934</v>
      </c>
      <c r="FFD1" s="331" t="s">
        <v>4935</v>
      </c>
      <c r="FFE1" s="331" t="s">
        <v>4936</v>
      </c>
      <c r="FFF1" s="331" t="s">
        <v>4937</v>
      </c>
      <c r="FFG1" s="331" t="s">
        <v>4938</v>
      </c>
      <c r="FFH1" s="331" t="s">
        <v>4939</v>
      </c>
      <c r="FFI1" s="331" t="s">
        <v>4940</v>
      </c>
      <c r="FFJ1" s="331" t="s">
        <v>4941</v>
      </c>
      <c r="FFK1" s="331" t="s">
        <v>4942</v>
      </c>
      <c r="FFL1" s="331" t="s">
        <v>4943</v>
      </c>
      <c r="FFM1" s="331" t="s">
        <v>4944</v>
      </c>
      <c r="FFN1" s="331" t="s">
        <v>4945</v>
      </c>
      <c r="FFO1" s="331" t="s">
        <v>4946</v>
      </c>
      <c r="FFP1" s="331" t="s">
        <v>4947</v>
      </c>
      <c r="FFQ1" s="331" t="s">
        <v>4948</v>
      </c>
      <c r="FFR1" s="331" t="s">
        <v>4949</v>
      </c>
      <c r="FFS1" s="331" t="s">
        <v>4950</v>
      </c>
      <c r="FFT1" s="331" t="s">
        <v>4951</v>
      </c>
      <c r="FFU1" s="331" t="s">
        <v>4952</v>
      </c>
      <c r="FFV1" s="331" t="s">
        <v>4953</v>
      </c>
      <c r="FFW1" s="331" t="s">
        <v>4954</v>
      </c>
      <c r="FFX1" s="331" t="s">
        <v>4955</v>
      </c>
      <c r="FFY1" s="331" t="s">
        <v>4956</v>
      </c>
      <c r="FFZ1" s="331" t="s">
        <v>4957</v>
      </c>
      <c r="FGA1" s="331" t="s">
        <v>4958</v>
      </c>
      <c r="FGB1" s="331" t="s">
        <v>4959</v>
      </c>
      <c r="FGC1" s="331" t="s">
        <v>4960</v>
      </c>
      <c r="FGD1" s="331" t="s">
        <v>4961</v>
      </c>
      <c r="FGE1" s="331" t="s">
        <v>4962</v>
      </c>
      <c r="FGF1" s="331" t="s">
        <v>4963</v>
      </c>
      <c r="FGG1" s="331" t="s">
        <v>4964</v>
      </c>
      <c r="FGH1" s="331" t="s">
        <v>4965</v>
      </c>
      <c r="FGI1" s="331" t="s">
        <v>4966</v>
      </c>
      <c r="FGJ1" s="331" t="s">
        <v>4967</v>
      </c>
      <c r="FGK1" s="331" t="s">
        <v>4968</v>
      </c>
      <c r="FGL1" s="331" t="s">
        <v>4969</v>
      </c>
      <c r="FGM1" s="331" t="s">
        <v>4970</v>
      </c>
      <c r="FGN1" s="331" t="s">
        <v>4971</v>
      </c>
      <c r="FGO1" s="331" t="s">
        <v>4972</v>
      </c>
      <c r="FGP1" s="331" t="s">
        <v>4973</v>
      </c>
      <c r="FGQ1" s="331" t="s">
        <v>4974</v>
      </c>
      <c r="FGR1" s="331" t="s">
        <v>4975</v>
      </c>
      <c r="FGS1" s="331" t="s">
        <v>4976</v>
      </c>
      <c r="FGT1" s="331" t="s">
        <v>4977</v>
      </c>
      <c r="FGU1" s="331" t="s">
        <v>4978</v>
      </c>
      <c r="FGV1" s="331" t="s">
        <v>4979</v>
      </c>
      <c r="FGW1" s="331" t="s">
        <v>4980</v>
      </c>
      <c r="FGX1" s="331" t="s">
        <v>4981</v>
      </c>
      <c r="FGY1" s="331" t="s">
        <v>4982</v>
      </c>
      <c r="FGZ1" s="331" t="s">
        <v>4983</v>
      </c>
      <c r="FHA1" s="331" t="s">
        <v>4984</v>
      </c>
      <c r="FHB1" s="331" t="s">
        <v>4985</v>
      </c>
      <c r="FHC1" s="331" t="s">
        <v>4986</v>
      </c>
      <c r="FHD1" s="331" t="s">
        <v>4987</v>
      </c>
      <c r="FHE1" s="331" t="s">
        <v>4988</v>
      </c>
      <c r="FHF1" s="331" t="s">
        <v>4989</v>
      </c>
      <c r="FHG1" s="331" t="s">
        <v>4990</v>
      </c>
      <c r="FHH1" s="331" t="s">
        <v>4991</v>
      </c>
      <c r="FHI1" s="331" t="s">
        <v>4992</v>
      </c>
      <c r="FHJ1" s="331" t="s">
        <v>4993</v>
      </c>
      <c r="FHK1" s="331" t="s">
        <v>4994</v>
      </c>
      <c r="FHL1" s="331" t="s">
        <v>4995</v>
      </c>
      <c r="FHM1" s="331" t="s">
        <v>4996</v>
      </c>
      <c r="FHN1" s="331" t="s">
        <v>4997</v>
      </c>
      <c r="FHO1" s="331" t="s">
        <v>4998</v>
      </c>
      <c r="FHP1" s="331" t="s">
        <v>4999</v>
      </c>
      <c r="FHQ1" s="331" t="s">
        <v>5000</v>
      </c>
      <c r="FHR1" s="331" t="s">
        <v>5001</v>
      </c>
      <c r="FHS1" s="331" t="s">
        <v>5002</v>
      </c>
      <c r="FHT1" s="331" t="s">
        <v>5003</v>
      </c>
      <c r="FHU1" s="331" t="s">
        <v>5004</v>
      </c>
      <c r="FHV1" s="331" t="s">
        <v>5005</v>
      </c>
      <c r="FHW1" s="331" t="s">
        <v>5006</v>
      </c>
      <c r="FHX1" s="331" t="s">
        <v>5007</v>
      </c>
      <c r="FHY1" s="331" t="s">
        <v>5008</v>
      </c>
      <c r="FHZ1" s="331" t="s">
        <v>5009</v>
      </c>
      <c r="FIA1" s="331" t="s">
        <v>5010</v>
      </c>
      <c r="FIB1" s="331" t="s">
        <v>5011</v>
      </c>
      <c r="FIC1" s="331" t="s">
        <v>5012</v>
      </c>
      <c r="FID1" s="331" t="s">
        <v>5013</v>
      </c>
      <c r="FIE1" s="331" t="s">
        <v>5014</v>
      </c>
      <c r="FIF1" s="331" t="s">
        <v>5015</v>
      </c>
      <c r="FIG1" s="331" t="s">
        <v>5016</v>
      </c>
      <c r="FIH1" s="331" t="s">
        <v>5017</v>
      </c>
      <c r="FII1" s="331" t="s">
        <v>5018</v>
      </c>
      <c r="FIJ1" s="331" t="s">
        <v>5019</v>
      </c>
      <c r="FIK1" s="331" t="s">
        <v>5020</v>
      </c>
      <c r="FIL1" s="331" t="s">
        <v>5021</v>
      </c>
      <c r="FIM1" s="331" t="s">
        <v>5022</v>
      </c>
      <c r="FIN1" s="331" t="s">
        <v>5023</v>
      </c>
      <c r="FIO1" s="331" t="s">
        <v>5024</v>
      </c>
      <c r="FIP1" s="331" t="s">
        <v>5025</v>
      </c>
      <c r="FIQ1" s="331" t="s">
        <v>5026</v>
      </c>
      <c r="FIR1" s="331" t="s">
        <v>5027</v>
      </c>
      <c r="FIS1" s="331" t="s">
        <v>5028</v>
      </c>
      <c r="FIT1" s="331" t="s">
        <v>5029</v>
      </c>
      <c r="FIU1" s="331" t="s">
        <v>5030</v>
      </c>
      <c r="FIV1" s="331" t="s">
        <v>5031</v>
      </c>
      <c r="FIW1" s="331" t="s">
        <v>5032</v>
      </c>
      <c r="FIX1" s="331" t="s">
        <v>5033</v>
      </c>
      <c r="FIY1" s="331" t="s">
        <v>5034</v>
      </c>
      <c r="FIZ1" s="331" t="s">
        <v>5035</v>
      </c>
      <c r="FJA1" s="331" t="s">
        <v>5036</v>
      </c>
      <c r="FJB1" s="331" t="s">
        <v>5037</v>
      </c>
      <c r="FJC1" s="331" t="s">
        <v>5038</v>
      </c>
      <c r="FJD1" s="331" t="s">
        <v>5039</v>
      </c>
      <c r="FJE1" s="331" t="s">
        <v>5040</v>
      </c>
      <c r="FJF1" s="331" t="s">
        <v>5041</v>
      </c>
      <c r="FJG1" s="331" t="s">
        <v>5042</v>
      </c>
      <c r="FJH1" s="331" t="s">
        <v>5043</v>
      </c>
      <c r="FJI1" s="331" t="s">
        <v>5044</v>
      </c>
      <c r="FJJ1" s="331" t="s">
        <v>5045</v>
      </c>
      <c r="FJK1" s="331" t="s">
        <v>5046</v>
      </c>
      <c r="FJL1" s="331" t="s">
        <v>5047</v>
      </c>
      <c r="FJM1" s="331" t="s">
        <v>5048</v>
      </c>
      <c r="FJN1" s="331" t="s">
        <v>5049</v>
      </c>
      <c r="FJO1" s="331" t="s">
        <v>5050</v>
      </c>
      <c r="FJP1" s="331" t="s">
        <v>5051</v>
      </c>
      <c r="FJQ1" s="331" t="s">
        <v>5052</v>
      </c>
      <c r="FJR1" s="331" t="s">
        <v>5053</v>
      </c>
      <c r="FJS1" s="331" t="s">
        <v>5054</v>
      </c>
      <c r="FJT1" s="331" t="s">
        <v>5055</v>
      </c>
      <c r="FJU1" s="331" t="s">
        <v>5056</v>
      </c>
      <c r="FJV1" s="331" t="s">
        <v>5057</v>
      </c>
      <c r="FJW1" s="331" t="s">
        <v>5058</v>
      </c>
      <c r="FJX1" s="331" t="s">
        <v>5059</v>
      </c>
      <c r="FJY1" s="331" t="s">
        <v>5060</v>
      </c>
      <c r="FJZ1" s="331" t="s">
        <v>5061</v>
      </c>
      <c r="FKA1" s="331" t="s">
        <v>5062</v>
      </c>
      <c r="FKB1" s="331" t="s">
        <v>5063</v>
      </c>
      <c r="FKC1" s="331" t="s">
        <v>5064</v>
      </c>
      <c r="FKD1" s="331" t="s">
        <v>5065</v>
      </c>
      <c r="FKE1" s="331" t="s">
        <v>5066</v>
      </c>
      <c r="FKF1" s="331" t="s">
        <v>5067</v>
      </c>
      <c r="FKG1" s="331" t="s">
        <v>5068</v>
      </c>
      <c r="FKH1" s="331" t="s">
        <v>5069</v>
      </c>
      <c r="FKI1" s="331" t="s">
        <v>5070</v>
      </c>
      <c r="FKJ1" s="331" t="s">
        <v>5071</v>
      </c>
      <c r="FKK1" s="331" t="s">
        <v>5072</v>
      </c>
      <c r="FKL1" s="331" t="s">
        <v>5073</v>
      </c>
      <c r="FKM1" s="331" t="s">
        <v>5074</v>
      </c>
      <c r="FKN1" s="331" t="s">
        <v>5075</v>
      </c>
      <c r="FKO1" s="331" t="s">
        <v>5076</v>
      </c>
      <c r="FKP1" s="331" t="s">
        <v>5077</v>
      </c>
      <c r="FKQ1" s="331" t="s">
        <v>5078</v>
      </c>
      <c r="FKR1" s="331" t="s">
        <v>5079</v>
      </c>
      <c r="FKS1" s="331" t="s">
        <v>5080</v>
      </c>
      <c r="FKT1" s="331" t="s">
        <v>5081</v>
      </c>
      <c r="FKU1" s="331" t="s">
        <v>5082</v>
      </c>
      <c r="FKV1" s="331" t="s">
        <v>5083</v>
      </c>
      <c r="FKW1" s="331" t="s">
        <v>5084</v>
      </c>
      <c r="FKX1" s="331" t="s">
        <v>5085</v>
      </c>
      <c r="FKY1" s="331" t="s">
        <v>5086</v>
      </c>
      <c r="FKZ1" s="331" t="s">
        <v>5087</v>
      </c>
      <c r="FLA1" s="331" t="s">
        <v>5088</v>
      </c>
      <c r="FLB1" s="331" t="s">
        <v>5089</v>
      </c>
      <c r="FLC1" s="331" t="s">
        <v>5090</v>
      </c>
      <c r="FLD1" s="331" t="s">
        <v>5091</v>
      </c>
      <c r="FLE1" s="331" t="s">
        <v>5092</v>
      </c>
      <c r="FLF1" s="331" t="s">
        <v>5093</v>
      </c>
      <c r="FLG1" s="331" t="s">
        <v>5094</v>
      </c>
      <c r="FLH1" s="331" t="s">
        <v>5095</v>
      </c>
      <c r="FLI1" s="331" t="s">
        <v>5096</v>
      </c>
      <c r="FLJ1" s="331" t="s">
        <v>5097</v>
      </c>
      <c r="FLK1" s="331" t="s">
        <v>5098</v>
      </c>
      <c r="FLL1" s="331" t="s">
        <v>5099</v>
      </c>
      <c r="FLM1" s="331" t="s">
        <v>5100</v>
      </c>
      <c r="FLN1" s="331" t="s">
        <v>5101</v>
      </c>
      <c r="FLO1" s="331" t="s">
        <v>5102</v>
      </c>
      <c r="FLP1" s="331" t="s">
        <v>5103</v>
      </c>
      <c r="FLQ1" s="331" t="s">
        <v>5104</v>
      </c>
      <c r="FLR1" s="331" t="s">
        <v>5105</v>
      </c>
      <c r="FLS1" s="331" t="s">
        <v>5106</v>
      </c>
      <c r="FLT1" s="331" t="s">
        <v>5107</v>
      </c>
      <c r="FLU1" s="331" t="s">
        <v>5108</v>
      </c>
      <c r="FLV1" s="331" t="s">
        <v>5109</v>
      </c>
      <c r="FLW1" s="331" t="s">
        <v>5110</v>
      </c>
      <c r="FLX1" s="331" t="s">
        <v>5111</v>
      </c>
      <c r="FLY1" s="331" t="s">
        <v>5112</v>
      </c>
      <c r="FLZ1" s="331" t="s">
        <v>5113</v>
      </c>
      <c r="FMA1" s="331" t="s">
        <v>5114</v>
      </c>
      <c r="FMB1" s="331" t="s">
        <v>5115</v>
      </c>
      <c r="FMC1" s="331" t="s">
        <v>5116</v>
      </c>
      <c r="FMD1" s="331" t="s">
        <v>5117</v>
      </c>
      <c r="FME1" s="331" t="s">
        <v>5118</v>
      </c>
      <c r="FMF1" s="331" t="s">
        <v>5119</v>
      </c>
      <c r="FMG1" s="331" t="s">
        <v>5120</v>
      </c>
      <c r="FMH1" s="331" t="s">
        <v>5121</v>
      </c>
      <c r="FMI1" s="331" t="s">
        <v>5122</v>
      </c>
      <c r="FMJ1" s="331" t="s">
        <v>5123</v>
      </c>
      <c r="FMK1" s="331" t="s">
        <v>5124</v>
      </c>
      <c r="FML1" s="331" t="s">
        <v>5125</v>
      </c>
      <c r="FMM1" s="331" t="s">
        <v>5126</v>
      </c>
      <c r="FMN1" s="331" t="s">
        <v>5127</v>
      </c>
      <c r="FMO1" s="331" t="s">
        <v>5128</v>
      </c>
      <c r="FMP1" s="331" t="s">
        <v>5129</v>
      </c>
      <c r="FMQ1" s="331" t="s">
        <v>5130</v>
      </c>
      <c r="FMR1" s="331" t="s">
        <v>5131</v>
      </c>
      <c r="FMS1" s="331" t="s">
        <v>5132</v>
      </c>
      <c r="FMT1" s="331" t="s">
        <v>5133</v>
      </c>
      <c r="FMU1" s="331" t="s">
        <v>5134</v>
      </c>
      <c r="FMV1" s="331" t="s">
        <v>5135</v>
      </c>
      <c r="FMW1" s="331" t="s">
        <v>5136</v>
      </c>
      <c r="FMX1" s="331" t="s">
        <v>5137</v>
      </c>
      <c r="FMY1" s="331" t="s">
        <v>5138</v>
      </c>
      <c r="FMZ1" s="331" t="s">
        <v>5139</v>
      </c>
      <c r="FNA1" s="331" t="s">
        <v>5140</v>
      </c>
      <c r="FNB1" s="331" t="s">
        <v>5141</v>
      </c>
      <c r="FNC1" s="331" t="s">
        <v>5142</v>
      </c>
      <c r="FND1" s="331" t="s">
        <v>5143</v>
      </c>
      <c r="FNE1" s="331" t="s">
        <v>5144</v>
      </c>
      <c r="FNF1" s="331" t="s">
        <v>5145</v>
      </c>
      <c r="FNG1" s="331" t="s">
        <v>5146</v>
      </c>
      <c r="FNH1" s="331" t="s">
        <v>5147</v>
      </c>
      <c r="FNI1" s="331" t="s">
        <v>5148</v>
      </c>
      <c r="FNJ1" s="331" t="s">
        <v>5149</v>
      </c>
      <c r="FNK1" s="331" t="s">
        <v>5150</v>
      </c>
      <c r="FNL1" s="331" t="s">
        <v>5151</v>
      </c>
      <c r="FNM1" s="331" t="s">
        <v>5152</v>
      </c>
      <c r="FNN1" s="331" t="s">
        <v>5153</v>
      </c>
      <c r="FNO1" s="331" t="s">
        <v>5154</v>
      </c>
      <c r="FNP1" s="331" t="s">
        <v>5155</v>
      </c>
      <c r="FNQ1" s="331" t="s">
        <v>5156</v>
      </c>
      <c r="FNR1" s="331" t="s">
        <v>5157</v>
      </c>
      <c r="FNS1" s="331" t="s">
        <v>5158</v>
      </c>
      <c r="FNT1" s="331" t="s">
        <v>5159</v>
      </c>
      <c r="FNU1" s="331" t="s">
        <v>5160</v>
      </c>
      <c r="FNV1" s="331" t="s">
        <v>5161</v>
      </c>
      <c r="FNW1" s="331" t="s">
        <v>5162</v>
      </c>
      <c r="FNX1" s="331" t="s">
        <v>5163</v>
      </c>
      <c r="FNY1" s="331" t="s">
        <v>5164</v>
      </c>
      <c r="FNZ1" s="331" t="s">
        <v>5165</v>
      </c>
      <c r="FOA1" s="331" t="s">
        <v>5166</v>
      </c>
      <c r="FOB1" s="331" t="s">
        <v>5167</v>
      </c>
      <c r="FOC1" s="331" t="s">
        <v>5168</v>
      </c>
      <c r="FOD1" s="331" t="s">
        <v>5169</v>
      </c>
      <c r="FOE1" s="331" t="s">
        <v>5170</v>
      </c>
      <c r="FOF1" s="331" t="s">
        <v>5171</v>
      </c>
      <c r="FOG1" s="331" t="s">
        <v>5172</v>
      </c>
      <c r="FOH1" s="331" t="s">
        <v>5173</v>
      </c>
      <c r="FOI1" s="331" t="s">
        <v>5174</v>
      </c>
      <c r="FOJ1" s="331" t="s">
        <v>5175</v>
      </c>
      <c r="FOK1" s="331" t="s">
        <v>5176</v>
      </c>
      <c r="FOL1" s="331" t="s">
        <v>5177</v>
      </c>
      <c r="FOM1" s="331" t="s">
        <v>5178</v>
      </c>
      <c r="FON1" s="331" t="s">
        <v>5179</v>
      </c>
      <c r="FOO1" s="331" t="s">
        <v>5180</v>
      </c>
      <c r="FOP1" s="331" t="s">
        <v>5181</v>
      </c>
      <c r="FOQ1" s="331" t="s">
        <v>5182</v>
      </c>
      <c r="FOR1" s="331" t="s">
        <v>5183</v>
      </c>
      <c r="FOS1" s="331" t="s">
        <v>5184</v>
      </c>
      <c r="FOT1" s="331" t="s">
        <v>5185</v>
      </c>
      <c r="FOU1" s="331" t="s">
        <v>5186</v>
      </c>
      <c r="FOV1" s="331" t="s">
        <v>5187</v>
      </c>
      <c r="FOW1" s="331" t="s">
        <v>5188</v>
      </c>
      <c r="FOX1" s="331" t="s">
        <v>5189</v>
      </c>
      <c r="FOY1" s="331" t="s">
        <v>5190</v>
      </c>
      <c r="FOZ1" s="331" t="s">
        <v>5191</v>
      </c>
      <c r="FPA1" s="331" t="s">
        <v>5192</v>
      </c>
      <c r="FPB1" s="331" t="s">
        <v>5193</v>
      </c>
      <c r="FPC1" s="331" t="s">
        <v>5194</v>
      </c>
      <c r="FPD1" s="331" t="s">
        <v>5195</v>
      </c>
      <c r="FPE1" s="331" t="s">
        <v>5196</v>
      </c>
      <c r="FPF1" s="331" t="s">
        <v>5197</v>
      </c>
      <c r="FPG1" s="331" t="s">
        <v>5198</v>
      </c>
      <c r="FPH1" s="331" t="s">
        <v>5199</v>
      </c>
      <c r="FPI1" s="331" t="s">
        <v>5200</v>
      </c>
      <c r="FPJ1" s="331" t="s">
        <v>5201</v>
      </c>
      <c r="FPK1" s="331" t="s">
        <v>5202</v>
      </c>
      <c r="FPL1" s="331" t="s">
        <v>5203</v>
      </c>
      <c r="FPM1" s="331" t="s">
        <v>5204</v>
      </c>
      <c r="FPN1" s="331" t="s">
        <v>5205</v>
      </c>
      <c r="FPO1" s="331" t="s">
        <v>5206</v>
      </c>
      <c r="FPP1" s="331" t="s">
        <v>5207</v>
      </c>
      <c r="FPQ1" s="331" t="s">
        <v>5208</v>
      </c>
      <c r="FPR1" s="331" t="s">
        <v>5209</v>
      </c>
      <c r="FPS1" s="331" t="s">
        <v>5210</v>
      </c>
      <c r="FPT1" s="331" t="s">
        <v>5211</v>
      </c>
      <c r="FPU1" s="331" t="s">
        <v>5212</v>
      </c>
      <c r="FPV1" s="331" t="s">
        <v>5213</v>
      </c>
      <c r="FPW1" s="331" t="s">
        <v>5214</v>
      </c>
      <c r="FPX1" s="331" t="s">
        <v>5215</v>
      </c>
      <c r="FPY1" s="331" t="s">
        <v>5216</v>
      </c>
      <c r="FPZ1" s="331" t="s">
        <v>5217</v>
      </c>
      <c r="FQA1" s="331" t="s">
        <v>5218</v>
      </c>
      <c r="FQB1" s="331" t="s">
        <v>5219</v>
      </c>
      <c r="FQC1" s="331" t="s">
        <v>5220</v>
      </c>
      <c r="FQD1" s="331" t="s">
        <v>5221</v>
      </c>
      <c r="FQE1" s="331" t="s">
        <v>5222</v>
      </c>
      <c r="FQF1" s="331" t="s">
        <v>5223</v>
      </c>
      <c r="FQG1" s="331" t="s">
        <v>5224</v>
      </c>
      <c r="FQH1" s="331" t="s">
        <v>5225</v>
      </c>
      <c r="FQI1" s="331" t="s">
        <v>5226</v>
      </c>
      <c r="FQJ1" s="331" t="s">
        <v>5227</v>
      </c>
      <c r="FQK1" s="331" t="s">
        <v>5228</v>
      </c>
      <c r="FQL1" s="331" t="s">
        <v>5229</v>
      </c>
      <c r="FQM1" s="331" t="s">
        <v>5230</v>
      </c>
      <c r="FQN1" s="331" t="s">
        <v>5231</v>
      </c>
      <c r="FQO1" s="331" t="s">
        <v>5232</v>
      </c>
      <c r="FQP1" s="331" t="s">
        <v>5233</v>
      </c>
      <c r="FQQ1" s="331" t="s">
        <v>5234</v>
      </c>
      <c r="FQR1" s="331" t="s">
        <v>5235</v>
      </c>
      <c r="FQS1" s="331" t="s">
        <v>5236</v>
      </c>
      <c r="FQT1" s="331" t="s">
        <v>5237</v>
      </c>
      <c r="FQU1" s="331" t="s">
        <v>5238</v>
      </c>
      <c r="FQV1" s="331" t="s">
        <v>5239</v>
      </c>
      <c r="FQW1" s="331" t="s">
        <v>5240</v>
      </c>
      <c r="FQX1" s="331" t="s">
        <v>5241</v>
      </c>
      <c r="FQY1" s="331" t="s">
        <v>5242</v>
      </c>
      <c r="FQZ1" s="331" t="s">
        <v>5243</v>
      </c>
      <c r="FRA1" s="331" t="s">
        <v>5244</v>
      </c>
      <c r="FRB1" s="331" t="s">
        <v>5245</v>
      </c>
      <c r="FRC1" s="331" t="s">
        <v>5246</v>
      </c>
      <c r="FRD1" s="331" t="s">
        <v>5247</v>
      </c>
      <c r="FRE1" s="331" t="s">
        <v>5248</v>
      </c>
      <c r="FRF1" s="331" t="s">
        <v>5249</v>
      </c>
      <c r="FRG1" s="331" t="s">
        <v>5250</v>
      </c>
      <c r="FRH1" s="331" t="s">
        <v>5251</v>
      </c>
      <c r="FRI1" s="331" t="s">
        <v>5252</v>
      </c>
      <c r="FRJ1" s="331" t="s">
        <v>5253</v>
      </c>
      <c r="FRK1" s="331" t="s">
        <v>5254</v>
      </c>
      <c r="FRL1" s="331" t="s">
        <v>5255</v>
      </c>
      <c r="FRM1" s="331" t="s">
        <v>5256</v>
      </c>
      <c r="FRN1" s="331" t="s">
        <v>5257</v>
      </c>
      <c r="FRO1" s="331" t="s">
        <v>5258</v>
      </c>
      <c r="FRP1" s="331" t="s">
        <v>5259</v>
      </c>
      <c r="FRQ1" s="331" t="s">
        <v>5260</v>
      </c>
      <c r="FRR1" s="331" t="s">
        <v>5261</v>
      </c>
      <c r="FRS1" s="331" t="s">
        <v>5262</v>
      </c>
      <c r="FRT1" s="331" t="s">
        <v>5263</v>
      </c>
      <c r="FRU1" s="331" t="s">
        <v>5264</v>
      </c>
      <c r="FRV1" s="331" t="s">
        <v>5265</v>
      </c>
      <c r="FRW1" s="331" t="s">
        <v>5266</v>
      </c>
      <c r="FRX1" s="331" t="s">
        <v>5267</v>
      </c>
      <c r="FRY1" s="331" t="s">
        <v>5268</v>
      </c>
      <c r="FRZ1" s="331" t="s">
        <v>5269</v>
      </c>
      <c r="FSA1" s="331" t="s">
        <v>5270</v>
      </c>
      <c r="FSB1" s="331" t="s">
        <v>5271</v>
      </c>
      <c r="FSC1" s="331" t="s">
        <v>5272</v>
      </c>
      <c r="FSD1" s="331" t="s">
        <v>5273</v>
      </c>
      <c r="FSE1" s="331" t="s">
        <v>5274</v>
      </c>
      <c r="FSF1" s="331" t="s">
        <v>5275</v>
      </c>
      <c r="FSG1" s="331" t="s">
        <v>5276</v>
      </c>
      <c r="FSH1" s="331" t="s">
        <v>5277</v>
      </c>
      <c r="FSI1" s="331" t="s">
        <v>5278</v>
      </c>
      <c r="FSJ1" s="331" t="s">
        <v>5279</v>
      </c>
      <c r="FSK1" s="331" t="s">
        <v>5280</v>
      </c>
      <c r="FSL1" s="331" t="s">
        <v>5281</v>
      </c>
      <c r="FSM1" s="331" t="s">
        <v>5282</v>
      </c>
      <c r="FSN1" s="331" t="s">
        <v>5283</v>
      </c>
      <c r="FSO1" s="331" t="s">
        <v>5284</v>
      </c>
      <c r="FSP1" s="331" t="s">
        <v>5285</v>
      </c>
      <c r="FSQ1" s="331" t="s">
        <v>5286</v>
      </c>
      <c r="FSR1" s="331" t="s">
        <v>5287</v>
      </c>
      <c r="FSS1" s="331" t="s">
        <v>5288</v>
      </c>
      <c r="FST1" s="331" t="s">
        <v>5289</v>
      </c>
      <c r="FSU1" s="331" t="s">
        <v>5290</v>
      </c>
      <c r="FSV1" s="331" t="s">
        <v>5291</v>
      </c>
      <c r="FSW1" s="331" t="s">
        <v>5292</v>
      </c>
      <c r="FSX1" s="331" t="s">
        <v>5293</v>
      </c>
      <c r="FSY1" s="331" t="s">
        <v>5294</v>
      </c>
      <c r="FSZ1" s="331" t="s">
        <v>5295</v>
      </c>
      <c r="FTA1" s="331" t="s">
        <v>5296</v>
      </c>
      <c r="FTB1" s="331" t="s">
        <v>5297</v>
      </c>
      <c r="FTC1" s="331" t="s">
        <v>5298</v>
      </c>
      <c r="FTD1" s="331" t="s">
        <v>5299</v>
      </c>
      <c r="FTE1" s="331" t="s">
        <v>5300</v>
      </c>
      <c r="FTF1" s="331" t="s">
        <v>5301</v>
      </c>
      <c r="FTG1" s="331" t="s">
        <v>5302</v>
      </c>
      <c r="FTH1" s="331" t="s">
        <v>5303</v>
      </c>
      <c r="FTI1" s="331" t="s">
        <v>5304</v>
      </c>
      <c r="FTJ1" s="331" t="s">
        <v>5305</v>
      </c>
      <c r="FTK1" s="331" t="s">
        <v>5306</v>
      </c>
      <c r="FTL1" s="331" t="s">
        <v>5307</v>
      </c>
      <c r="FTM1" s="331" t="s">
        <v>5308</v>
      </c>
      <c r="FTN1" s="331" t="s">
        <v>5309</v>
      </c>
      <c r="FTO1" s="331" t="s">
        <v>5310</v>
      </c>
      <c r="FTP1" s="331" t="s">
        <v>5311</v>
      </c>
      <c r="FTQ1" s="331" t="s">
        <v>5312</v>
      </c>
      <c r="FTR1" s="331" t="s">
        <v>5313</v>
      </c>
      <c r="FTS1" s="331" t="s">
        <v>5314</v>
      </c>
      <c r="FTT1" s="331" t="s">
        <v>5315</v>
      </c>
      <c r="FTU1" s="331" t="s">
        <v>5316</v>
      </c>
      <c r="FTV1" s="331" t="s">
        <v>5317</v>
      </c>
      <c r="FTW1" s="331" t="s">
        <v>5318</v>
      </c>
      <c r="FTX1" s="331" t="s">
        <v>5319</v>
      </c>
      <c r="FTY1" s="331" t="s">
        <v>5320</v>
      </c>
      <c r="FTZ1" s="331" t="s">
        <v>5321</v>
      </c>
      <c r="FUA1" s="331" t="s">
        <v>5322</v>
      </c>
      <c r="FUB1" s="331" t="s">
        <v>5323</v>
      </c>
      <c r="FUC1" s="331" t="s">
        <v>5324</v>
      </c>
      <c r="FUD1" s="331" t="s">
        <v>5325</v>
      </c>
      <c r="FUE1" s="331" t="s">
        <v>5326</v>
      </c>
      <c r="FUF1" s="331" t="s">
        <v>5327</v>
      </c>
      <c r="FUG1" s="331" t="s">
        <v>5328</v>
      </c>
      <c r="FUH1" s="331" t="s">
        <v>5329</v>
      </c>
      <c r="FUI1" s="331" t="s">
        <v>5330</v>
      </c>
      <c r="FUJ1" s="331" t="s">
        <v>5331</v>
      </c>
      <c r="FUK1" s="331" t="s">
        <v>5332</v>
      </c>
      <c r="FUL1" s="331" t="s">
        <v>5333</v>
      </c>
      <c r="FUM1" s="331" t="s">
        <v>5334</v>
      </c>
      <c r="FUN1" s="331" t="s">
        <v>5335</v>
      </c>
      <c r="FUO1" s="331" t="s">
        <v>5336</v>
      </c>
      <c r="FUP1" s="331" t="s">
        <v>5337</v>
      </c>
      <c r="FUQ1" s="331" t="s">
        <v>5338</v>
      </c>
      <c r="FUR1" s="331" t="s">
        <v>5339</v>
      </c>
      <c r="FUS1" s="331" t="s">
        <v>5340</v>
      </c>
      <c r="FUT1" s="331" t="s">
        <v>5341</v>
      </c>
      <c r="FUU1" s="331" t="s">
        <v>5342</v>
      </c>
      <c r="FUV1" s="331" t="s">
        <v>5343</v>
      </c>
      <c r="FUW1" s="331" t="s">
        <v>5344</v>
      </c>
      <c r="FUX1" s="331" t="s">
        <v>5345</v>
      </c>
      <c r="FUY1" s="331" t="s">
        <v>5346</v>
      </c>
      <c r="FUZ1" s="331" t="s">
        <v>5347</v>
      </c>
      <c r="FVA1" s="331" t="s">
        <v>5348</v>
      </c>
      <c r="FVB1" s="331" t="s">
        <v>5349</v>
      </c>
      <c r="FVC1" s="331" t="s">
        <v>5350</v>
      </c>
      <c r="FVD1" s="331" t="s">
        <v>5351</v>
      </c>
      <c r="FVE1" s="331" t="s">
        <v>5352</v>
      </c>
      <c r="FVF1" s="331" t="s">
        <v>5353</v>
      </c>
      <c r="FVG1" s="331" t="s">
        <v>5354</v>
      </c>
      <c r="FVH1" s="331" t="s">
        <v>5355</v>
      </c>
      <c r="FVI1" s="331" t="s">
        <v>5356</v>
      </c>
      <c r="FVJ1" s="331" t="s">
        <v>5357</v>
      </c>
      <c r="FVK1" s="331" t="s">
        <v>5358</v>
      </c>
      <c r="FVL1" s="331" t="s">
        <v>5359</v>
      </c>
      <c r="FVM1" s="331" t="s">
        <v>5360</v>
      </c>
      <c r="FVN1" s="331" t="s">
        <v>5361</v>
      </c>
      <c r="FVO1" s="331" t="s">
        <v>5362</v>
      </c>
      <c r="FVP1" s="331" t="s">
        <v>5363</v>
      </c>
      <c r="FVQ1" s="331" t="s">
        <v>5364</v>
      </c>
      <c r="FVR1" s="331" t="s">
        <v>5365</v>
      </c>
      <c r="FVS1" s="331" t="s">
        <v>5366</v>
      </c>
      <c r="FVT1" s="331" t="s">
        <v>5367</v>
      </c>
      <c r="FVU1" s="331" t="s">
        <v>5368</v>
      </c>
      <c r="FVV1" s="331" t="s">
        <v>5369</v>
      </c>
      <c r="FVW1" s="331" t="s">
        <v>5370</v>
      </c>
      <c r="FVX1" s="331" t="s">
        <v>5371</v>
      </c>
      <c r="FVY1" s="331" t="s">
        <v>5372</v>
      </c>
      <c r="FVZ1" s="331" t="s">
        <v>5373</v>
      </c>
      <c r="FWA1" s="331" t="s">
        <v>5374</v>
      </c>
      <c r="FWB1" s="331" t="s">
        <v>5375</v>
      </c>
      <c r="FWC1" s="331" t="s">
        <v>5376</v>
      </c>
      <c r="FWD1" s="331" t="s">
        <v>5377</v>
      </c>
      <c r="FWE1" s="331" t="s">
        <v>5378</v>
      </c>
      <c r="FWF1" s="331" t="s">
        <v>5379</v>
      </c>
      <c r="FWG1" s="331" t="s">
        <v>5380</v>
      </c>
      <c r="FWH1" s="331" t="s">
        <v>5381</v>
      </c>
      <c r="FWI1" s="331" t="s">
        <v>5382</v>
      </c>
      <c r="FWJ1" s="331" t="s">
        <v>5383</v>
      </c>
      <c r="FWK1" s="331" t="s">
        <v>5384</v>
      </c>
      <c r="FWL1" s="331" t="s">
        <v>5385</v>
      </c>
      <c r="FWM1" s="331" t="s">
        <v>5386</v>
      </c>
      <c r="FWN1" s="331" t="s">
        <v>5387</v>
      </c>
      <c r="FWO1" s="331" t="s">
        <v>5388</v>
      </c>
      <c r="FWP1" s="331" t="s">
        <v>5389</v>
      </c>
      <c r="FWQ1" s="331" t="s">
        <v>5390</v>
      </c>
      <c r="FWR1" s="331" t="s">
        <v>5391</v>
      </c>
      <c r="FWS1" s="331" t="s">
        <v>5392</v>
      </c>
      <c r="FWT1" s="331" t="s">
        <v>5393</v>
      </c>
      <c r="FWU1" s="331" t="s">
        <v>5394</v>
      </c>
      <c r="FWV1" s="331" t="s">
        <v>5395</v>
      </c>
      <c r="FWW1" s="331" t="s">
        <v>5396</v>
      </c>
      <c r="FWX1" s="331" t="s">
        <v>5397</v>
      </c>
      <c r="FWY1" s="331" t="s">
        <v>5398</v>
      </c>
      <c r="FWZ1" s="331" t="s">
        <v>5399</v>
      </c>
      <c r="FXA1" s="331" t="s">
        <v>5400</v>
      </c>
      <c r="FXB1" s="331" t="s">
        <v>5401</v>
      </c>
      <c r="FXC1" s="331" t="s">
        <v>5402</v>
      </c>
      <c r="FXD1" s="331" t="s">
        <v>5403</v>
      </c>
      <c r="FXE1" s="331" t="s">
        <v>5404</v>
      </c>
      <c r="FXF1" s="331" t="s">
        <v>5405</v>
      </c>
      <c r="FXG1" s="331" t="s">
        <v>5406</v>
      </c>
      <c r="FXH1" s="331" t="s">
        <v>5407</v>
      </c>
      <c r="FXI1" s="331" t="s">
        <v>5408</v>
      </c>
      <c r="FXJ1" s="331" t="s">
        <v>5409</v>
      </c>
      <c r="FXK1" s="331" t="s">
        <v>5410</v>
      </c>
      <c r="FXL1" s="331" t="s">
        <v>5411</v>
      </c>
      <c r="FXM1" s="331" t="s">
        <v>5412</v>
      </c>
      <c r="FXN1" s="331" t="s">
        <v>5413</v>
      </c>
      <c r="FXO1" s="331" t="s">
        <v>5414</v>
      </c>
      <c r="FXP1" s="331" t="s">
        <v>5415</v>
      </c>
      <c r="FXQ1" s="331" t="s">
        <v>5416</v>
      </c>
      <c r="FXR1" s="331" t="s">
        <v>5417</v>
      </c>
      <c r="FXS1" s="331" t="s">
        <v>5418</v>
      </c>
      <c r="FXT1" s="331" t="s">
        <v>5419</v>
      </c>
      <c r="FXU1" s="331" t="s">
        <v>5420</v>
      </c>
      <c r="FXV1" s="331" t="s">
        <v>5421</v>
      </c>
      <c r="FXW1" s="331" t="s">
        <v>5422</v>
      </c>
      <c r="FXX1" s="331" t="s">
        <v>5423</v>
      </c>
      <c r="FXY1" s="331" t="s">
        <v>5424</v>
      </c>
      <c r="FXZ1" s="331" t="s">
        <v>5425</v>
      </c>
      <c r="FYA1" s="331" t="s">
        <v>5426</v>
      </c>
      <c r="FYB1" s="331" t="s">
        <v>5427</v>
      </c>
      <c r="FYC1" s="331" t="s">
        <v>5428</v>
      </c>
      <c r="FYD1" s="331" t="s">
        <v>5429</v>
      </c>
      <c r="FYE1" s="331" t="s">
        <v>5430</v>
      </c>
      <c r="FYF1" s="331" t="s">
        <v>5431</v>
      </c>
      <c r="FYG1" s="331" t="s">
        <v>5432</v>
      </c>
      <c r="FYH1" s="331" t="s">
        <v>5433</v>
      </c>
      <c r="FYI1" s="331" t="s">
        <v>5434</v>
      </c>
      <c r="FYJ1" s="331" t="s">
        <v>5435</v>
      </c>
      <c r="FYK1" s="331" t="s">
        <v>5436</v>
      </c>
      <c r="FYL1" s="331" t="s">
        <v>5437</v>
      </c>
      <c r="FYM1" s="331" t="s">
        <v>5438</v>
      </c>
      <c r="FYN1" s="331" t="s">
        <v>5439</v>
      </c>
      <c r="FYO1" s="331" t="s">
        <v>5440</v>
      </c>
      <c r="FYP1" s="331" t="s">
        <v>5441</v>
      </c>
      <c r="FYQ1" s="331" t="s">
        <v>5442</v>
      </c>
      <c r="FYR1" s="331" t="s">
        <v>5443</v>
      </c>
      <c r="FYS1" s="331" t="s">
        <v>5444</v>
      </c>
      <c r="FYT1" s="331" t="s">
        <v>5445</v>
      </c>
      <c r="FYU1" s="331" t="s">
        <v>5446</v>
      </c>
      <c r="FYV1" s="331" t="s">
        <v>5447</v>
      </c>
      <c r="FYW1" s="331" t="s">
        <v>5448</v>
      </c>
      <c r="FYX1" s="331" t="s">
        <v>5449</v>
      </c>
      <c r="FYY1" s="331" t="s">
        <v>5450</v>
      </c>
      <c r="FYZ1" s="331" t="s">
        <v>5451</v>
      </c>
      <c r="FZA1" s="331" t="s">
        <v>5452</v>
      </c>
      <c r="FZB1" s="331" t="s">
        <v>5453</v>
      </c>
      <c r="FZC1" s="331" t="s">
        <v>5454</v>
      </c>
      <c r="FZD1" s="331" t="s">
        <v>5455</v>
      </c>
      <c r="FZE1" s="331" t="s">
        <v>5456</v>
      </c>
      <c r="FZF1" s="331" t="s">
        <v>5457</v>
      </c>
      <c r="FZG1" s="331" t="s">
        <v>5458</v>
      </c>
      <c r="FZH1" s="331" t="s">
        <v>5459</v>
      </c>
      <c r="FZI1" s="331" t="s">
        <v>5460</v>
      </c>
      <c r="FZJ1" s="331" t="s">
        <v>5461</v>
      </c>
      <c r="FZK1" s="331" t="s">
        <v>5462</v>
      </c>
      <c r="FZL1" s="331" t="s">
        <v>5463</v>
      </c>
      <c r="FZM1" s="331" t="s">
        <v>5464</v>
      </c>
      <c r="FZN1" s="331" t="s">
        <v>5465</v>
      </c>
      <c r="FZO1" s="331" t="s">
        <v>5466</v>
      </c>
      <c r="FZP1" s="331" t="s">
        <v>5467</v>
      </c>
      <c r="FZQ1" s="331" t="s">
        <v>5468</v>
      </c>
      <c r="FZR1" s="331" t="s">
        <v>5469</v>
      </c>
      <c r="FZS1" s="331" t="s">
        <v>5470</v>
      </c>
      <c r="FZT1" s="331" t="s">
        <v>5471</v>
      </c>
      <c r="FZU1" s="331" t="s">
        <v>5472</v>
      </c>
      <c r="FZV1" s="331" t="s">
        <v>5473</v>
      </c>
      <c r="FZW1" s="331" t="s">
        <v>5474</v>
      </c>
      <c r="FZX1" s="331" t="s">
        <v>5475</v>
      </c>
      <c r="FZY1" s="331" t="s">
        <v>5476</v>
      </c>
      <c r="FZZ1" s="331" t="s">
        <v>5477</v>
      </c>
      <c r="GAA1" s="331" t="s">
        <v>5478</v>
      </c>
      <c r="GAB1" s="331" t="s">
        <v>5479</v>
      </c>
      <c r="GAC1" s="331" t="s">
        <v>5480</v>
      </c>
      <c r="GAD1" s="331" t="s">
        <v>5481</v>
      </c>
      <c r="GAE1" s="331" t="s">
        <v>5482</v>
      </c>
      <c r="GAF1" s="331" t="s">
        <v>5483</v>
      </c>
      <c r="GAG1" s="331" t="s">
        <v>5484</v>
      </c>
      <c r="GAH1" s="331" t="s">
        <v>5485</v>
      </c>
      <c r="GAI1" s="331" t="s">
        <v>5486</v>
      </c>
      <c r="GAJ1" s="331" t="s">
        <v>5487</v>
      </c>
      <c r="GAK1" s="331" t="s">
        <v>5488</v>
      </c>
      <c r="GAL1" s="331" t="s">
        <v>5489</v>
      </c>
      <c r="GAM1" s="331" t="s">
        <v>5490</v>
      </c>
      <c r="GAN1" s="331" t="s">
        <v>5491</v>
      </c>
      <c r="GAO1" s="331" t="s">
        <v>5492</v>
      </c>
      <c r="GAP1" s="331" t="s">
        <v>5493</v>
      </c>
      <c r="GAQ1" s="331" t="s">
        <v>5494</v>
      </c>
      <c r="GAR1" s="331" t="s">
        <v>5495</v>
      </c>
      <c r="GAS1" s="331" t="s">
        <v>5496</v>
      </c>
      <c r="GAT1" s="331" t="s">
        <v>5497</v>
      </c>
      <c r="GAU1" s="331" t="s">
        <v>5498</v>
      </c>
      <c r="GAV1" s="331" t="s">
        <v>5499</v>
      </c>
      <c r="GAW1" s="331" t="s">
        <v>5500</v>
      </c>
      <c r="GAX1" s="331" t="s">
        <v>5501</v>
      </c>
      <c r="GAY1" s="331" t="s">
        <v>5502</v>
      </c>
      <c r="GAZ1" s="331" t="s">
        <v>5503</v>
      </c>
      <c r="GBA1" s="331" t="s">
        <v>5504</v>
      </c>
      <c r="GBB1" s="331" t="s">
        <v>5505</v>
      </c>
      <c r="GBC1" s="331" t="s">
        <v>5506</v>
      </c>
      <c r="GBD1" s="331" t="s">
        <v>5507</v>
      </c>
      <c r="GBE1" s="331" t="s">
        <v>5508</v>
      </c>
      <c r="GBF1" s="331" t="s">
        <v>5509</v>
      </c>
      <c r="GBG1" s="331" t="s">
        <v>5510</v>
      </c>
      <c r="GBH1" s="331" t="s">
        <v>5511</v>
      </c>
      <c r="GBI1" s="331" t="s">
        <v>5512</v>
      </c>
      <c r="GBJ1" s="331" t="s">
        <v>5513</v>
      </c>
      <c r="GBK1" s="331" t="s">
        <v>5514</v>
      </c>
      <c r="GBL1" s="331" t="s">
        <v>5515</v>
      </c>
      <c r="GBM1" s="331" t="s">
        <v>5516</v>
      </c>
      <c r="GBN1" s="331" t="s">
        <v>5517</v>
      </c>
      <c r="GBO1" s="331" t="s">
        <v>5518</v>
      </c>
      <c r="GBP1" s="331" t="s">
        <v>5519</v>
      </c>
      <c r="GBQ1" s="331" t="s">
        <v>5520</v>
      </c>
      <c r="GBR1" s="331" t="s">
        <v>5521</v>
      </c>
      <c r="GBS1" s="331" t="s">
        <v>5522</v>
      </c>
      <c r="GBT1" s="331" t="s">
        <v>5523</v>
      </c>
      <c r="GBU1" s="331" t="s">
        <v>5524</v>
      </c>
      <c r="GBV1" s="331" t="s">
        <v>5525</v>
      </c>
      <c r="GBW1" s="331" t="s">
        <v>5526</v>
      </c>
      <c r="GBX1" s="331" t="s">
        <v>5527</v>
      </c>
      <c r="GBY1" s="331" t="s">
        <v>5528</v>
      </c>
      <c r="GBZ1" s="331" t="s">
        <v>5529</v>
      </c>
      <c r="GCA1" s="331" t="s">
        <v>5530</v>
      </c>
      <c r="GCB1" s="331" t="s">
        <v>5531</v>
      </c>
      <c r="GCC1" s="331" t="s">
        <v>5532</v>
      </c>
      <c r="GCD1" s="331" t="s">
        <v>5533</v>
      </c>
      <c r="GCE1" s="331" t="s">
        <v>5534</v>
      </c>
      <c r="GCF1" s="331" t="s">
        <v>5535</v>
      </c>
      <c r="GCG1" s="331" t="s">
        <v>5536</v>
      </c>
      <c r="GCH1" s="331" t="s">
        <v>5537</v>
      </c>
      <c r="GCI1" s="331" t="s">
        <v>5538</v>
      </c>
      <c r="GCJ1" s="331" t="s">
        <v>5539</v>
      </c>
      <c r="GCK1" s="331" t="s">
        <v>5540</v>
      </c>
      <c r="GCL1" s="331" t="s">
        <v>5541</v>
      </c>
      <c r="GCM1" s="331" t="s">
        <v>5542</v>
      </c>
      <c r="GCN1" s="331" t="s">
        <v>5543</v>
      </c>
      <c r="GCO1" s="331" t="s">
        <v>5544</v>
      </c>
      <c r="GCP1" s="331" t="s">
        <v>5545</v>
      </c>
      <c r="GCQ1" s="331" t="s">
        <v>5546</v>
      </c>
      <c r="GCR1" s="331" t="s">
        <v>5547</v>
      </c>
      <c r="GCS1" s="331" t="s">
        <v>5548</v>
      </c>
      <c r="GCT1" s="331" t="s">
        <v>5549</v>
      </c>
      <c r="GCU1" s="331" t="s">
        <v>5550</v>
      </c>
      <c r="GCV1" s="331" t="s">
        <v>5551</v>
      </c>
      <c r="GCW1" s="331" t="s">
        <v>5552</v>
      </c>
      <c r="GCX1" s="331" t="s">
        <v>5553</v>
      </c>
      <c r="GCY1" s="331" t="s">
        <v>5554</v>
      </c>
      <c r="GCZ1" s="331" t="s">
        <v>5555</v>
      </c>
      <c r="GDA1" s="331" t="s">
        <v>5556</v>
      </c>
      <c r="GDB1" s="331" t="s">
        <v>5557</v>
      </c>
      <c r="GDC1" s="331" t="s">
        <v>5558</v>
      </c>
      <c r="GDD1" s="331" t="s">
        <v>5559</v>
      </c>
      <c r="GDE1" s="331" t="s">
        <v>5560</v>
      </c>
      <c r="GDF1" s="331" t="s">
        <v>5561</v>
      </c>
      <c r="GDG1" s="331" t="s">
        <v>5562</v>
      </c>
      <c r="GDH1" s="331" t="s">
        <v>5563</v>
      </c>
      <c r="GDI1" s="331" t="s">
        <v>5564</v>
      </c>
      <c r="GDJ1" s="331" t="s">
        <v>5565</v>
      </c>
      <c r="GDK1" s="331" t="s">
        <v>5566</v>
      </c>
      <c r="GDL1" s="331" t="s">
        <v>5567</v>
      </c>
      <c r="GDM1" s="331" t="s">
        <v>5568</v>
      </c>
      <c r="GDN1" s="331" t="s">
        <v>5569</v>
      </c>
      <c r="GDO1" s="331" t="s">
        <v>5570</v>
      </c>
      <c r="GDP1" s="331" t="s">
        <v>5571</v>
      </c>
      <c r="GDQ1" s="331" t="s">
        <v>5572</v>
      </c>
      <c r="GDR1" s="331" t="s">
        <v>5573</v>
      </c>
      <c r="GDS1" s="331" t="s">
        <v>5574</v>
      </c>
      <c r="GDT1" s="331" t="s">
        <v>5575</v>
      </c>
      <c r="GDU1" s="331" t="s">
        <v>5576</v>
      </c>
      <c r="GDV1" s="331" t="s">
        <v>5577</v>
      </c>
      <c r="GDW1" s="331" t="s">
        <v>5578</v>
      </c>
      <c r="GDX1" s="331" t="s">
        <v>5579</v>
      </c>
      <c r="GDY1" s="331" t="s">
        <v>5580</v>
      </c>
      <c r="GDZ1" s="331" t="s">
        <v>5581</v>
      </c>
      <c r="GEA1" s="331" t="s">
        <v>5582</v>
      </c>
      <c r="GEB1" s="331" t="s">
        <v>5583</v>
      </c>
      <c r="GEC1" s="331" t="s">
        <v>5584</v>
      </c>
      <c r="GED1" s="331" t="s">
        <v>5585</v>
      </c>
      <c r="GEE1" s="331" t="s">
        <v>5586</v>
      </c>
      <c r="GEF1" s="331" t="s">
        <v>5587</v>
      </c>
      <c r="GEG1" s="331" t="s">
        <v>5588</v>
      </c>
      <c r="GEH1" s="331" t="s">
        <v>5589</v>
      </c>
      <c r="GEI1" s="331" t="s">
        <v>5590</v>
      </c>
      <c r="GEJ1" s="331" t="s">
        <v>5591</v>
      </c>
      <c r="GEK1" s="331" t="s">
        <v>5592</v>
      </c>
      <c r="GEL1" s="331" t="s">
        <v>5593</v>
      </c>
      <c r="GEM1" s="331" t="s">
        <v>5594</v>
      </c>
      <c r="GEN1" s="331" t="s">
        <v>5595</v>
      </c>
      <c r="GEO1" s="331" t="s">
        <v>5596</v>
      </c>
      <c r="GEP1" s="331" t="s">
        <v>5597</v>
      </c>
      <c r="GEQ1" s="331" t="s">
        <v>5598</v>
      </c>
      <c r="GER1" s="331" t="s">
        <v>5599</v>
      </c>
      <c r="GES1" s="331" t="s">
        <v>5600</v>
      </c>
      <c r="GET1" s="331" t="s">
        <v>5601</v>
      </c>
      <c r="GEU1" s="331" t="s">
        <v>5602</v>
      </c>
      <c r="GEV1" s="331" t="s">
        <v>5603</v>
      </c>
      <c r="GEW1" s="331" t="s">
        <v>5604</v>
      </c>
      <c r="GEX1" s="331" t="s">
        <v>5605</v>
      </c>
      <c r="GEY1" s="331" t="s">
        <v>5606</v>
      </c>
      <c r="GEZ1" s="331" t="s">
        <v>5607</v>
      </c>
      <c r="GFA1" s="331" t="s">
        <v>5608</v>
      </c>
      <c r="GFB1" s="331" t="s">
        <v>5609</v>
      </c>
      <c r="GFC1" s="331" t="s">
        <v>5610</v>
      </c>
      <c r="GFD1" s="331" t="s">
        <v>5611</v>
      </c>
      <c r="GFE1" s="331" t="s">
        <v>5612</v>
      </c>
      <c r="GFF1" s="331" t="s">
        <v>5613</v>
      </c>
      <c r="GFG1" s="331" t="s">
        <v>5614</v>
      </c>
      <c r="GFH1" s="331" t="s">
        <v>5615</v>
      </c>
      <c r="GFI1" s="331" t="s">
        <v>5616</v>
      </c>
      <c r="GFJ1" s="331" t="s">
        <v>5617</v>
      </c>
      <c r="GFK1" s="331" t="s">
        <v>5618</v>
      </c>
      <c r="GFL1" s="331" t="s">
        <v>5619</v>
      </c>
      <c r="GFM1" s="331" t="s">
        <v>5620</v>
      </c>
      <c r="GFN1" s="331" t="s">
        <v>5621</v>
      </c>
      <c r="GFO1" s="331" t="s">
        <v>5622</v>
      </c>
      <c r="GFP1" s="331" t="s">
        <v>5623</v>
      </c>
      <c r="GFQ1" s="331" t="s">
        <v>5624</v>
      </c>
      <c r="GFR1" s="331" t="s">
        <v>5625</v>
      </c>
      <c r="GFS1" s="331" t="s">
        <v>5626</v>
      </c>
      <c r="GFT1" s="331" t="s">
        <v>5627</v>
      </c>
      <c r="GFU1" s="331" t="s">
        <v>5628</v>
      </c>
      <c r="GFV1" s="331" t="s">
        <v>5629</v>
      </c>
      <c r="GFW1" s="331" t="s">
        <v>5630</v>
      </c>
      <c r="GFX1" s="331" t="s">
        <v>5631</v>
      </c>
      <c r="GFY1" s="331" t="s">
        <v>5632</v>
      </c>
      <c r="GFZ1" s="331" t="s">
        <v>5633</v>
      </c>
      <c r="GGA1" s="331" t="s">
        <v>5634</v>
      </c>
      <c r="GGB1" s="331" t="s">
        <v>5635</v>
      </c>
      <c r="GGC1" s="331" t="s">
        <v>5636</v>
      </c>
      <c r="GGD1" s="331" t="s">
        <v>5637</v>
      </c>
      <c r="GGE1" s="331" t="s">
        <v>5638</v>
      </c>
      <c r="GGF1" s="331" t="s">
        <v>5639</v>
      </c>
      <c r="GGG1" s="331" t="s">
        <v>5640</v>
      </c>
      <c r="GGH1" s="331" t="s">
        <v>5641</v>
      </c>
      <c r="GGI1" s="331" t="s">
        <v>5642</v>
      </c>
      <c r="GGJ1" s="331" t="s">
        <v>5643</v>
      </c>
      <c r="GGK1" s="331" t="s">
        <v>5644</v>
      </c>
      <c r="GGL1" s="331" t="s">
        <v>5645</v>
      </c>
      <c r="GGM1" s="331" t="s">
        <v>5646</v>
      </c>
      <c r="GGN1" s="331" t="s">
        <v>5647</v>
      </c>
      <c r="GGO1" s="331" t="s">
        <v>5648</v>
      </c>
      <c r="GGP1" s="331" t="s">
        <v>5649</v>
      </c>
      <c r="GGQ1" s="331" t="s">
        <v>5650</v>
      </c>
      <c r="GGR1" s="331" t="s">
        <v>5651</v>
      </c>
      <c r="GGS1" s="331" t="s">
        <v>5652</v>
      </c>
      <c r="GGT1" s="331" t="s">
        <v>5653</v>
      </c>
      <c r="GGU1" s="331" t="s">
        <v>5654</v>
      </c>
      <c r="GGV1" s="331" t="s">
        <v>5655</v>
      </c>
      <c r="GGW1" s="331" t="s">
        <v>5656</v>
      </c>
      <c r="GGX1" s="331" t="s">
        <v>5657</v>
      </c>
      <c r="GGY1" s="331" t="s">
        <v>5658</v>
      </c>
      <c r="GGZ1" s="331" t="s">
        <v>5659</v>
      </c>
      <c r="GHA1" s="331" t="s">
        <v>5660</v>
      </c>
      <c r="GHB1" s="331" t="s">
        <v>5661</v>
      </c>
      <c r="GHC1" s="331" t="s">
        <v>5662</v>
      </c>
      <c r="GHD1" s="331" t="s">
        <v>5663</v>
      </c>
      <c r="GHE1" s="331" t="s">
        <v>5664</v>
      </c>
      <c r="GHF1" s="331" t="s">
        <v>5665</v>
      </c>
      <c r="GHG1" s="331" t="s">
        <v>5666</v>
      </c>
      <c r="GHH1" s="331" t="s">
        <v>5667</v>
      </c>
      <c r="GHI1" s="331" t="s">
        <v>5668</v>
      </c>
      <c r="GHJ1" s="331" t="s">
        <v>5669</v>
      </c>
      <c r="GHK1" s="331" t="s">
        <v>5670</v>
      </c>
      <c r="GHL1" s="331" t="s">
        <v>5671</v>
      </c>
      <c r="GHM1" s="331" t="s">
        <v>5672</v>
      </c>
      <c r="GHN1" s="331" t="s">
        <v>5673</v>
      </c>
      <c r="GHO1" s="331" t="s">
        <v>5674</v>
      </c>
      <c r="GHP1" s="331" t="s">
        <v>5675</v>
      </c>
      <c r="GHQ1" s="331" t="s">
        <v>5676</v>
      </c>
      <c r="GHR1" s="331" t="s">
        <v>5677</v>
      </c>
      <c r="GHS1" s="331" t="s">
        <v>5678</v>
      </c>
      <c r="GHT1" s="331" t="s">
        <v>5679</v>
      </c>
      <c r="GHU1" s="331" t="s">
        <v>5680</v>
      </c>
      <c r="GHV1" s="331" t="s">
        <v>5681</v>
      </c>
      <c r="GHW1" s="331" t="s">
        <v>5682</v>
      </c>
      <c r="GHX1" s="331" t="s">
        <v>5683</v>
      </c>
      <c r="GHY1" s="331" t="s">
        <v>5684</v>
      </c>
      <c r="GHZ1" s="331" t="s">
        <v>5685</v>
      </c>
      <c r="GIA1" s="331" t="s">
        <v>5686</v>
      </c>
      <c r="GIB1" s="331" t="s">
        <v>5687</v>
      </c>
      <c r="GIC1" s="331" t="s">
        <v>5688</v>
      </c>
      <c r="GID1" s="331" t="s">
        <v>5689</v>
      </c>
      <c r="GIE1" s="331" t="s">
        <v>5690</v>
      </c>
      <c r="GIF1" s="331" t="s">
        <v>5691</v>
      </c>
      <c r="GIG1" s="331" t="s">
        <v>5692</v>
      </c>
      <c r="GIH1" s="331" t="s">
        <v>5693</v>
      </c>
      <c r="GII1" s="331" t="s">
        <v>5694</v>
      </c>
      <c r="GIJ1" s="331" t="s">
        <v>5695</v>
      </c>
      <c r="GIK1" s="331" t="s">
        <v>5696</v>
      </c>
      <c r="GIL1" s="331" t="s">
        <v>5697</v>
      </c>
      <c r="GIM1" s="331" t="s">
        <v>5698</v>
      </c>
      <c r="GIN1" s="331" t="s">
        <v>5699</v>
      </c>
      <c r="GIO1" s="331" t="s">
        <v>5700</v>
      </c>
      <c r="GIP1" s="331" t="s">
        <v>5701</v>
      </c>
      <c r="GIQ1" s="331" t="s">
        <v>5702</v>
      </c>
      <c r="GIR1" s="331" t="s">
        <v>5703</v>
      </c>
      <c r="GIS1" s="331" t="s">
        <v>5704</v>
      </c>
      <c r="GIT1" s="331" t="s">
        <v>5705</v>
      </c>
      <c r="GIU1" s="331" t="s">
        <v>5706</v>
      </c>
      <c r="GIV1" s="331" t="s">
        <v>5707</v>
      </c>
      <c r="GIW1" s="331" t="s">
        <v>5708</v>
      </c>
      <c r="GIX1" s="331" t="s">
        <v>5709</v>
      </c>
      <c r="GIY1" s="331" t="s">
        <v>5710</v>
      </c>
      <c r="GIZ1" s="331" t="s">
        <v>5711</v>
      </c>
      <c r="GJA1" s="331" t="s">
        <v>5712</v>
      </c>
      <c r="GJB1" s="331" t="s">
        <v>5713</v>
      </c>
      <c r="GJC1" s="331" t="s">
        <v>5714</v>
      </c>
      <c r="GJD1" s="331" t="s">
        <v>5715</v>
      </c>
      <c r="GJE1" s="331" t="s">
        <v>5716</v>
      </c>
      <c r="GJF1" s="331" t="s">
        <v>5717</v>
      </c>
      <c r="GJG1" s="331" t="s">
        <v>5718</v>
      </c>
      <c r="GJH1" s="331" t="s">
        <v>5719</v>
      </c>
      <c r="GJI1" s="331" t="s">
        <v>5720</v>
      </c>
      <c r="GJJ1" s="331" t="s">
        <v>5721</v>
      </c>
      <c r="GJK1" s="331" t="s">
        <v>5722</v>
      </c>
      <c r="GJL1" s="331" t="s">
        <v>5723</v>
      </c>
      <c r="GJM1" s="331" t="s">
        <v>5724</v>
      </c>
      <c r="GJN1" s="331" t="s">
        <v>5725</v>
      </c>
      <c r="GJO1" s="331" t="s">
        <v>5726</v>
      </c>
      <c r="GJP1" s="331" t="s">
        <v>5727</v>
      </c>
      <c r="GJQ1" s="331" t="s">
        <v>5728</v>
      </c>
      <c r="GJR1" s="331" t="s">
        <v>5729</v>
      </c>
      <c r="GJS1" s="331" t="s">
        <v>5730</v>
      </c>
      <c r="GJT1" s="331" t="s">
        <v>5731</v>
      </c>
      <c r="GJU1" s="331" t="s">
        <v>5732</v>
      </c>
      <c r="GJV1" s="331" t="s">
        <v>5733</v>
      </c>
      <c r="GJW1" s="331" t="s">
        <v>5734</v>
      </c>
      <c r="GJX1" s="331" t="s">
        <v>5735</v>
      </c>
      <c r="GJY1" s="331" t="s">
        <v>5736</v>
      </c>
      <c r="GJZ1" s="331" t="s">
        <v>5737</v>
      </c>
      <c r="GKA1" s="331" t="s">
        <v>5738</v>
      </c>
      <c r="GKB1" s="331" t="s">
        <v>5739</v>
      </c>
      <c r="GKC1" s="331" t="s">
        <v>5740</v>
      </c>
      <c r="GKD1" s="331" t="s">
        <v>5741</v>
      </c>
      <c r="GKE1" s="331" t="s">
        <v>5742</v>
      </c>
      <c r="GKF1" s="331" t="s">
        <v>5743</v>
      </c>
      <c r="GKG1" s="331" t="s">
        <v>5744</v>
      </c>
      <c r="GKH1" s="331" t="s">
        <v>5745</v>
      </c>
      <c r="GKI1" s="331" t="s">
        <v>5746</v>
      </c>
      <c r="GKJ1" s="331" t="s">
        <v>5747</v>
      </c>
      <c r="GKK1" s="331" t="s">
        <v>5748</v>
      </c>
      <c r="GKL1" s="331" t="s">
        <v>5749</v>
      </c>
      <c r="GKM1" s="331" t="s">
        <v>5750</v>
      </c>
      <c r="GKN1" s="331" t="s">
        <v>5751</v>
      </c>
      <c r="GKO1" s="331" t="s">
        <v>5752</v>
      </c>
      <c r="GKP1" s="331" t="s">
        <v>5753</v>
      </c>
      <c r="GKQ1" s="331" t="s">
        <v>5754</v>
      </c>
      <c r="GKR1" s="331" t="s">
        <v>5755</v>
      </c>
      <c r="GKS1" s="331" t="s">
        <v>5756</v>
      </c>
      <c r="GKT1" s="331" t="s">
        <v>5757</v>
      </c>
      <c r="GKU1" s="331" t="s">
        <v>5758</v>
      </c>
      <c r="GKV1" s="331" t="s">
        <v>5759</v>
      </c>
      <c r="GKW1" s="331" t="s">
        <v>5760</v>
      </c>
      <c r="GKX1" s="331" t="s">
        <v>5761</v>
      </c>
      <c r="GKY1" s="331" t="s">
        <v>5762</v>
      </c>
      <c r="GKZ1" s="331" t="s">
        <v>5763</v>
      </c>
      <c r="GLA1" s="331" t="s">
        <v>5764</v>
      </c>
      <c r="GLB1" s="331" t="s">
        <v>5765</v>
      </c>
      <c r="GLC1" s="331" t="s">
        <v>5766</v>
      </c>
      <c r="GLD1" s="331" t="s">
        <v>5767</v>
      </c>
      <c r="GLE1" s="331" t="s">
        <v>5768</v>
      </c>
      <c r="GLF1" s="331" t="s">
        <v>5769</v>
      </c>
      <c r="GLG1" s="331" t="s">
        <v>5770</v>
      </c>
      <c r="GLH1" s="331" t="s">
        <v>5771</v>
      </c>
      <c r="GLI1" s="331" t="s">
        <v>5772</v>
      </c>
      <c r="GLJ1" s="331" t="s">
        <v>5773</v>
      </c>
      <c r="GLK1" s="331" t="s">
        <v>5774</v>
      </c>
      <c r="GLL1" s="331" t="s">
        <v>5775</v>
      </c>
      <c r="GLM1" s="331" t="s">
        <v>5776</v>
      </c>
      <c r="GLN1" s="331" t="s">
        <v>5777</v>
      </c>
      <c r="GLO1" s="331" t="s">
        <v>5778</v>
      </c>
      <c r="GLP1" s="331" t="s">
        <v>5779</v>
      </c>
      <c r="GLQ1" s="331" t="s">
        <v>5780</v>
      </c>
      <c r="GLR1" s="331" t="s">
        <v>5781</v>
      </c>
      <c r="GLS1" s="331" t="s">
        <v>5782</v>
      </c>
      <c r="GLT1" s="331" t="s">
        <v>5783</v>
      </c>
      <c r="GLU1" s="331" t="s">
        <v>5784</v>
      </c>
      <c r="GLV1" s="331" t="s">
        <v>5785</v>
      </c>
      <c r="GLW1" s="331" t="s">
        <v>5786</v>
      </c>
      <c r="GLX1" s="331" t="s">
        <v>5787</v>
      </c>
      <c r="GLY1" s="331" t="s">
        <v>5788</v>
      </c>
      <c r="GLZ1" s="331" t="s">
        <v>5789</v>
      </c>
      <c r="GMA1" s="331" t="s">
        <v>5790</v>
      </c>
      <c r="GMB1" s="331" t="s">
        <v>5791</v>
      </c>
      <c r="GMC1" s="331" t="s">
        <v>5792</v>
      </c>
      <c r="GMD1" s="331" t="s">
        <v>5793</v>
      </c>
      <c r="GME1" s="331" t="s">
        <v>5794</v>
      </c>
      <c r="GMF1" s="331" t="s">
        <v>5795</v>
      </c>
      <c r="GMG1" s="331" t="s">
        <v>5796</v>
      </c>
      <c r="GMH1" s="331" t="s">
        <v>5797</v>
      </c>
      <c r="GMI1" s="331" t="s">
        <v>5798</v>
      </c>
      <c r="GMJ1" s="331" t="s">
        <v>5799</v>
      </c>
      <c r="GMK1" s="331" t="s">
        <v>5800</v>
      </c>
      <c r="GML1" s="331" t="s">
        <v>5801</v>
      </c>
      <c r="GMM1" s="331" t="s">
        <v>5802</v>
      </c>
      <c r="GMN1" s="331" t="s">
        <v>5803</v>
      </c>
      <c r="GMO1" s="331" t="s">
        <v>5804</v>
      </c>
      <c r="GMP1" s="331" t="s">
        <v>5805</v>
      </c>
      <c r="GMQ1" s="331" t="s">
        <v>5806</v>
      </c>
      <c r="GMR1" s="331" t="s">
        <v>5807</v>
      </c>
      <c r="GMS1" s="331" t="s">
        <v>5808</v>
      </c>
      <c r="GMT1" s="331" t="s">
        <v>5809</v>
      </c>
      <c r="GMU1" s="331" t="s">
        <v>5810</v>
      </c>
      <c r="GMV1" s="331" t="s">
        <v>5811</v>
      </c>
      <c r="GMW1" s="331" t="s">
        <v>5812</v>
      </c>
      <c r="GMX1" s="331" t="s">
        <v>5813</v>
      </c>
      <c r="GMY1" s="331" t="s">
        <v>5814</v>
      </c>
      <c r="GMZ1" s="331" t="s">
        <v>5815</v>
      </c>
      <c r="GNA1" s="331" t="s">
        <v>5816</v>
      </c>
      <c r="GNB1" s="331" t="s">
        <v>5817</v>
      </c>
      <c r="GNC1" s="331" t="s">
        <v>5818</v>
      </c>
      <c r="GND1" s="331" t="s">
        <v>5819</v>
      </c>
      <c r="GNE1" s="331" t="s">
        <v>5820</v>
      </c>
      <c r="GNF1" s="331" t="s">
        <v>5821</v>
      </c>
      <c r="GNG1" s="331" t="s">
        <v>5822</v>
      </c>
      <c r="GNH1" s="331" t="s">
        <v>5823</v>
      </c>
      <c r="GNI1" s="331" t="s">
        <v>5824</v>
      </c>
      <c r="GNJ1" s="331" t="s">
        <v>5825</v>
      </c>
      <c r="GNK1" s="331" t="s">
        <v>5826</v>
      </c>
      <c r="GNL1" s="331" t="s">
        <v>5827</v>
      </c>
      <c r="GNM1" s="331" t="s">
        <v>5828</v>
      </c>
      <c r="GNN1" s="331" t="s">
        <v>5829</v>
      </c>
      <c r="GNO1" s="331" t="s">
        <v>5830</v>
      </c>
      <c r="GNP1" s="331" t="s">
        <v>5831</v>
      </c>
      <c r="GNQ1" s="331" t="s">
        <v>5832</v>
      </c>
      <c r="GNR1" s="331" t="s">
        <v>5833</v>
      </c>
      <c r="GNS1" s="331" t="s">
        <v>5834</v>
      </c>
      <c r="GNT1" s="331" t="s">
        <v>5835</v>
      </c>
      <c r="GNU1" s="331" t="s">
        <v>5836</v>
      </c>
      <c r="GNV1" s="331" t="s">
        <v>5837</v>
      </c>
      <c r="GNW1" s="331" t="s">
        <v>5838</v>
      </c>
      <c r="GNX1" s="331" t="s">
        <v>5839</v>
      </c>
      <c r="GNY1" s="331" t="s">
        <v>5840</v>
      </c>
      <c r="GNZ1" s="331" t="s">
        <v>5841</v>
      </c>
      <c r="GOA1" s="331" t="s">
        <v>5842</v>
      </c>
      <c r="GOB1" s="331" t="s">
        <v>5843</v>
      </c>
      <c r="GOC1" s="331" t="s">
        <v>5844</v>
      </c>
      <c r="GOD1" s="331" t="s">
        <v>5845</v>
      </c>
      <c r="GOE1" s="331" t="s">
        <v>5846</v>
      </c>
      <c r="GOF1" s="331" t="s">
        <v>5847</v>
      </c>
      <c r="GOG1" s="331" t="s">
        <v>5848</v>
      </c>
      <c r="GOH1" s="331" t="s">
        <v>5849</v>
      </c>
      <c r="GOI1" s="331" t="s">
        <v>5850</v>
      </c>
      <c r="GOJ1" s="331" t="s">
        <v>5851</v>
      </c>
      <c r="GOK1" s="331" t="s">
        <v>5852</v>
      </c>
      <c r="GOL1" s="331" t="s">
        <v>5853</v>
      </c>
      <c r="GOM1" s="331" t="s">
        <v>5854</v>
      </c>
      <c r="GON1" s="331" t="s">
        <v>5855</v>
      </c>
      <c r="GOO1" s="331" t="s">
        <v>5856</v>
      </c>
      <c r="GOP1" s="331" t="s">
        <v>5857</v>
      </c>
      <c r="GOQ1" s="331" t="s">
        <v>5858</v>
      </c>
      <c r="GOR1" s="331" t="s">
        <v>5859</v>
      </c>
      <c r="GOS1" s="331" t="s">
        <v>5860</v>
      </c>
      <c r="GOT1" s="331" t="s">
        <v>5861</v>
      </c>
      <c r="GOU1" s="331" t="s">
        <v>5862</v>
      </c>
      <c r="GOV1" s="331" t="s">
        <v>5863</v>
      </c>
      <c r="GOW1" s="331" t="s">
        <v>5864</v>
      </c>
      <c r="GOX1" s="331" t="s">
        <v>5865</v>
      </c>
      <c r="GOY1" s="331" t="s">
        <v>5866</v>
      </c>
      <c r="GOZ1" s="331" t="s">
        <v>5867</v>
      </c>
      <c r="GPA1" s="331" t="s">
        <v>5868</v>
      </c>
      <c r="GPB1" s="331" t="s">
        <v>5869</v>
      </c>
      <c r="GPC1" s="331" t="s">
        <v>5870</v>
      </c>
      <c r="GPD1" s="331" t="s">
        <v>5871</v>
      </c>
      <c r="GPE1" s="331" t="s">
        <v>5872</v>
      </c>
      <c r="GPF1" s="331" t="s">
        <v>5873</v>
      </c>
      <c r="GPG1" s="331" t="s">
        <v>5874</v>
      </c>
      <c r="GPH1" s="331" t="s">
        <v>5875</v>
      </c>
      <c r="GPI1" s="331" t="s">
        <v>5876</v>
      </c>
      <c r="GPJ1" s="331" t="s">
        <v>5877</v>
      </c>
      <c r="GPK1" s="331" t="s">
        <v>5878</v>
      </c>
      <c r="GPL1" s="331" t="s">
        <v>5879</v>
      </c>
      <c r="GPM1" s="331" t="s">
        <v>5880</v>
      </c>
      <c r="GPN1" s="331" t="s">
        <v>5881</v>
      </c>
      <c r="GPO1" s="331" t="s">
        <v>5882</v>
      </c>
      <c r="GPP1" s="331" t="s">
        <v>5883</v>
      </c>
      <c r="GPQ1" s="331" t="s">
        <v>5884</v>
      </c>
      <c r="GPR1" s="331" t="s">
        <v>5885</v>
      </c>
      <c r="GPS1" s="331" t="s">
        <v>5886</v>
      </c>
      <c r="GPT1" s="331" t="s">
        <v>5887</v>
      </c>
      <c r="GPU1" s="331" t="s">
        <v>5888</v>
      </c>
      <c r="GPV1" s="331" t="s">
        <v>5889</v>
      </c>
      <c r="GPW1" s="331" t="s">
        <v>5890</v>
      </c>
      <c r="GPX1" s="331" t="s">
        <v>5891</v>
      </c>
      <c r="GPY1" s="331" t="s">
        <v>5892</v>
      </c>
      <c r="GPZ1" s="331" t="s">
        <v>5893</v>
      </c>
      <c r="GQA1" s="331" t="s">
        <v>5894</v>
      </c>
      <c r="GQB1" s="331" t="s">
        <v>5895</v>
      </c>
      <c r="GQC1" s="331" t="s">
        <v>5896</v>
      </c>
      <c r="GQD1" s="331" t="s">
        <v>5897</v>
      </c>
      <c r="GQE1" s="331" t="s">
        <v>5898</v>
      </c>
      <c r="GQF1" s="331" t="s">
        <v>5899</v>
      </c>
      <c r="GQG1" s="331" t="s">
        <v>5900</v>
      </c>
      <c r="GQH1" s="331" t="s">
        <v>5901</v>
      </c>
      <c r="GQI1" s="331" t="s">
        <v>5902</v>
      </c>
      <c r="GQJ1" s="331" t="s">
        <v>5903</v>
      </c>
      <c r="GQK1" s="331" t="s">
        <v>5904</v>
      </c>
      <c r="GQL1" s="331" t="s">
        <v>5905</v>
      </c>
      <c r="GQM1" s="331" t="s">
        <v>5906</v>
      </c>
      <c r="GQN1" s="331" t="s">
        <v>5907</v>
      </c>
      <c r="GQO1" s="331" t="s">
        <v>5908</v>
      </c>
      <c r="GQP1" s="331" t="s">
        <v>5909</v>
      </c>
      <c r="GQQ1" s="331" t="s">
        <v>5910</v>
      </c>
      <c r="GQR1" s="331" t="s">
        <v>5911</v>
      </c>
      <c r="GQS1" s="331" t="s">
        <v>5912</v>
      </c>
      <c r="GQT1" s="331" t="s">
        <v>5913</v>
      </c>
      <c r="GQU1" s="331" t="s">
        <v>5914</v>
      </c>
      <c r="GQV1" s="331" t="s">
        <v>5915</v>
      </c>
      <c r="GQW1" s="331" t="s">
        <v>5916</v>
      </c>
      <c r="GQX1" s="331" t="s">
        <v>5917</v>
      </c>
      <c r="GQY1" s="331" t="s">
        <v>5918</v>
      </c>
      <c r="GQZ1" s="331" t="s">
        <v>5919</v>
      </c>
      <c r="GRA1" s="331" t="s">
        <v>5920</v>
      </c>
      <c r="GRB1" s="331" t="s">
        <v>5921</v>
      </c>
      <c r="GRC1" s="331" t="s">
        <v>5922</v>
      </c>
      <c r="GRD1" s="331" t="s">
        <v>5923</v>
      </c>
      <c r="GRE1" s="331" t="s">
        <v>5924</v>
      </c>
      <c r="GRF1" s="331" t="s">
        <v>5925</v>
      </c>
      <c r="GRG1" s="331" t="s">
        <v>5926</v>
      </c>
      <c r="GRH1" s="331" t="s">
        <v>5927</v>
      </c>
      <c r="GRI1" s="331" t="s">
        <v>5928</v>
      </c>
      <c r="GRJ1" s="331" t="s">
        <v>5929</v>
      </c>
      <c r="GRK1" s="331" t="s">
        <v>5930</v>
      </c>
      <c r="GRL1" s="331" t="s">
        <v>5931</v>
      </c>
      <c r="GRM1" s="331" t="s">
        <v>5932</v>
      </c>
      <c r="GRN1" s="331" t="s">
        <v>5933</v>
      </c>
      <c r="GRO1" s="331" t="s">
        <v>5934</v>
      </c>
      <c r="GRP1" s="331" t="s">
        <v>5935</v>
      </c>
      <c r="GRQ1" s="331" t="s">
        <v>5936</v>
      </c>
      <c r="GRR1" s="331" t="s">
        <v>5937</v>
      </c>
      <c r="GRS1" s="331" t="s">
        <v>5938</v>
      </c>
      <c r="GRT1" s="331" t="s">
        <v>5939</v>
      </c>
      <c r="GRU1" s="331" t="s">
        <v>5940</v>
      </c>
      <c r="GRV1" s="331" t="s">
        <v>5941</v>
      </c>
      <c r="GRW1" s="331" t="s">
        <v>5942</v>
      </c>
      <c r="GRX1" s="331" t="s">
        <v>5943</v>
      </c>
      <c r="GRY1" s="331" t="s">
        <v>5944</v>
      </c>
      <c r="GRZ1" s="331" t="s">
        <v>5945</v>
      </c>
      <c r="GSA1" s="331" t="s">
        <v>5946</v>
      </c>
      <c r="GSB1" s="331" t="s">
        <v>5947</v>
      </c>
      <c r="GSC1" s="331" t="s">
        <v>5948</v>
      </c>
      <c r="GSD1" s="331" t="s">
        <v>5949</v>
      </c>
      <c r="GSE1" s="331" t="s">
        <v>5950</v>
      </c>
      <c r="GSF1" s="331" t="s">
        <v>5951</v>
      </c>
      <c r="GSG1" s="331" t="s">
        <v>5952</v>
      </c>
      <c r="GSH1" s="331" t="s">
        <v>5953</v>
      </c>
      <c r="GSI1" s="331" t="s">
        <v>5954</v>
      </c>
      <c r="GSJ1" s="331" t="s">
        <v>5955</v>
      </c>
      <c r="GSK1" s="331" t="s">
        <v>5956</v>
      </c>
      <c r="GSL1" s="331" t="s">
        <v>5957</v>
      </c>
      <c r="GSM1" s="331" t="s">
        <v>5958</v>
      </c>
      <c r="GSN1" s="331" t="s">
        <v>5959</v>
      </c>
      <c r="GSO1" s="331" t="s">
        <v>5960</v>
      </c>
      <c r="GSP1" s="331" t="s">
        <v>5961</v>
      </c>
      <c r="GSQ1" s="331" t="s">
        <v>5962</v>
      </c>
      <c r="GSR1" s="331" t="s">
        <v>5963</v>
      </c>
      <c r="GSS1" s="331" t="s">
        <v>5964</v>
      </c>
      <c r="GST1" s="331" t="s">
        <v>5965</v>
      </c>
      <c r="GSU1" s="331" t="s">
        <v>5966</v>
      </c>
      <c r="GSV1" s="331" t="s">
        <v>5967</v>
      </c>
      <c r="GSW1" s="331" t="s">
        <v>5968</v>
      </c>
      <c r="GSX1" s="331" t="s">
        <v>5969</v>
      </c>
      <c r="GSY1" s="331" t="s">
        <v>5970</v>
      </c>
      <c r="GSZ1" s="331" t="s">
        <v>5971</v>
      </c>
      <c r="GTA1" s="331" t="s">
        <v>5972</v>
      </c>
      <c r="GTB1" s="331" t="s">
        <v>5973</v>
      </c>
      <c r="GTC1" s="331" t="s">
        <v>5974</v>
      </c>
      <c r="GTD1" s="331" t="s">
        <v>5975</v>
      </c>
      <c r="GTE1" s="331" t="s">
        <v>5976</v>
      </c>
      <c r="GTF1" s="331" t="s">
        <v>5977</v>
      </c>
      <c r="GTG1" s="331" t="s">
        <v>5978</v>
      </c>
      <c r="GTH1" s="331" t="s">
        <v>5979</v>
      </c>
      <c r="GTI1" s="331" t="s">
        <v>5980</v>
      </c>
      <c r="GTJ1" s="331" t="s">
        <v>5981</v>
      </c>
      <c r="GTK1" s="331" t="s">
        <v>5982</v>
      </c>
      <c r="GTL1" s="331" t="s">
        <v>5983</v>
      </c>
      <c r="GTM1" s="331" t="s">
        <v>5984</v>
      </c>
      <c r="GTN1" s="331" t="s">
        <v>5985</v>
      </c>
      <c r="GTO1" s="331" t="s">
        <v>5986</v>
      </c>
      <c r="GTP1" s="331" t="s">
        <v>5987</v>
      </c>
      <c r="GTQ1" s="331" t="s">
        <v>5988</v>
      </c>
      <c r="GTR1" s="331" t="s">
        <v>5989</v>
      </c>
      <c r="GTS1" s="331" t="s">
        <v>5990</v>
      </c>
      <c r="GTT1" s="331" t="s">
        <v>5991</v>
      </c>
      <c r="GTU1" s="331" t="s">
        <v>5992</v>
      </c>
      <c r="GTV1" s="331" t="s">
        <v>5993</v>
      </c>
      <c r="GTW1" s="331" t="s">
        <v>5994</v>
      </c>
      <c r="GTX1" s="331" t="s">
        <v>5995</v>
      </c>
      <c r="GTY1" s="331" t="s">
        <v>5996</v>
      </c>
      <c r="GTZ1" s="331" t="s">
        <v>5997</v>
      </c>
      <c r="GUA1" s="331" t="s">
        <v>5998</v>
      </c>
      <c r="GUB1" s="331" t="s">
        <v>5999</v>
      </c>
      <c r="GUC1" s="331" t="s">
        <v>6000</v>
      </c>
      <c r="GUD1" s="331" t="s">
        <v>6001</v>
      </c>
      <c r="GUE1" s="331" t="s">
        <v>6002</v>
      </c>
      <c r="GUF1" s="331" t="s">
        <v>6003</v>
      </c>
      <c r="GUG1" s="331" t="s">
        <v>6004</v>
      </c>
      <c r="GUH1" s="331" t="s">
        <v>6005</v>
      </c>
      <c r="GUI1" s="331" t="s">
        <v>6006</v>
      </c>
      <c r="GUJ1" s="331" t="s">
        <v>6007</v>
      </c>
      <c r="GUK1" s="331" t="s">
        <v>6008</v>
      </c>
      <c r="GUL1" s="331" t="s">
        <v>6009</v>
      </c>
      <c r="GUM1" s="331" t="s">
        <v>6010</v>
      </c>
      <c r="GUN1" s="331" t="s">
        <v>6011</v>
      </c>
      <c r="GUO1" s="331" t="s">
        <v>6012</v>
      </c>
      <c r="GUP1" s="331" t="s">
        <v>6013</v>
      </c>
      <c r="GUQ1" s="331" t="s">
        <v>6014</v>
      </c>
      <c r="GUR1" s="331" t="s">
        <v>6015</v>
      </c>
      <c r="GUS1" s="331" t="s">
        <v>6016</v>
      </c>
      <c r="GUT1" s="331" t="s">
        <v>6017</v>
      </c>
      <c r="GUU1" s="331" t="s">
        <v>6018</v>
      </c>
      <c r="GUV1" s="331" t="s">
        <v>6019</v>
      </c>
      <c r="GUW1" s="331" t="s">
        <v>6020</v>
      </c>
      <c r="GUX1" s="331" t="s">
        <v>6021</v>
      </c>
      <c r="GUY1" s="331" t="s">
        <v>6022</v>
      </c>
      <c r="GUZ1" s="331" t="s">
        <v>6023</v>
      </c>
      <c r="GVA1" s="331" t="s">
        <v>6024</v>
      </c>
      <c r="GVB1" s="331" t="s">
        <v>6025</v>
      </c>
      <c r="GVC1" s="331" t="s">
        <v>6026</v>
      </c>
      <c r="GVD1" s="331" t="s">
        <v>6027</v>
      </c>
      <c r="GVE1" s="331" t="s">
        <v>6028</v>
      </c>
      <c r="GVF1" s="331" t="s">
        <v>6029</v>
      </c>
      <c r="GVG1" s="331" t="s">
        <v>6030</v>
      </c>
      <c r="GVH1" s="331" t="s">
        <v>6031</v>
      </c>
      <c r="GVI1" s="331" t="s">
        <v>6032</v>
      </c>
      <c r="GVJ1" s="331" t="s">
        <v>6033</v>
      </c>
      <c r="GVK1" s="331" t="s">
        <v>6034</v>
      </c>
      <c r="GVL1" s="331" t="s">
        <v>6035</v>
      </c>
      <c r="GVM1" s="331" t="s">
        <v>6036</v>
      </c>
      <c r="GVN1" s="331" t="s">
        <v>6037</v>
      </c>
      <c r="GVO1" s="331" t="s">
        <v>6038</v>
      </c>
      <c r="GVP1" s="331" t="s">
        <v>6039</v>
      </c>
      <c r="GVQ1" s="331" t="s">
        <v>6040</v>
      </c>
      <c r="GVR1" s="331" t="s">
        <v>6041</v>
      </c>
      <c r="GVS1" s="331" t="s">
        <v>6042</v>
      </c>
      <c r="GVT1" s="331" t="s">
        <v>6043</v>
      </c>
      <c r="GVU1" s="331" t="s">
        <v>6044</v>
      </c>
      <c r="GVV1" s="331" t="s">
        <v>6045</v>
      </c>
      <c r="GVW1" s="331" t="s">
        <v>6046</v>
      </c>
      <c r="GVX1" s="331" t="s">
        <v>6047</v>
      </c>
      <c r="GVY1" s="331" t="s">
        <v>6048</v>
      </c>
      <c r="GVZ1" s="331" t="s">
        <v>6049</v>
      </c>
      <c r="GWA1" s="331" t="s">
        <v>6050</v>
      </c>
      <c r="GWB1" s="331" t="s">
        <v>6051</v>
      </c>
      <c r="GWC1" s="331" t="s">
        <v>6052</v>
      </c>
      <c r="GWD1" s="331" t="s">
        <v>6053</v>
      </c>
      <c r="GWE1" s="331" t="s">
        <v>6054</v>
      </c>
      <c r="GWF1" s="331" t="s">
        <v>6055</v>
      </c>
      <c r="GWG1" s="331" t="s">
        <v>6056</v>
      </c>
      <c r="GWH1" s="331" t="s">
        <v>6057</v>
      </c>
      <c r="GWI1" s="331" t="s">
        <v>6058</v>
      </c>
      <c r="GWJ1" s="331" t="s">
        <v>6059</v>
      </c>
      <c r="GWK1" s="331" t="s">
        <v>6060</v>
      </c>
      <c r="GWL1" s="331" t="s">
        <v>6061</v>
      </c>
      <c r="GWM1" s="331" t="s">
        <v>6062</v>
      </c>
      <c r="GWN1" s="331" t="s">
        <v>6063</v>
      </c>
      <c r="GWO1" s="331" t="s">
        <v>6064</v>
      </c>
      <c r="GWP1" s="331" t="s">
        <v>6065</v>
      </c>
      <c r="GWQ1" s="331" t="s">
        <v>6066</v>
      </c>
      <c r="GWR1" s="331" t="s">
        <v>6067</v>
      </c>
      <c r="GWS1" s="331" t="s">
        <v>6068</v>
      </c>
      <c r="GWT1" s="331" t="s">
        <v>6069</v>
      </c>
      <c r="GWU1" s="331" t="s">
        <v>6070</v>
      </c>
      <c r="GWV1" s="331" t="s">
        <v>6071</v>
      </c>
      <c r="GWW1" s="331" t="s">
        <v>6072</v>
      </c>
      <c r="GWX1" s="331" t="s">
        <v>6073</v>
      </c>
      <c r="GWY1" s="331" t="s">
        <v>6074</v>
      </c>
      <c r="GWZ1" s="331" t="s">
        <v>6075</v>
      </c>
      <c r="GXA1" s="331" t="s">
        <v>6076</v>
      </c>
      <c r="GXB1" s="331" t="s">
        <v>6077</v>
      </c>
      <c r="GXC1" s="331" t="s">
        <v>6078</v>
      </c>
      <c r="GXD1" s="331" t="s">
        <v>6079</v>
      </c>
      <c r="GXE1" s="331" t="s">
        <v>6080</v>
      </c>
      <c r="GXF1" s="331" t="s">
        <v>6081</v>
      </c>
      <c r="GXG1" s="331" t="s">
        <v>6082</v>
      </c>
      <c r="GXH1" s="331" t="s">
        <v>6083</v>
      </c>
      <c r="GXI1" s="331" t="s">
        <v>6084</v>
      </c>
      <c r="GXJ1" s="331" t="s">
        <v>6085</v>
      </c>
      <c r="GXK1" s="331" t="s">
        <v>6086</v>
      </c>
      <c r="GXL1" s="331" t="s">
        <v>6087</v>
      </c>
      <c r="GXM1" s="331" t="s">
        <v>6088</v>
      </c>
      <c r="GXN1" s="331" t="s">
        <v>6089</v>
      </c>
      <c r="GXO1" s="331" t="s">
        <v>6090</v>
      </c>
      <c r="GXP1" s="331" t="s">
        <v>6091</v>
      </c>
      <c r="GXQ1" s="331" t="s">
        <v>6092</v>
      </c>
      <c r="GXR1" s="331" t="s">
        <v>6093</v>
      </c>
      <c r="GXS1" s="331" t="s">
        <v>6094</v>
      </c>
      <c r="GXT1" s="331" t="s">
        <v>6095</v>
      </c>
      <c r="GXU1" s="331" t="s">
        <v>6096</v>
      </c>
      <c r="GXV1" s="331" t="s">
        <v>6097</v>
      </c>
      <c r="GXW1" s="331" t="s">
        <v>6098</v>
      </c>
      <c r="GXX1" s="331" t="s">
        <v>6099</v>
      </c>
      <c r="GXY1" s="331" t="s">
        <v>6100</v>
      </c>
      <c r="GXZ1" s="331" t="s">
        <v>6101</v>
      </c>
      <c r="GYA1" s="331" t="s">
        <v>6102</v>
      </c>
      <c r="GYB1" s="331" t="s">
        <v>6103</v>
      </c>
      <c r="GYC1" s="331" t="s">
        <v>6104</v>
      </c>
      <c r="GYD1" s="331" t="s">
        <v>6105</v>
      </c>
      <c r="GYE1" s="331" t="s">
        <v>6106</v>
      </c>
      <c r="GYF1" s="331" t="s">
        <v>6107</v>
      </c>
      <c r="GYG1" s="331" t="s">
        <v>6108</v>
      </c>
      <c r="GYH1" s="331" t="s">
        <v>6109</v>
      </c>
      <c r="GYI1" s="331" t="s">
        <v>6110</v>
      </c>
      <c r="GYJ1" s="331" t="s">
        <v>6111</v>
      </c>
      <c r="GYK1" s="331" t="s">
        <v>6112</v>
      </c>
      <c r="GYL1" s="331" t="s">
        <v>6113</v>
      </c>
      <c r="GYM1" s="331" t="s">
        <v>6114</v>
      </c>
      <c r="GYN1" s="331" t="s">
        <v>6115</v>
      </c>
      <c r="GYO1" s="331" t="s">
        <v>6116</v>
      </c>
      <c r="GYP1" s="331" t="s">
        <v>6117</v>
      </c>
      <c r="GYQ1" s="331" t="s">
        <v>6118</v>
      </c>
      <c r="GYR1" s="331" t="s">
        <v>6119</v>
      </c>
      <c r="GYS1" s="331" t="s">
        <v>6120</v>
      </c>
      <c r="GYT1" s="331" t="s">
        <v>6121</v>
      </c>
      <c r="GYU1" s="331" t="s">
        <v>6122</v>
      </c>
      <c r="GYV1" s="331" t="s">
        <v>6123</v>
      </c>
      <c r="GYW1" s="331" t="s">
        <v>6124</v>
      </c>
      <c r="GYX1" s="331" t="s">
        <v>6125</v>
      </c>
      <c r="GYY1" s="331" t="s">
        <v>6126</v>
      </c>
      <c r="GYZ1" s="331" t="s">
        <v>6127</v>
      </c>
      <c r="GZA1" s="331" t="s">
        <v>6128</v>
      </c>
      <c r="GZB1" s="331" t="s">
        <v>6129</v>
      </c>
      <c r="GZC1" s="331" t="s">
        <v>6130</v>
      </c>
      <c r="GZD1" s="331" t="s">
        <v>6131</v>
      </c>
      <c r="GZE1" s="331" t="s">
        <v>6132</v>
      </c>
      <c r="GZF1" s="331" t="s">
        <v>6133</v>
      </c>
      <c r="GZG1" s="331" t="s">
        <v>6134</v>
      </c>
      <c r="GZH1" s="331" t="s">
        <v>6135</v>
      </c>
      <c r="GZI1" s="331" t="s">
        <v>6136</v>
      </c>
      <c r="GZJ1" s="331" t="s">
        <v>6137</v>
      </c>
      <c r="GZK1" s="331" t="s">
        <v>6138</v>
      </c>
      <c r="GZL1" s="331" t="s">
        <v>6139</v>
      </c>
      <c r="GZM1" s="331" t="s">
        <v>6140</v>
      </c>
      <c r="GZN1" s="331" t="s">
        <v>6141</v>
      </c>
      <c r="GZO1" s="331" t="s">
        <v>6142</v>
      </c>
      <c r="GZP1" s="331" t="s">
        <v>6143</v>
      </c>
      <c r="GZQ1" s="331" t="s">
        <v>6144</v>
      </c>
      <c r="GZR1" s="331" t="s">
        <v>6145</v>
      </c>
      <c r="GZS1" s="331" t="s">
        <v>6146</v>
      </c>
      <c r="GZT1" s="331" t="s">
        <v>6147</v>
      </c>
      <c r="GZU1" s="331" t="s">
        <v>6148</v>
      </c>
      <c r="GZV1" s="331" t="s">
        <v>6149</v>
      </c>
      <c r="GZW1" s="331" t="s">
        <v>6150</v>
      </c>
      <c r="GZX1" s="331" t="s">
        <v>6151</v>
      </c>
      <c r="GZY1" s="331" t="s">
        <v>6152</v>
      </c>
      <c r="GZZ1" s="331" t="s">
        <v>6153</v>
      </c>
      <c r="HAA1" s="331" t="s">
        <v>6154</v>
      </c>
      <c r="HAB1" s="331" t="s">
        <v>6155</v>
      </c>
      <c r="HAC1" s="331" t="s">
        <v>6156</v>
      </c>
      <c r="HAD1" s="331" t="s">
        <v>6157</v>
      </c>
      <c r="HAE1" s="331" t="s">
        <v>6158</v>
      </c>
      <c r="HAF1" s="331" t="s">
        <v>6159</v>
      </c>
      <c r="HAG1" s="331" t="s">
        <v>6160</v>
      </c>
      <c r="HAH1" s="331" t="s">
        <v>6161</v>
      </c>
      <c r="HAI1" s="331" t="s">
        <v>6162</v>
      </c>
      <c r="HAJ1" s="331" t="s">
        <v>6163</v>
      </c>
      <c r="HAK1" s="331" t="s">
        <v>6164</v>
      </c>
      <c r="HAL1" s="331" t="s">
        <v>6165</v>
      </c>
      <c r="HAM1" s="331" t="s">
        <v>6166</v>
      </c>
      <c r="HAN1" s="331" t="s">
        <v>6167</v>
      </c>
      <c r="HAO1" s="331" t="s">
        <v>6168</v>
      </c>
      <c r="HAP1" s="331" t="s">
        <v>6169</v>
      </c>
      <c r="HAQ1" s="331" t="s">
        <v>6170</v>
      </c>
      <c r="HAR1" s="331" t="s">
        <v>6171</v>
      </c>
      <c r="HAS1" s="331" t="s">
        <v>6172</v>
      </c>
      <c r="HAT1" s="331" t="s">
        <v>6173</v>
      </c>
      <c r="HAU1" s="331" t="s">
        <v>6174</v>
      </c>
      <c r="HAV1" s="331" t="s">
        <v>6175</v>
      </c>
      <c r="HAW1" s="331" t="s">
        <v>6176</v>
      </c>
      <c r="HAX1" s="331" t="s">
        <v>6177</v>
      </c>
      <c r="HAY1" s="331" t="s">
        <v>6178</v>
      </c>
      <c r="HAZ1" s="331" t="s">
        <v>6179</v>
      </c>
      <c r="HBA1" s="331" t="s">
        <v>6180</v>
      </c>
      <c r="HBB1" s="331" t="s">
        <v>6181</v>
      </c>
      <c r="HBC1" s="331" t="s">
        <v>6182</v>
      </c>
      <c r="HBD1" s="331" t="s">
        <v>6183</v>
      </c>
      <c r="HBE1" s="331" t="s">
        <v>6184</v>
      </c>
      <c r="HBF1" s="331" t="s">
        <v>6185</v>
      </c>
      <c r="HBG1" s="331" t="s">
        <v>6186</v>
      </c>
      <c r="HBH1" s="331" t="s">
        <v>6187</v>
      </c>
      <c r="HBI1" s="331" t="s">
        <v>6188</v>
      </c>
      <c r="HBJ1" s="331" t="s">
        <v>6189</v>
      </c>
      <c r="HBK1" s="331" t="s">
        <v>6190</v>
      </c>
      <c r="HBL1" s="331" t="s">
        <v>6191</v>
      </c>
      <c r="HBM1" s="331" t="s">
        <v>6192</v>
      </c>
      <c r="HBN1" s="331" t="s">
        <v>6193</v>
      </c>
      <c r="HBO1" s="331" t="s">
        <v>6194</v>
      </c>
      <c r="HBP1" s="331" t="s">
        <v>6195</v>
      </c>
      <c r="HBQ1" s="331" t="s">
        <v>6196</v>
      </c>
      <c r="HBR1" s="331" t="s">
        <v>6197</v>
      </c>
      <c r="HBS1" s="331" t="s">
        <v>6198</v>
      </c>
      <c r="HBT1" s="331" t="s">
        <v>6199</v>
      </c>
      <c r="HBU1" s="331" t="s">
        <v>6200</v>
      </c>
      <c r="HBV1" s="331" t="s">
        <v>6201</v>
      </c>
      <c r="HBW1" s="331" t="s">
        <v>6202</v>
      </c>
      <c r="HBX1" s="331" t="s">
        <v>6203</v>
      </c>
      <c r="HBY1" s="331" t="s">
        <v>6204</v>
      </c>
      <c r="HBZ1" s="331" t="s">
        <v>6205</v>
      </c>
      <c r="HCA1" s="331" t="s">
        <v>6206</v>
      </c>
      <c r="HCB1" s="331" t="s">
        <v>6207</v>
      </c>
      <c r="HCC1" s="331" t="s">
        <v>6208</v>
      </c>
      <c r="HCD1" s="331" t="s">
        <v>6209</v>
      </c>
      <c r="HCE1" s="331" t="s">
        <v>6210</v>
      </c>
      <c r="HCF1" s="331" t="s">
        <v>6211</v>
      </c>
      <c r="HCG1" s="331" t="s">
        <v>6212</v>
      </c>
      <c r="HCH1" s="331" t="s">
        <v>6213</v>
      </c>
      <c r="HCI1" s="331" t="s">
        <v>6214</v>
      </c>
      <c r="HCJ1" s="331" t="s">
        <v>6215</v>
      </c>
      <c r="HCK1" s="331" t="s">
        <v>6216</v>
      </c>
      <c r="HCL1" s="331" t="s">
        <v>6217</v>
      </c>
      <c r="HCM1" s="331" t="s">
        <v>6218</v>
      </c>
      <c r="HCN1" s="331" t="s">
        <v>6219</v>
      </c>
      <c r="HCO1" s="331" t="s">
        <v>6220</v>
      </c>
      <c r="HCP1" s="331" t="s">
        <v>6221</v>
      </c>
      <c r="HCQ1" s="331" t="s">
        <v>6222</v>
      </c>
      <c r="HCR1" s="331" t="s">
        <v>6223</v>
      </c>
      <c r="HCS1" s="331" t="s">
        <v>6224</v>
      </c>
      <c r="HCT1" s="331" t="s">
        <v>6225</v>
      </c>
      <c r="HCU1" s="331" t="s">
        <v>6226</v>
      </c>
      <c r="HCV1" s="331" t="s">
        <v>6227</v>
      </c>
      <c r="HCW1" s="331" t="s">
        <v>6228</v>
      </c>
      <c r="HCX1" s="331" t="s">
        <v>6229</v>
      </c>
      <c r="HCY1" s="331" t="s">
        <v>6230</v>
      </c>
      <c r="HCZ1" s="331" t="s">
        <v>6231</v>
      </c>
      <c r="HDA1" s="331" t="s">
        <v>6232</v>
      </c>
      <c r="HDB1" s="331" t="s">
        <v>6233</v>
      </c>
      <c r="HDC1" s="331" t="s">
        <v>6234</v>
      </c>
      <c r="HDD1" s="331" t="s">
        <v>6235</v>
      </c>
      <c r="HDE1" s="331" t="s">
        <v>6236</v>
      </c>
      <c r="HDF1" s="331" t="s">
        <v>6237</v>
      </c>
      <c r="HDG1" s="331" t="s">
        <v>6238</v>
      </c>
      <c r="HDH1" s="331" t="s">
        <v>6239</v>
      </c>
      <c r="HDI1" s="331" t="s">
        <v>6240</v>
      </c>
      <c r="HDJ1" s="331" t="s">
        <v>6241</v>
      </c>
      <c r="HDK1" s="331" t="s">
        <v>6242</v>
      </c>
      <c r="HDL1" s="331" t="s">
        <v>6243</v>
      </c>
      <c r="HDM1" s="331" t="s">
        <v>6244</v>
      </c>
      <c r="HDN1" s="331" t="s">
        <v>6245</v>
      </c>
      <c r="HDO1" s="331" t="s">
        <v>6246</v>
      </c>
      <c r="HDP1" s="331" t="s">
        <v>6247</v>
      </c>
      <c r="HDQ1" s="331" t="s">
        <v>6248</v>
      </c>
      <c r="HDR1" s="331" t="s">
        <v>6249</v>
      </c>
      <c r="HDS1" s="331" t="s">
        <v>6250</v>
      </c>
      <c r="HDT1" s="331" t="s">
        <v>6251</v>
      </c>
      <c r="HDU1" s="331" t="s">
        <v>6252</v>
      </c>
      <c r="HDV1" s="331" t="s">
        <v>6253</v>
      </c>
      <c r="HDW1" s="331" t="s">
        <v>6254</v>
      </c>
      <c r="HDX1" s="331" t="s">
        <v>6255</v>
      </c>
      <c r="HDY1" s="331" t="s">
        <v>6256</v>
      </c>
      <c r="HDZ1" s="331" t="s">
        <v>6257</v>
      </c>
      <c r="HEA1" s="331" t="s">
        <v>6258</v>
      </c>
      <c r="HEB1" s="331" t="s">
        <v>6259</v>
      </c>
      <c r="HEC1" s="331" t="s">
        <v>6260</v>
      </c>
      <c r="HED1" s="331" t="s">
        <v>6261</v>
      </c>
      <c r="HEE1" s="331" t="s">
        <v>6262</v>
      </c>
      <c r="HEF1" s="331" t="s">
        <v>6263</v>
      </c>
      <c r="HEG1" s="331" t="s">
        <v>6264</v>
      </c>
      <c r="HEH1" s="331" t="s">
        <v>6265</v>
      </c>
      <c r="HEI1" s="331" t="s">
        <v>6266</v>
      </c>
      <c r="HEJ1" s="331" t="s">
        <v>6267</v>
      </c>
      <c r="HEK1" s="331" t="s">
        <v>6268</v>
      </c>
      <c r="HEL1" s="331" t="s">
        <v>6269</v>
      </c>
      <c r="HEM1" s="331" t="s">
        <v>6270</v>
      </c>
      <c r="HEN1" s="331" t="s">
        <v>6271</v>
      </c>
      <c r="HEO1" s="331" t="s">
        <v>6272</v>
      </c>
      <c r="HEP1" s="331" t="s">
        <v>6273</v>
      </c>
      <c r="HEQ1" s="331" t="s">
        <v>6274</v>
      </c>
      <c r="HER1" s="331" t="s">
        <v>6275</v>
      </c>
      <c r="HES1" s="331" t="s">
        <v>6276</v>
      </c>
      <c r="HET1" s="331" t="s">
        <v>6277</v>
      </c>
      <c r="HEU1" s="331" t="s">
        <v>6278</v>
      </c>
      <c r="HEV1" s="331" t="s">
        <v>6279</v>
      </c>
      <c r="HEW1" s="331" t="s">
        <v>6280</v>
      </c>
      <c r="HEX1" s="331" t="s">
        <v>6281</v>
      </c>
      <c r="HEY1" s="331" t="s">
        <v>6282</v>
      </c>
      <c r="HEZ1" s="331" t="s">
        <v>6283</v>
      </c>
      <c r="HFA1" s="331" t="s">
        <v>6284</v>
      </c>
      <c r="HFB1" s="331" t="s">
        <v>6285</v>
      </c>
      <c r="HFC1" s="331" t="s">
        <v>6286</v>
      </c>
      <c r="HFD1" s="331" t="s">
        <v>6287</v>
      </c>
      <c r="HFE1" s="331" t="s">
        <v>6288</v>
      </c>
      <c r="HFF1" s="331" t="s">
        <v>6289</v>
      </c>
      <c r="HFG1" s="331" t="s">
        <v>6290</v>
      </c>
      <c r="HFH1" s="331" t="s">
        <v>6291</v>
      </c>
      <c r="HFI1" s="331" t="s">
        <v>6292</v>
      </c>
      <c r="HFJ1" s="331" t="s">
        <v>6293</v>
      </c>
      <c r="HFK1" s="331" t="s">
        <v>6294</v>
      </c>
      <c r="HFL1" s="331" t="s">
        <v>6295</v>
      </c>
      <c r="HFM1" s="331" t="s">
        <v>6296</v>
      </c>
      <c r="HFN1" s="331" t="s">
        <v>6297</v>
      </c>
      <c r="HFO1" s="331" t="s">
        <v>6298</v>
      </c>
      <c r="HFP1" s="331" t="s">
        <v>6299</v>
      </c>
      <c r="HFQ1" s="331" t="s">
        <v>6300</v>
      </c>
      <c r="HFR1" s="331" t="s">
        <v>6301</v>
      </c>
      <c r="HFS1" s="331" t="s">
        <v>6302</v>
      </c>
      <c r="HFT1" s="331" t="s">
        <v>6303</v>
      </c>
      <c r="HFU1" s="331" t="s">
        <v>6304</v>
      </c>
      <c r="HFV1" s="331" t="s">
        <v>6305</v>
      </c>
      <c r="HFW1" s="331" t="s">
        <v>6306</v>
      </c>
      <c r="HFX1" s="331" t="s">
        <v>6307</v>
      </c>
      <c r="HFY1" s="331" t="s">
        <v>6308</v>
      </c>
      <c r="HFZ1" s="331" t="s">
        <v>6309</v>
      </c>
      <c r="HGA1" s="331" t="s">
        <v>6310</v>
      </c>
      <c r="HGB1" s="331" t="s">
        <v>6311</v>
      </c>
      <c r="HGC1" s="331" t="s">
        <v>6312</v>
      </c>
      <c r="HGD1" s="331" t="s">
        <v>6313</v>
      </c>
      <c r="HGE1" s="331" t="s">
        <v>6314</v>
      </c>
      <c r="HGF1" s="331" t="s">
        <v>6315</v>
      </c>
      <c r="HGG1" s="331" t="s">
        <v>6316</v>
      </c>
      <c r="HGH1" s="331" t="s">
        <v>6317</v>
      </c>
      <c r="HGI1" s="331" t="s">
        <v>6318</v>
      </c>
      <c r="HGJ1" s="331" t="s">
        <v>6319</v>
      </c>
      <c r="HGK1" s="331" t="s">
        <v>6320</v>
      </c>
      <c r="HGL1" s="331" t="s">
        <v>6321</v>
      </c>
      <c r="HGM1" s="331" t="s">
        <v>6322</v>
      </c>
      <c r="HGN1" s="331" t="s">
        <v>6323</v>
      </c>
      <c r="HGO1" s="331" t="s">
        <v>6324</v>
      </c>
      <c r="HGP1" s="331" t="s">
        <v>6325</v>
      </c>
      <c r="HGQ1" s="331" t="s">
        <v>6326</v>
      </c>
      <c r="HGR1" s="331" t="s">
        <v>6327</v>
      </c>
      <c r="HGS1" s="331" t="s">
        <v>6328</v>
      </c>
      <c r="HGT1" s="331" t="s">
        <v>6329</v>
      </c>
      <c r="HGU1" s="331" t="s">
        <v>6330</v>
      </c>
      <c r="HGV1" s="331" t="s">
        <v>6331</v>
      </c>
      <c r="HGW1" s="331" t="s">
        <v>6332</v>
      </c>
      <c r="HGX1" s="331" t="s">
        <v>6333</v>
      </c>
      <c r="HGY1" s="331" t="s">
        <v>6334</v>
      </c>
      <c r="HGZ1" s="331" t="s">
        <v>6335</v>
      </c>
      <c r="HHA1" s="331" t="s">
        <v>6336</v>
      </c>
      <c r="HHB1" s="331" t="s">
        <v>6337</v>
      </c>
      <c r="HHC1" s="331" t="s">
        <v>6338</v>
      </c>
      <c r="HHD1" s="331" t="s">
        <v>6339</v>
      </c>
      <c r="HHE1" s="331" t="s">
        <v>6340</v>
      </c>
      <c r="HHF1" s="331" t="s">
        <v>6341</v>
      </c>
      <c r="HHG1" s="331" t="s">
        <v>6342</v>
      </c>
      <c r="HHH1" s="331" t="s">
        <v>6343</v>
      </c>
      <c r="HHI1" s="331" t="s">
        <v>6344</v>
      </c>
      <c r="HHJ1" s="331" t="s">
        <v>6345</v>
      </c>
      <c r="HHK1" s="331" t="s">
        <v>6346</v>
      </c>
      <c r="HHL1" s="331" t="s">
        <v>6347</v>
      </c>
      <c r="HHM1" s="331" t="s">
        <v>6348</v>
      </c>
      <c r="HHN1" s="331" t="s">
        <v>6349</v>
      </c>
      <c r="HHO1" s="331" t="s">
        <v>6350</v>
      </c>
      <c r="HHP1" s="331" t="s">
        <v>6351</v>
      </c>
      <c r="HHQ1" s="331" t="s">
        <v>6352</v>
      </c>
      <c r="HHR1" s="331" t="s">
        <v>6353</v>
      </c>
      <c r="HHS1" s="331" t="s">
        <v>6354</v>
      </c>
      <c r="HHT1" s="331" t="s">
        <v>6355</v>
      </c>
      <c r="HHU1" s="331" t="s">
        <v>6356</v>
      </c>
      <c r="HHV1" s="331" t="s">
        <v>6357</v>
      </c>
      <c r="HHW1" s="331" t="s">
        <v>6358</v>
      </c>
      <c r="HHX1" s="331" t="s">
        <v>6359</v>
      </c>
      <c r="HHY1" s="331" t="s">
        <v>6360</v>
      </c>
      <c r="HHZ1" s="331" t="s">
        <v>6361</v>
      </c>
      <c r="HIA1" s="331" t="s">
        <v>6362</v>
      </c>
      <c r="HIB1" s="331" t="s">
        <v>6363</v>
      </c>
      <c r="HIC1" s="331" t="s">
        <v>6364</v>
      </c>
      <c r="HID1" s="331" t="s">
        <v>6365</v>
      </c>
      <c r="HIE1" s="331" t="s">
        <v>6366</v>
      </c>
      <c r="HIF1" s="331" t="s">
        <v>6367</v>
      </c>
      <c r="HIG1" s="331" t="s">
        <v>6368</v>
      </c>
      <c r="HIH1" s="331" t="s">
        <v>6369</v>
      </c>
      <c r="HII1" s="331" t="s">
        <v>6370</v>
      </c>
      <c r="HIJ1" s="331" t="s">
        <v>6371</v>
      </c>
      <c r="HIK1" s="331" t="s">
        <v>6372</v>
      </c>
      <c r="HIL1" s="331" t="s">
        <v>6373</v>
      </c>
      <c r="HIM1" s="331" t="s">
        <v>6374</v>
      </c>
      <c r="HIN1" s="331" t="s">
        <v>6375</v>
      </c>
      <c r="HIO1" s="331" t="s">
        <v>6376</v>
      </c>
      <c r="HIP1" s="331" t="s">
        <v>6377</v>
      </c>
      <c r="HIQ1" s="331" t="s">
        <v>6378</v>
      </c>
      <c r="HIR1" s="331" t="s">
        <v>6379</v>
      </c>
      <c r="HIS1" s="331" t="s">
        <v>6380</v>
      </c>
      <c r="HIT1" s="331" t="s">
        <v>6381</v>
      </c>
      <c r="HIU1" s="331" t="s">
        <v>6382</v>
      </c>
      <c r="HIV1" s="331" t="s">
        <v>6383</v>
      </c>
      <c r="HIW1" s="331" t="s">
        <v>6384</v>
      </c>
      <c r="HIX1" s="331" t="s">
        <v>6385</v>
      </c>
      <c r="HIY1" s="331" t="s">
        <v>6386</v>
      </c>
      <c r="HIZ1" s="331" t="s">
        <v>6387</v>
      </c>
      <c r="HJA1" s="331" t="s">
        <v>6388</v>
      </c>
      <c r="HJB1" s="331" t="s">
        <v>6389</v>
      </c>
      <c r="HJC1" s="331" t="s">
        <v>6390</v>
      </c>
      <c r="HJD1" s="331" t="s">
        <v>6391</v>
      </c>
      <c r="HJE1" s="331" t="s">
        <v>6392</v>
      </c>
      <c r="HJF1" s="331" t="s">
        <v>6393</v>
      </c>
      <c r="HJG1" s="331" t="s">
        <v>6394</v>
      </c>
      <c r="HJH1" s="331" t="s">
        <v>6395</v>
      </c>
      <c r="HJI1" s="331" t="s">
        <v>6396</v>
      </c>
      <c r="HJJ1" s="331" t="s">
        <v>6397</v>
      </c>
      <c r="HJK1" s="331" t="s">
        <v>6398</v>
      </c>
      <c r="HJL1" s="331" t="s">
        <v>6399</v>
      </c>
      <c r="HJM1" s="331" t="s">
        <v>6400</v>
      </c>
      <c r="HJN1" s="331" t="s">
        <v>6401</v>
      </c>
      <c r="HJO1" s="331" t="s">
        <v>6402</v>
      </c>
      <c r="HJP1" s="331" t="s">
        <v>6403</v>
      </c>
      <c r="HJQ1" s="331" t="s">
        <v>6404</v>
      </c>
      <c r="HJR1" s="331" t="s">
        <v>6405</v>
      </c>
      <c r="HJS1" s="331" t="s">
        <v>6406</v>
      </c>
      <c r="HJT1" s="331" t="s">
        <v>6407</v>
      </c>
      <c r="HJU1" s="331" t="s">
        <v>6408</v>
      </c>
      <c r="HJV1" s="331" t="s">
        <v>6409</v>
      </c>
      <c r="HJW1" s="331" t="s">
        <v>6410</v>
      </c>
      <c r="HJX1" s="331" t="s">
        <v>6411</v>
      </c>
      <c r="HJY1" s="331" t="s">
        <v>6412</v>
      </c>
      <c r="HJZ1" s="331" t="s">
        <v>6413</v>
      </c>
      <c r="HKA1" s="331" t="s">
        <v>6414</v>
      </c>
      <c r="HKB1" s="331" t="s">
        <v>6415</v>
      </c>
      <c r="HKC1" s="331" t="s">
        <v>6416</v>
      </c>
      <c r="HKD1" s="331" t="s">
        <v>6417</v>
      </c>
      <c r="HKE1" s="331" t="s">
        <v>6418</v>
      </c>
      <c r="HKF1" s="331" t="s">
        <v>6419</v>
      </c>
      <c r="HKG1" s="331" t="s">
        <v>6420</v>
      </c>
      <c r="HKH1" s="331" t="s">
        <v>6421</v>
      </c>
      <c r="HKI1" s="331" t="s">
        <v>6422</v>
      </c>
      <c r="HKJ1" s="331" t="s">
        <v>6423</v>
      </c>
      <c r="HKK1" s="331" t="s">
        <v>6424</v>
      </c>
      <c r="HKL1" s="331" t="s">
        <v>6425</v>
      </c>
      <c r="HKM1" s="331" t="s">
        <v>6426</v>
      </c>
      <c r="HKN1" s="331" t="s">
        <v>6427</v>
      </c>
      <c r="HKO1" s="331" t="s">
        <v>6428</v>
      </c>
      <c r="HKP1" s="331" t="s">
        <v>6429</v>
      </c>
      <c r="HKQ1" s="331" t="s">
        <v>6430</v>
      </c>
      <c r="HKR1" s="331" t="s">
        <v>6431</v>
      </c>
      <c r="HKS1" s="331" t="s">
        <v>6432</v>
      </c>
      <c r="HKT1" s="331" t="s">
        <v>6433</v>
      </c>
      <c r="HKU1" s="331" t="s">
        <v>6434</v>
      </c>
      <c r="HKV1" s="331" t="s">
        <v>6435</v>
      </c>
      <c r="HKW1" s="331" t="s">
        <v>6436</v>
      </c>
      <c r="HKX1" s="331" t="s">
        <v>6437</v>
      </c>
      <c r="HKY1" s="331" t="s">
        <v>6438</v>
      </c>
      <c r="HKZ1" s="331" t="s">
        <v>6439</v>
      </c>
      <c r="HLA1" s="331" t="s">
        <v>6440</v>
      </c>
      <c r="HLB1" s="331" t="s">
        <v>6441</v>
      </c>
      <c r="HLC1" s="331" t="s">
        <v>6442</v>
      </c>
      <c r="HLD1" s="331" t="s">
        <v>6443</v>
      </c>
      <c r="HLE1" s="331" t="s">
        <v>6444</v>
      </c>
      <c r="HLF1" s="331" t="s">
        <v>6445</v>
      </c>
      <c r="HLG1" s="331" t="s">
        <v>6446</v>
      </c>
      <c r="HLH1" s="331" t="s">
        <v>6447</v>
      </c>
      <c r="HLI1" s="331" t="s">
        <v>6448</v>
      </c>
      <c r="HLJ1" s="331" t="s">
        <v>6449</v>
      </c>
      <c r="HLK1" s="331" t="s">
        <v>6450</v>
      </c>
      <c r="HLL1" s="331" t="s">
        <v>6451</v>
      </c>
      <c r="HLM1" s="331" t="s">
        <v>6452</v>
      </c>
      <c r="HLN1" s="331" t="s">
        <v>6453</v>
      </c>
      <c r="HLO1" s="331" t="s">
        <v>6454</v>
      </c>
      <c r="HLP1" s="331" t="s">
        <v>6455</v>
      </c>
      <c r="HLQ1" s="331" t="s">
        <v>6456</v>
      </c>
      <c r="HLR1" s="331" t="s">
        <v>6457</v>
      </c>
      <c r="HLS1" s="331" t="s">
        <v>6458</v>
      </c>
      <c r="HLT1" s="331" t="s">
        <v>6459</v>
      </c>
      <c r="HLU1" s="331" t="s">
        <v>6460</v>
      </c>
      <c r="HLV1" s="331" t="s">
        <v>6461</v>
      </c>
      <c r="HLW1" s="331" t="s">
        <v>6462</v>
      </c>
      <c r="HLX1" s="331" t="s">
        <v>6463</v>
      </c>
      <c r="HLY1" s="331" t="s">
        <v>6464</v>
      </c>
      <c r="HLZ1" s="331" t="s">
        <v>6465</v>
      </c>
      <c r="HMA1" s="331" t="s">
        <v>6466</v>
      </c>
      <c r="HMB1" s="331" t="s">
        <v>6467</v>
      </c>
      <c r="HMC1" s="331" t="s">
        <v>6468</v>
      </c>
      <c r="HMD1" s="331" t="s">
        <v>6469</v>
      </c>
      <c r="HME1" s="331" t="s">
        <v>6470</v>
      </c>
      <c r="HMF1" s="331" t="s">
        <v>6471</v>
      </c>
      <c r="HMG1" s="331" t="s">
        <v>6472</v>
      </c>
      <c r="HMH1" s="331" t="s">
        <v>6473</v>
      </c>
      <c r="HMI1" s="331" t="s">
        <v>6474</v>
      </c>
      <c r="HMJ1" s="331" t="s">
        <v>6475</v>
      </c>
      <c r="HMK1" s="331" t="s">
        <v>6476</v>
      </c>
      <c r="HML1" s="331" t="s">
        <v>6477</v>
      </c>
      <c r="HMM1" s="331" t="s">
        <v>6478</v>
      </c>
      <c r="HMN1" s="331" t="s">
        <v>6479</v>
      </c>
      <c r="HMO1" s="331" t="s">
        <v>6480</v>
      </c>
      <c r="HMP1" s="331" t="s">
        <v>6481</v>
      </c>
      <c r="HMQ1" s="331" t="s">
        <v>6482</v>
      </c>
      <c r="HMR1" s="331" t="s">
        <v>6483</v>
      </c>
      <c r="HMS1" s="331" t="s">
        <v>6484</v>
      </c>
      <c r="HMT1" s="331" t="s">
        <v>6485</v>
      </c>
      <c r="HMU1" s="331" t="s">
        <v>6486</v>
      </c>
      <c r="HMV1" s="331" t="s">
        <v>6487</v>
      </c>
      <c r="HMW1" s="331" t="s">
        <v>6488</v>
      </c>
      <c r="HMX1" s="331" t="s">
        <v>6489</v>
      </c>
      <c r="HMY1" s="331" t="s">
        <v>6490</v>
      </c>
      <c r="HMZ1" s="331" t="s">
        <v>6491</v>
      </c>
      <c r="HNA1" s="331" t="s">
        <v>6492</v>
      </c>
      <c r="HNB1" s="331" t="s">
        <v>6493</v>
      </c>
      <c r="HNC1" s="331" t="s">
        <v>6494</v>
      </c>
      <c r="HND1" s="331" t="s">
        <v>6495</v>
      </c>
      <c r="HNE1" s="331" t="s">
        <v>6496</v>
      </c>
      <c r="HNF1" s="331" t="s">
        <v>6497</v>
      </c>
      <c r="HNG1" s="331" t="s">
        <v>6498</v>
      </c>
      <c r="HNH1" s="331" t="s">
        <v>6499</v>
      </c>
      <c r="HNI1" s="331" t="s">
        <v>6500</v>
      </c>
      <c r="HNJ1" s="331" t="s">
        <v>6501</v>
      </c>
      <c r="HNK1" s="331" t="s">
        <v>6502</v>
      </c>
      <c r="HNL1" s="331" t="s">
        <v>6503</v>
      </c>
      <c r="HNM1" s="331" t="s">
        <v>6504</v>
      </c>
      <c r="HNN1" s="331" t="s">
        <v>6505</v>
      </c>
      <c r="HNO1" s="331" t="s">
        <v>6506</v>
      </c>
      <c r="HNP1" s="331" t="s">
        <v>6507</v>
      </c>
      <c r="HNQ1" s="331" t="s">
        <v>6508</v>
      </c>
      <c r="HNR1" s="331" t="s">
        <v>6509</v>
      </c>
      <c r="HNS1" s="331" t="s">
        <v>6510</v>
      </c>
      <c r="HNT1" s="331" t="s">
        <v>6511</v>
      </c>
      <c r="HNU1" s="331" t="s">
        <v>6512</v>
      </c>
      <c r="HNV1" s="331" t="s">
        <v>6513</v>
      </c>
      <c r="HNW1" s="331" t="s">
        <v>6514</v>
      </c>
      <c r="HNX1" s="331" t="s">
        <v>6515</v>
      </c>
      <c r="HNY1" s="331" t="s">
        <v>6516</v>
      </c>
      <c r="HNZ1" s="331" t="s">
        <v>6517</v>
      </c>
      <c r="HOA1" s="331" t="s">
        <v>6518</v>
      </c>
      <c r="HOB1" s="331" t="s">
        <v>6519</v>
      </c>
      <c r="HOC1" s="331" t="s">
        <v>6520</v>
      </c>
      <c r="HOD1" s="331" t="s">
        <v>6521</v>
      </c>
      <c r="HOE1" s="331" t="s">
        <v>6522</v>
      </c>
      <c r="HOF1" s="331" t="s">
        <v>6523</v>
      </c>
      <c r="HOG1" s="331" t="s">
        <v>6524</v>
      </c>
      <c r="HOH1" s="331" t="s">
        <v>6525</v>
      </c>
      <c r="HOI1" s="331" t="s">
        <v>6526</v>
      </c>
      <c r="HOJ1" s="331" t="s">
        <v>6527</v>
      </c>
      <c r="HOK1" s="331" t="s">
        <v>6528</v>
      </c>
      <c r="HOL1" s="331" t="s">
        <v>6529</v>
      </c>
      <c r="HOM1" s="331" t="s">
        <v>6530</v>
      </c>
      <c r="HON1" s="331" t="s">
        <v>6531</v>
      </c>
      <c r="HOO1" s="331" t="s">
        <v>6532</v>
      </c>
      <c r="HOP1" s="331" t="s">
        <v>6533</v>
      </c>
      <c r="HOQ1" s="331" t="s">
        <v>6534</v>
      </c>
      <c r="HOR1" s="331" t="s">
        <v>6535</v>
      </c>
      <c r="HOS1" s="331" t="s">
        <v>6536</v>
      </c>
      <c r="HOT1" s="331" t="s">
        <v>6537</v>
      </c>
      <c r="HOU1" s="331" t="s">
        <v>6538</v>
      </c>
      <c r="HOV1" s="331" t="s">
        <v>6539</v>
      </c>
      <c r="HOW1" s="331" t="s">
        <v>6540</v>
      </c>
      <c r="HOX1" s="331" t="s">
        <v>6541</v>
      </c>
      <c r="HOY1" s="331" t="s">
        <v>6542</v>
      </c>
      <c r="HOZ1" s="331" t="s">
        <v>6543</v>
      </c>
      <c r="HPA1" s="331" t="s">
        <v>6544</v>
      </c>
      <c r="HPB1" s="331" t="s">
        <v>6545</v>
      </c>
      <c r="HPC1" s="331" t="s">
        <v>6546</v>
      </c>
      <c r="HPD1" s="331" t="s">
        <v>6547</v>
      </c>
      <c r="HPE1" s="331" t="s">
        <v>6548</v>
      </c>
      <c r="HPF1" s="331" t="s">
        <v>6549</v>
      </c>
      <c r="HPG1" s="331" t="s">
        <v>6550</v>
      </c>
      <c r="HPH1" s="331" t="s">
        <v>6551</v>
      </c>
      <c r="HPI1" s="331" t="s">
        <v>6552</v>
      </c>
      <c r="HPJ1" s="331" t="s">
        <v>6553</v>
      </c>
      <c r="HPK1" s="331" t="s">
        <v>6554</v>
      </c>
      <c r="HPL1" s="331" t="s">
        <v>6555</v>
      </c>
      <c r="HPM1" s="331" t="s">
        <v>6556</v>
      </c>
      <c r="HPN1" s="331" t="s">
        <v>6557</v>
      </c>
      <c r="HPO1" s="331" t="s">
        <v>6558</v>
      </c>
      <c r="HPP1" s="331" t="s">
        <v>6559</v>
      </c>
      <c r="HPQ1" s="331" t="s">
        <v>6560</v>
      </c>
      <c r="HPR1" s="331" t="s">
        <v>6561</v>
      </c>
      <c r="HPS1" s="331" t="s">
        <v>6562</v>
      </c>
      <c r="HPT1" s="331" t="s">
        <v>6563</v>
      </c>
      <c r="HPU1" s="331" t="s">
        <v>6564</v>
      </c>
      <c r="HPV1" s="331" t="s">
        <v>6565</v>
      </c>
      <c r="HPW1" s="331" t="s">
        <v>6566</v>
      </c>
      <c r="HPX1" s="331" t="s">
        <v>6567</v>
      </c>
      <c r="HPY1" s="331" t="s">
        <v>6568</v>
      </c>
      <c r="HPZ1" s="331" t="s">
        <v>6569</v>
      </c>
      <c r="HQA1" s="331" t="s">
        <v>6570</v>
      </c>
      <c r="HQB1" s="331" t="s">
        <v>6571</v>
      </c>
      <c r="HQC1" s="331" t="s">
        <v>6572</v>
      </c>
      <c r="HQD1" s="331" t="s">
        <v>6573</v>
      </c>
      <c r="HQE1" s="331" t="s">
        <v>6574</v>
      </c>
      <c r="HQF1" s="331" t="s">
        <v>6575</v>
      </c>
      <c r="HQG1" s="331" t="s">
        <v>6576</v>
      </c>
      <c r="HQH1" s="331" t="s">
        <v>6577</v>
      </c>
      <c r="HQI1" s="331" t="s">
        <v>6578</v>
      </c>
      <c r="HQJ1" s="331" t="s">
        <v>6579</v>
      </c>
      <c r="HQK1" s="331" t="s">
        <v>6580</v>
      </c>
      <c r="HQL1" s="331" t="s">
        <v>6581</v>
      </c>
      <c r="HQM1" s="331" t="s">
        <v>6582</v>
      </c>
      <c r="HQN1" s="331" t="s">
        <v>6583</v>
      </c>
      <c r="HQO1" s="331" t="s">
        <v>6584</v>
      </c>
      <c r="HQP1" s="331" t="s">
        <v>6585</v>
      </c>
      <c r="HQQ1" s="331" t="s">
        <v>6586</v>
      </c>
      <c r="HQR1" s="331" t="s">
        <v>6587</v>
      </c>
      <c r="HQS1" s="331" t="s">
        <v>6588</v>
      </c>
      <c r="HQT1" s="331" t="s">
        <v>6589</v>
      </c>
      <c r="HQU1" s="331" t="s">
        <v>6590</v>
      </c>
      <c r="HQV1" s="331" t="s">
        <v>6591</v>
      </c>
      <c r="HQW1" s="331" t="s">
        <v>6592</v>
      </c>
      <c r="HQX1" s="331" t="s">
        <v>6593</v>
      </c>
      <c r="HQY1" s="331" t="s">
        <v>6594</v>
      </c>
      <c r="HQZ1" s="331" t="s">
        <v>6595</v>
      </c>
      <c r="HRA1" s="331" t="s">
        <v>6596</v>
      </c>
      <c r="HRB1" s="331" t="s">
        <v>6597</v>
      </c>
      <c r="HRC1" s="331" t="s">
        <v>6598</v>
      </c>
      <c r="HRD1" s="331" t="s">
        <v>6599</v>
      </c>
      <c r="HRE1" s="331" t="s">
        <v>6600</v>
      </c>
      <c r="HRF1" s="331" t="s">
        <v>6601</v>
      </c>
      <c r="HRG1" s="331" t="s">
        <v>6602</v>
      </c>
      <c r="HRH1" s="331" t="s">
        <v>6603</v>
      </c>
      <c r="HRI1" s="331" t="s">
        <v>6604</v>
      </c>
      <c r="HRJ1" s="331" t="s">
        <v>6605</v>
      </c>
      <c r="HRK1" s="331" t="s">
        <v>6606</v>
      </c>
      <c r="HRL1" s="331" t="s">
        <v>6607</v>
      </c>
      <c r="HRM1" s="331" t="s">
        <v>6608</v>
      </c>
      <c r="HRN1" s="331" t="s">
        <v>6609</v>
      </c>
      <c r="HRO1" s="331" t="s">
        <v>6610</v>
      </c>
      <c r="HRP1" s="331" t="s">
        <v>6611</v>
      </c>
      <c r="HRQ1" s="331" t="s">
        <v>6612</v>
      </c>
      <c r="HRR1" s="331" t="s">
        <v>6613</v>
      </c>
      <c r="HRS1" s="331" t="s">
        <v>6614</v>
      </c>
      <c r="HRT1" s="331" t="s">
        <v>6615</v>
      </c>
      <c r="HRU1" s="331" t="s">
        <v>6616</v>
      </c>
      <c r="HRV1" s="331" t="s">
        <v>6617</v>
      </c>
      <c r="HRW1" s="331" t="s">
        <v>6618</v>
      </c>
      <c r="HRX1" s="331" t="s">
        <v>6619</v>
      </c>
      <c r="HRY1" s="331" t="s">
        <v>6620</v>
      </c>
      <c r="HRZ1" s="331" t="s">
        <v>6621</v>
      </c>
      <c r="HSA1" s="331" t="s">
        <v>6622</v>
      </c>
      <c r="HSB1" s="331" t="s">
        <v>6623</v>
      </c>
      <c r="HSC1" s="331" t="s">
        <v>6624</v>
      </c>
      <c r="HSD1" s="331" t="s">
        <v>6625</v>
      </c>
      <c r="HSE1" s="331" t="s">
        <v>6626</v>
      </c>
      <c r="HSF1" s="331" t="s">
        <v>6627</v>
      </c>
      <c r="HSG1" s="331" t="s">
        <v>6628</v>
      </c>
      <c r="HSH1" s="331" t="s">
        <v>6629</v>
      </c>
      <c r="HSI1" s="331" t="s">
        <v>6630</v>
      </c>
      <c r="HSJ1" s="331" t="s">
        <v>6631</v>
      </c>
      <c r="HSK1" s="331" t="s">
        <v>6632</v>
      </c>
      <c r="HSL1" s="331" t="s">
        <v>6633</v>
      </c>
      <c r="HSM1" s="331" t="s">
        <v>6634</v>
      </c>
      <c r="HSN1" s="331" t="s">
        <v>6635</v>
      </c>
      <c r="HSO1" s="331" t="s">
        <v>6636</v>
      </c>
      <c r="HSP1" s="331" t="s">
        <v>6637</v>
      </c>
      <c r="HSQ1" s="331" t="s">
        <v>6638</v>
      </c>
      <c r="HSR1" s="331" t="s">
        <v>6639</v>
      </c>
      <c r="HSS1" s="331" t="s">
        <v>6640</v>
      </c>
      <c r="HST1" s="331" t="s">
        <v>6641</v>
      </c>
      <c r="HSU1" s="331" t="s">
        <v>6642</v>
      </c>
      <c r="HSV1" s="331" t="s">
        <v>6643</v>
      </c>
      <c r="HSW1" s="331" t="s">
        <v>6644</v>
      </c>
      <c r="HSX1" s="331" t="s">
        <v>6645</v>
      </c>
      <c r="HSY1" s="331" t="s">
        <v>6646</v>
      </c>
      <c r="HSZ1" s="331" t="s">
        <v>6647</v>
      </c>
      <c r="HTA1" s="331" t="s">
        <v>6648</v>
      </c>
      <c r="HTB1" s="331" t="s">
        <v>6649</v>
      </c>
      <c r="HTC1" s="331" t="s">
        <v>6650</v>
      </c>
      <c r="HTD1" s="331" t="s">
        <v>6651</v>
      </c>
      <c r="HTE1" s="331" t="s">
        <v>6652</v>
      </c>
      <c r="HTF1" s="331" t="s">
        <v>6653</v>
      </c>
      <c r="HTG1" s="331" t="s">
        <v>6654</v>
      </c>
      <c r="HTH1" s="331" t="s">
        <v>6655</v>
      </c>
      <c r="HTI1" s="331" t="s">
        <v>6656</v>
      </c>
      <c r="HTJ1" s="331" t="s">
        <v>6657</v>
      </c>
      <c r="HTK1" s="331" t="s">
        <v>6658</v>
      </c>
      <c r="HTL1" s="331" t="s">
        <v>6659</v>
      </c>
      <c r="HTM1" s="331" t="s">
        <v>6660</v>
      </c>
      <c r="HTN1" s="331" t="s">
        <v>6661</v>
      </c>
      <c r="HTO1" s="331" t="s">
        <v>6662</v>
      </c>
      <c r="HTP1" s="331" t="s">
        <v>6663</v>
      </c>
      <c r="HTQ1" s="331" t="s">
        <v>6664</v>
      </c>
      <c r="HTR1" s="331" t="s">
        <v>6665</v>
      </c>
      <c r="HTS1" s="331" t="s">
        <v>6666</v>
      </c>
      <c r="HTT1" s="331" t="s">
        <v>6667</v>
      </c>
      <c r="HTU1" s="331" t="s">
        <v>6668</v>
      </c>
      <c r="HTV1" s="331" t="s">
        <v>6669</v>
      </c>
      <c r="HTW1" s="331" t="s">
        <v>6670</v>
      </c>
      <c r="HTX1" s="331" t="s">
        <v>6671</v>
      </c>
      <c r="HTY1" s="331" t="s">
        <v>6672</v>
      </c>
      <c r="HTZ1" s="331" t="s">
        <v>6673</v>
      </c>
      <c r="HUA1" s="331" t="s">
        <v>6674</v>
      </c>
      <c r="HUB1" s="331" t="s">
        <v>6675</v>
      </c>
      <c r="HUC1" s="331" t="s">
        <v>6676</v>
      </c>
      <c r="HUD1" s="331" t="s">
        <v>6677</v>
      </c>
      <c r="HUE1" s="331" t="s">
        <v>6678</v>
      </c>
      <c r="HUF1" s="331" t="s">
        <v>6679</v>
      </c>
      <c r="HUG1" s="331" t="s">
        <v>6680</v>
      </c>
      <c r="HUH1" s="331" t="s">
        <v>6681</v>
      </c>
      <c r="HUI1" s="331" t="s">
        <v>6682</v>
      </c>
      <c r="HUJ1" s="331" t="s">
        <v>6683</v>
      </c>
      <c r="HUK1" s="331" t="s">
        <v>6684</v>
      </c>
      <c r="HUL1" s="331" t="s">
        <v>6685</v>
      </c>
      <c r="HUM1" s="331" t="s">
        <v>6686</v>
      </c>
      <c r="HUN1" s="331" t="s">
        <v>6687</v>
      </c>
      <c r="HUO1" s="331" t="s">
        <v>6688</v>
      </c>
      <c r="HUP1" s="331" t="s">
        <v>6689</v>
      </c>
      <c r="HUQ1" s="331" t="s">
        <v>6690</v>
      </c>
      <c r="HUR1" s="331" t="s">
        <v>6691</v>
      </c>
      <c r="HUS1" s="331" t="s">
        <v>6692</v>
      </c>
      <c r="HUT1" s="331" t="s">
        <v>6693</v>
      </c>
      <c r="HUU1" s="331" t="s">
        <v>6694</v>
      </c>
      <c r="HUV1" s="331" t="s">
        <v>6695</v>
      </c>
      <c r="HUW1" s="331" t="s">
        <v>6696</v>
      </c>
      <c r="HUX1" s="331" t="s">
        <v>6697</v>
      </c>
      <c r="HUY1" s="331" t="s">
        <v>6698</v>
      </c>
      <c r="HUZ1" s="331" t="s">
        <v>6699</v>
      </c>
      <c r="HVA1" s="331" t="s">
        <v>6700</v>
      </c>
      <c r="HVB1" s="331" t="s">
        <v>6701</v>
      </c>
      <c r="HVC1" s="331" t="s">
        <v>6702</v>
      </c>
      <c r="HVD1" s="331" t="s">
        <v>6703</v>
      </c>
      <c r="HVE1" s="331" t="s">
        <v>6704</v>
      </c>
      <c r="HVF1" s="331" t="s">
        <v>6705</v>
      </c>
      <c r="HVG1" s="331" t="s">
        <v>6706</v>
      </c>
      <c r="HVH1" s="331" t="s">
        <v>6707</v>
      </c>
      <c r="HVI1" s="331" t="s">
        <v>6708</v>
      </c>
      <c r="HVJ1" s="331" t="s">
        <v>6709</v>
      </c>
      <c r="HVK1" s="331" t="s">
        <v>6710</v>
      </c>
      <c r="HVL1" s="331" t="s">
        <v>6711</v>
      </c>
      <c r="HVM1" s="331" t="s">
        <v>6712</v>
      </c>
      <c r="HVN1" s="331" t="s">
        <v>6713</v>
      </c>
      <c r="HVO1" s="331" t="s">
        <v>6714</v>
      </c>
      <c r="HVP1" s="331" t="s">
        <v>6715</v>
      </c>
      <c r="HVQ1" s="331" t="s">
        <v>6716</v>
      </c>
      <c r="HVR1" s="331" t="s">
        <v>6717</v>
      </c>
      <c r="HVS1" s="331" t="s">
        <v>6718</v>
      </c>
      <c r="HVT1" s="331" t="s">
        <v>6719</v>
      </c>
      <c r="HVU1" s="331" t="s">
        <v>6720</v>
      </c>
      <c r="HVV1" s="331" t="s">
        <v>6721</v>
      </c>
      <c r="HVW1" s="331" t="s">
        <v>6722</v>
      </c>
      <c r="HVX1" s="331" t="s">
        <v>6723</v>
      </c>
      <c r="HVY1" s="331" t="s">
        <v>6724</v>
      </c>
      <c r="HVZ1" s="331" t="s">
        <v>6725</v>
      </c>
      <c r="HWA1" s="331" t="s">
        <v>6726</v>
      </c>
      <c r="HWB1" s="331" t="s">
        <v>6727</v>
      </c>
      <c r="HWC1" s="331" t="s">
        <v>6728</v>
      </c>
      <c r="HWD1" s="331" t="s">
        <v>6729</v>
      </c>
      <c r="HWE1" s="331" t="s">
        <v>6730</v>
      </c>
      <c r="HWF1" s="331" t="s">
        <v>6731</v>
      </c>
      <c r="HWG1" s="331" t="s">
        <v>6732</v>
      </c>
      <c r="HWH1" s="331" t="s">
        <v>6733</v>
      </c>
      <c r="HWI1" s="331" t="s">
        <v>6734</v>
      </c>
      <c r="HWJ1" s="331" t="s">
        <v>6735</v>
      </c>
      <c r="HWK1" s="331" t="s">
        <v>6736</v>
      </c>
      <c r="HWL1" s="331" t="s">
        <v>6737</v>
      </c>
      <c r="HWM1" s="331" t="s">
        <v>6738</v>
      </c>
      <c r="HWN1" s="331" t="s">
        <v>6739</v>
      </c>
      <c r="HWO1" s="331" t="s">
        <v>6740</v>
      </c>
      <c r="HWP1" s="331" t="s">
        <v>6741</v>
      </c>
      <c r="HWQ1" s="331" t="s">
        <v>6742</v>
      </c>
      <c r="HWR1" s="331" t="s">
        <v>6743</v>
      </c>
      <c r="HWS1" s="331" t="s">
        <v>6744</v>
      </c>
      <c r="HWT1" s="331" t="s">
        <v>6745</v>
      </c>
      <c r="HWU1" s="331" t="s">
        <v>6746</v>
      </c>
      <c r="HWV1" s="331" t="s">
        <v>6747</v>
      </c>
      <c r="HWW1" s="331" t="s">
        <v>6748</v>
      </c>
      <c r="HWX1" s="331" t="s">
        <v>6749</v>
      </c>
      <c r="HWY1" s="331" t="s">
        <v>6750</v>
      </c>
      <c r="HWZ1" s="331" t="s">
        <v>6751</v>
      </c>
      <c r="HXA1" s="331" t="s">
        <v>6752</v>
      </c>
      <c r="HXB1" s="331" t="s">
        <v>6753</v>
      </c>
      <c r="HXC1" s="331" t="s">
        <v>6754</v>
      </c>
      <c r="HXD1" s="331" t="s">
        <v>6755</v>
      </c>
      <c r="HXE1" s="331" t="s">
        <v>6756</v>
      </c>
      <c r="HXF1" s="331" t="s">
        <v>6757</v>
      </c>
      <c r="HXG1" s="331" t="s">
        <v>6758</v>
      </c>
      <c r="HXH1" s="331" t="s">
        <v>6759</v>
      </c>
      <c r="HXI1" s="331" t="s">
        <v>6760</v>
      </c>
      <c r="HXJ1" s="331" t="s">
        <v>6761</v>
      </c>
      <c r="HXK1" s="331" t="s">
        <v>6762</v>
      </c>
      <c r="HXL1" s="331" t="s">
        <v>6763</v>
      </c>
      <c r="HXM1" s="331" t="s">
        <v>6764</v>
      </c>
      <c r="HXN1" s="331" t="s">
        <v>6765</v>
      </c>
      <c r="HXO1" s="331" t="s">
        <v>6766</v>
      </c>
      <c r="HXP1" s="331" t="s">
        <v>6767</v>
      </c>
      <c r="HXQ1" s="331" t="s">
        <v>6768</v>
      </c>
      <c r="HXR1" s="331" t="s">
        <v>6769</v>
      </c>
      <c r="HXS1" s="331" t="s">
        <v>6770</v>
      </c>
      <c r="HXT1" s="331" t="s">
        <v>6771</v>
      </c>
      <c r="HXU1" s="331" t="s">
        <v>6772</v>
      </c>
      <c r="HXV1" s="331" t="s">
        <v>6773</v>
      </c>
      <c r="HXW1" s="331" t="s">
        <v>6774</v>
      </c>
      <c r="HXX1" s="331" t="s">
        <v>6775</v>
      </c>
      <c r="HXY1" s="331" t="s">
        <v>6776</v>
      </c>
      <c r="HXZ1" s="331" t="s">
        <v>6777</v>
      </c>
      <c r="HYA1" s="331" t="s">
        <v>6778</v>
      </c>
      <c r="HYB1" s="331" t="s">
        <v>6779</v>
      </c>
      <c r="HYC1" s="331" t="s">
        <v>6780</v>
      </c>
      <c r="HYD1" s="331" t="s">
        <v>6781</v>
      </c>
      <c r="HYE1" s="331" t="s">
        <v>6782</v>
      </c>
      <c r="HYF1" s="331" t="s">
        <v>6783</v>
      </c>
      <c r="HYG1" s="331" t="s">
        <v>6784</v>
      </c>
      <c r="HYH1" s="331" t="s">
        <v>6785</v>
      </c>
      <c r="HYI1" s="331" t="s">
        <v>6786</v>
      </c>
      <c r="HYJ1" s="331" t="s">
        <v>6787</v>
      </c>
      <c r="HYK1" s="331" t="s">
        <v>6788</v>
      </c>
      <c r="HYL1" s="331" t="s">
        <v>6789</v>
      </c>
      <c r="HYM1" s="331" t="s">
        <v>6790</v>
      </c>
      <c r="HYN1" s="331" t="s">
        <v>6791</v>
      </c>
      <c r="HYO1" s="331" t="s">
        <v>6792</v>
      </c>
      <c r="HYP1" s="331" t="s">
        <v>6793</v>
      </c>
      <c r="HYQ1" s="331" t="s">
        <v>6794</v>
      </c>
      <c r="HYR1" s="331" t="s">
        <v>6795</v>
      </c>
      <c r="HYS1" s="331" t="s">
        <v>6796</v>
      </c>
      <c r="HYT1" s="331" t="s">
        <v>6797</v>
      </c>
      <c r="HYU1" s="331" t="s">
        <v>6798</v>
      </c>
      <c r="HYV1" s="331" t="s">
        <v>6799</v>
      </c>
      <c r="HYW1" s="331" t="s">
        <v>6800</v>
      </c>
      <c r="HYX1" s="331" t="s">
        <v>6801</v>
      </c>
      <c r="HYY1" s="331" t="s">
        <v>6802</v>
      </c>
      <c r="HYZ1" s="331" t="s">
        <v>6803</v>
      </c>
      <c r="HZA1" s="331" t="s">
        <v>6804</v>
      </c>
      <c r="HZB1" s="331" t="s">
        <v>6805</v>
      </c>
      <c r="HZC1" s="331" t="s">
        <v>6806</v>
      </c>
      <c r="HZD1" s="331" t="s">
        <v>6807</v>
      </c>
      <c r="HZE1" s="331" t="s">
        <v>6808</v>
      </c>
      <c r="HZF1" s="331" t="s">
        <v>6809</v>
      </c>
      <c r="HZG1" s="331" t="s">
        <v>6810</v>
      </c>
      <c r="HZH1" s="331" t="s">
        <v>6811</v>
      </c>
      <c r="HZI1" s="331" t="s">
        <v>6812</v>
      </c>
      <c r="HZJ1" s="331" t="s">
        <v>6813</v>
      </c>
      <c r="HZK1" s="331" t="s">
        <v>6814</v>
      </c>
      <c r="HZL1" s="331" t="s">
        <v>6815</v>
      </c>
      <c r="HZM1" s="331" t="s">
        <v>6816</v>
      </c>
      <c r="HZN1" s="331" t="s">
        <v>6817</v>
      </c>
      <c r="HZO1" s="331" t="s">
        <v>6818</v>
      </c>
      <c r="HZP1" s="331" t="s">
        <v>6819</v>
      </c>
      <c r="HZQ1" s="331" t="s">
        <v>6820</v>
      </c>
      <c r="HZR1" s="331" t="s">
        <v>6821</v>
      </c>
      <c r="HZS1" s="331" t="s">
        <v>6822</v>
      </c>
      <c r="HZT1" s="331" t="s">
        <v>6823</v>
      </c>
      <c r="HZU1" s="331" t="s">
        <v>6824</v>
      </c>
      <c r="HZV1" s="331" t="s">
        <v>6825</v>
      </c>
      <c r="HZW1" s="331" t="s">
        <v>6826</v>
      </c>
      <c r="HZX1" s="331" t="s">
        <v>6827</v>
      </c>
      <c r="HZY1" s="331" t="s">
        <v>6828</v>
      </c>
      <c r="HZZ1" s="331" t="s">
        <v>6829</v>
      </c>
      <c r="IAA1" s="331" t="s">
        <v>6830</v>
      </c>
      <c r="IAB1" s="331" t="s">
        <v>6831</v>
      </c>
      <c r="IAC1" s="331" t="s">
        <v>6832</v>
      </c>
      <c r="IAD1" s="331" t="s">
        <v>6833</v>
      </c>
      <c r="IAE1" s="331" t="s">
        <v>6834</v>
      </c>
      <c r="IAF1" s="331" t="s">
        <v>6835</v>
      </c>
      <c r="IAG1" s="331" t="s">
        <v>6836</v>
      </c>
      <c r="IAH1" s="331" t="s">
        <v>6837</v>
      </c>
      <c r="IAI1" s="331" t="s">
        <v>6838</v>
      </c>
      <c r="IAJ1" s="331" t="s">
        <v>6839</v>
      </c>
      <c r="IAK1" s="331" t="s">
        <v>6840</v>
      </c>
      <c r="IAL1" s="331" t="s">
        <v>6841</v>
      </c>
      <c r="IAM1" s="331" t="s">
        <v>6842</v>
      </c>
      <c r="IAN1" s="331" t="s">
        <v>6843</v>
      </c>
      <c r="IAO1" s="331" t="s">
        <v>6844</v>
      </c>
      <c r="IAP1" s="331" t="s">
        <v>6845</v>
      </c>
      <c r="IAQ1" s="331" t="s">
        <v>6846</v>
      </c>
      <c r="IAR1" s="331" t="s">
        <v>6847</v>
      </c>
      <c r="IAS1" s="331" t="s">
        <v>6848</v>
      </c>
      <c r="IAT1" s="331" t="s">
        <v>6849</v>
      </c>
      <c r="IAU1" s="331" t="s">
        <v>6850</v>
      </c>
      <c r="IAV1" s="331" t="s">
        <v>6851</v>
      </c>
      <c r="IAW1" s="331" t="s">
        <v>6852</v>
      </c>
      <c r="IAX1" s="331" t="s">
        <v>6853</v>
      </c>
      <c r="IAY1" s="331" t="s">
        <v>6854</v>
      </c>
      <c r="IAZ1" s="331" t="s">
        <v>6855</v>
      </c>
      <c r="IBA1" s="331" t="s">
        <v>6856</v>
      </c>
      <c r="IBB1" s="331" t="s">
        <v>6857</v>
      </c>
      <c r="IBC1" s="331" t="s">
        <v>6858</v>
      </c>
      <c r="IBD1" s="331" t="s">
        <v>6859</v>
      </c>
      <c r="IBE1" s="331" t="s">
        <v>6860</v>
      </c>
      <c r="IBF1" s="331" t="s">
        <v>6861</v>
      </c>
      <c r="IBG1" s="331" t="s">
        <v>6862</v>
      </c>
      <c r="IBH1" s="331" t="s">
        <v>6863</v>
      </c>
      <c r="IBI1" s="331" t="s">
        <v>6864</v>
      </c>
      <c r="IBJ1" s="331" t="s">
        <v>6865</v>
      </c>
      <c r="IBK1" s="331" t="s">
        <v>6866</v>
      </c>
      <c r="IBL1" s="331" t="s">
        <v>6867</v>
      </c>
      <c r="IBM1" s="331" t="s">
        <v>6868</v>
      </c>
      <c r="IBN1" s="331" t="s">
        <v>6869</v>
      </c>
      <c r="IBO1" s="331" t="s">
        <v>6870</v>
      </c>
      <c r="IBP1" s="331" t="s">
        <v>6871</v>
      </c>
      <c r="IBQ1" s="331" t="s">
        <v>6872</v>
      </c>
      <c r="IBR1" s="331" t="s">
        <v>6873</v>
      </c>
      <c r="IBS1" s="331" t="s">
        <v>6874</v>
      </c>
      <c r="IBT1" s="331" t="s">
        <v>6875</v>
      </c>
      <c r="IBU1" s="331" t="s">
        <v>6876</v>
      </c>
      <c r="IBV1" s="331" t="s">
        <v>6877</v>
      </c>
      <c r="IBW1" s="331" t="s">
        <v>6878</v>
      </c>
      <c r="IBX1" s="331" t="s">
        <v>6879</v>
      </c>
      <c r="IBY1" s="331" t="s">
        <v>6880</v>
      </c>
      <c r="IBZ1" s="331" t="s">
        <v>6881</v>
      </c>
      <c r="ICA1" s="331" t="s">
        <v>6882</v>
      </c>
      <c r="ICB1" s="331" t="s">
        <v>6883</v>
      </c>
      <c r="ICC1" s="331" t="s">
        <v>6884</v>
      </c>
      <c r="ICD1" s="331" t="s">
        <v>6885</v>
      </c>
      <c r="ICE1" s="331" t="s">
        <v>6886</v>
      </c>
      <c r="ICF1" s="331" t="s">
        <v>6887</v>
      </c>
      <c r="ICG1" s="331" t="s">
        <v>6888</v>
      </c>
      <c r="ICH1" s="331" t="s">
        <v>6889</v>
      </c>
      <c r="ICI1" s="331" t="s">
        <v>6890</v>
      </c>
      <c r="ICJ1" s="331" t="s">
        <v>6891</v>
      </c>
      <c r="ICK1" s="331" t="s">
        <v>6892</v>
      </c>
      <c r="ICL1" s="331" t="s">
        <v>6893</v>
      </c>
      <c r="ICM1" s="331" t="s">
        <v>6894</v>
      </c>
      <c r="ICN1" s="331" t="s">
        <v>6895</v>
      </c>
      <c r="ICO1" s="331" t="s">
        <v>6896</v>
      </c>
      <c r="ICP1" s="331" t="s">
        <v>6897</v>
      </c>
      <c r="ICQ1" s="331" t="s">
        <v>6898</v>
      </c>
      <c r="ICR1" s="331" t="s">
        <v>6899</v>
      </c>
      <c r="ICS1" s="331" t="s">
        <v>6900</v>
      </c>
      <c r="ICT1" s="331" t="s">
        <v>6901</v>
      </c>
      <c r="ICU1" s="331" t="s">
        <v>6902</v>
      </c>
      <c r="ICV1" s="331" t="s">
        <v>6903</v>
      </c>
      <c r="ICW1" s="331" t="s">
        <v>6904</v>
      </c>
      <c r="ICX1" s="331" t="s">
        <v>6905</v>
      </c>
      <c r="ICY1" s="331" t="s">
        <v>6906</v>
      </c>
      <c r="ICZ1" s="331" t="s">
        <v>6907</v>
      </c>
      <c r="IDA1" s="331" t="s">
        <v>6908</v>
      </c>
      <c r="IDB1" s="331" t="s">
        <v>6909</v>
      </c>
      <c r="IDC1" s="331" t="s">
        <v>6910</v>
      </c>
      <c r="IDD1" s="331" t="s">
        <v>6911</v>
      </c>
      <c r="IDE1" s="331" t="s">
        <v>6912</v>
      </c>
      <c r="IDF1" s="331" t="s">
        <v>6913</v>
      </c>
      <c r="IDG1" s="331" t="s">
        <v>6914</v>
      </c>
      <c r="IDH1" s="331" t="s">
        <v>6915</v>
      </c>
      <c r="IDI1" s="331" t="s">
        <v>6916</v>
      </c>
      <c r="IDJ1" s="331" t="s">
        <v>6917</v>
      </c>
      <c r="IDK1" s="331" t="s">
        <v>6918</v>
      </c>
      <c r="IDL1" s="331" t="s">
        <v>6919</v>
      </c>
      <c r="IDM1" s="331" t="s">
        <v>6920</v>
      </c>
      <c r="IDN1" s="331" t="s">
        <v>6921</v>
      </c>
      <c r="IDO1" s="331" t="s">
        <v>6922</v>
      </c>
      <c r="IDP1" s="331" t="s">
        <v>6923</v>
      </c>
      <c r="IDQ1" s="331" t="s">
        <v>6924</v>
      </c>
      <c r="IDR1" s="331" t="s">
        <v>6925</v>
      </c>
      <c r="IDS1" s="331" t="s">
        <v>6926</v>
      </c>
      <c r="IDT1" s="331" t="s">
        <v>6927</v>
      </c>
      <c r="IDU1" s="331" t="s">
        <v>6928</v>
      </c>
      <c r="IDV1" s="331" t="s">
        <v>6929</v>
      </c>
      <c r="IDW1" s="331" t="s">
        <v>6930</v>
      </c>
      <c r="IDX1" s="331" t="s">
        <v>6931</v>
      </c>
      <c r="IDY1" s="331" t="s">
        <v>6932</v>
      </c>
      <c r="IDZ1" s="331" t="s">
        <v>6933</v>
      </c>
      <c r="IEA1" s="331" t="s">
        <v>6934</v>
      </c>
      <c r="IEB1" s="331" t="s">
        <v>6935</v>
      </c>
      <c r="IEC1" s="331" t="s">
        <v>6936</v>
      </c>
      <c r="IED1" s="331" t="s">
        <v>6937</v>
      </c>
      <c r="IEE1" s="331" t="s">
        <v>6938</v>
      </c>
      <c r="IEF1" s="331" t="s">
        <v>6939</v>
      </c>
      <c r="IEG1" s="331" t="s">
        <v>6940</v>
      </c>
      <c r="IEH1" s="331" t="s">
        <v>6941</v>
      </c>
      <c r="IEI1" s="331" t="s">
        <v>6942</v>
      </c>
      <c r="IEJ1" s="331" t="s">
        <v>6943</v>
      </c>
      <c r="IEK1" s="331" t="s">
        <v>6944</v>
      </c>
      <c r="IEL1" s="331" t="s">
        <v>6945</v>
      </c>
      <c r="IEM1" s="331" t="s">
        <v>6946</v>
      </c>
      <c r="IEN1" s="331" t="s">
        <v>6947</v>
      </c>
      <c r="IEO1" s="331" t="s">
        <v>6948</v>
      </c>
      <c r="IEP1" s="331" t="s">
        <v>6949</v>
      </c>
      <c r="IEQ1" s="331" t="s">
        <v>6950</v>
      </c>
      <c r="IER1" s="331" t="s">
        <v>6951</v>
      </c>
      <c r="IES1" s="331" t="s">
        <v>6952</v>
      </c>
      <c r="IET1" s="331" t="s">
        <v>6953</v>
      </c>
      <c r="IEU1" s="331" t="s">
        <v>6954</v>
      </c>
      <c r="IEV1" s="331" t="s">
        <v>6955</v>
      </c>
      <c r="IEW1" s="331" t="s">
        <v>6956</v>
      </c>
      <c r="IEX1" s="331" t="s">
        <v>6957</v>
      </c>
      <c r="IEY1" s="331" t="s">
        <v>6958</v>
      </c>
      <c r="IEZ1" s="331" t="s">
        <v>6959</v>
      </c>
      <c r="IFA1" s="331" t="s">
        <v>6960</v>
      </c>
      <c r="IFB1" s="331" t="s">
        <v>6961</v>
      </c>
      <c r="IFC1" s="331" t="s">
        <v>6962</v>
      </c>
      <c r="IFD1" s="331" t="s">
        <v>6963</v>
      </c>
      <c r="IFE1" s="331" t="s">
        <v>6964</v>
      </c>
      <c r="IFF1" s="331" t="s">
        <v>6965</v>
      </c>
      <c r="IFG1" s="331" t="s">
        <v>6966</v>
      </c>
      <c r="IFH1" s="331" t="s">
        <v>6967</v>
      </c>
      <c r="IFI1" s="331" t="s">
        <v>6968</v>
      </c>
      <c r="IFJ1" s="331" t="s">
        <v>6969</v>
      </c>
      <c r="IFK1" s="331" t="s">
        <v>6970</v>
      </c>
      <c r="IFL1" s="331" t="s">
        <v>6971</v>
      </c>
      <c r="IFM1" s="331" t="s">
        <v>6972</v>
      </c>
      <c r="IFN1" s="331" t="s">
        <v>6973</v>
      </c>
      <c r="IFO1" s="331" t="s">
        <v>6974</v>
      </c>
      <c r="IFP1" s="331" t="s">
        <v>6975</v>
      </c>
      <c r="IFQ1" s="331" t="s">
        <v>6976</v>
      </c>
      <c r="IFR1" s="331" t="s">
        <v>6977</v>
      </c>
      <c r="IFS1" s="331" t="s">
        <v>6978</v>
      </c>
      <c r="IFT1" s="331" t="s">
        <v>6979</v>
      </c>
      <c r="IFU1" s="331" t="s">
        <v>6980</v>
      </c>
      <c r="IFV1" s="331" t="s">
        <v>6981</v>
      </c>
      <c r="IFW1" s="331" t="s">
        <v>6982</v>
      </c>
      <c r="IFX1" s="331" t="s">
        <v>6983</v>
      </c>
      <c r="IFY1" s="331" t="s">
        <v>6984</v>
      </c>
      <c r="IFZ1" s="331" t="s">
        <v>6985</v>
      </c>
      <c r="IGA1" s="331" t="s">
        <v>6986</v>
      </c>
      <c r="IGB1" s="331" t="s">
        <v>6987</v>
      </c>
      <c r="IGC1" s="331" t="s">
        <v>6988</v>
      </c>
      <c r="IGD1" s="331" t="s">
        <v>6989</v>
      </c>
      <c r="IGE1" s="331" t="s">
        <v>6990</v>
      </c>
      <c r="IGF1" s="331" t="s">
        <v>6991</v>
      </c>
      <c r="IGG1" s="331" t="s">
        <v>6992</v>
      </c>
      <c r="IGH1" s="331" t="s">
        <v>6993</v>
      </c>
      <c r="IGI1" s="331" t="s">
        <v>6994</v>
      </c>
      <c r="IGJ1" s="331" t="s">
        <v>6995</v>
      </c>
      <c r="IGK1" s="331" t="s">
        <v>6996</v>
      </c>
      <c r="IGL1" s="331" t="s">
        <v>6997</v>
      </c>
      <c r="IGM1" s="331" t="s">
        <v>6998</v>
      </c>
      <c r="IGN1" s="331" t="s">
        <v>6999</v>
      </c>
      <c r="IGO1" s="331" t="s">
        <v>7000</v>
      </c>
      <c r="IGP1" s="331" t="s">
        <v>7001</v>
      </c>
      <c r="IGQ1" s="331" t="s">
        <v>7002</v>
      </c>
      <c r="IGR1" s="331" t="s">
        <v>7003</v>
      </c>
      <c r="IGS1" s="331" t="s">
        <v>7004</v>
      </c>
      <c r="IGT1" s="331" t="s">
        <v>7005</v>
      </c>
      <c r="IGU1" s="331" t="s">
        <v>7006</v>
      </c>
      <c r="IGV1" s="331" t="s">
        <v>7007</v>
      </c>
      <c r="IGW1" s="331" t="s">
        <v>7008</v>
      </c>
      <c r="IGX1" s="331" t="s">
        <v>7009</v>
      </c>
      <c r="IGY1" s="331" t="s">
        <v>7010</v>
      </c>
      <c r="IGZ1" s="331" t="s">
        <v>7011</v>
      </c>
      <c r="IHA1" s="331" t="s">
        <v>7012</v>
      </c>
      <c r="IHB1" s="331" t="s">
        <v>7013</v>
      </c>
      <c r="IHC1" s="331" t="s">
        <v>7014</v>
      </c>
      <c r="IHD1" s="331" t="s">
        <v>7015</v>
      </c>
      <c r="IHE1" s="331" t="s">
        <v>7016</v>
      </c>
      <c r="IHF1" s="331" t="s">
        <v>7017</v>
      </c>
      <c r="IHG1" s="331" t="s">
        <v>7018</v>
      </c>
      <c r="IHH1" s="331" t="s">
        <v>7019</v>
      </c>
      <c r="IHI1" s="331" t="s">
        <v>7020</v>
      </c>
      <c r="IHJ1" s="331" t="s">
        <v>7021</v>
      </c>
      <c r="IHK1" s="331" t="s">
        <v>7022</v>
      </c>
      <c r="IHL1" s="331" t="s">
        <v>7023</v>
      </c>
      <c r="IHM1" s="331" t="s">
        <v>7024</v>
      </c>
      <c r="IHN1" s="331" t="s">
        <v>7025</v>
      </c>
      <c r="IHO1" s="331" t="s">
        <v>7026</v>
      </c>
      <c r="IHP1" s="331" t="s">
        <v>7027</v>
      </c>
      <c r="IHQ1" s="331" t="s">
        <v>7028</v>
      </c>
      <c r="IHR1" s="331" t="s">
        <v>7029</v>
      </c>
      <c r="IHS1" s="331" t="s">
        <v>7030</v>
      </c>
      <c r="IHT1" s="331" t="s">
        <v>7031</v>
      </c>
      <c r="IHU1" s="331" t="s">
        <v>7032</v>
      </c>
      <c r="IHV1" s="331" t="s">
        <v>7033</v>
      </c>
      <c r="IHW1" s="331" t="s">
        <v>7034</v>
      </c>
      <c r="IHX1" s="331" t="s">
        <v>7035</v>
      </c>
      <c r="IHY1" s="331" t="s">
        <v>7036</v>
      </c>
      <c r="IHZ1" s="331" t="s">
        <v>7037</v>
      </c>
      <c r="IIA1" s="331" t="s">
        <v>7038</v>
      </c>
      <c r="IIB1" s="331" t="s">
        <v>7039</v>
      </c>
      <c r="IIC1" s="331" t="s">
        <v>7040</v>
      </c>
      <c r="IID1" s="331" t="s">
        <v>7041</v>
      </c>
      <c r="IIE1" s="331" t="s">
        <v>7042</v>
      </c>
      <c r="IIF1" s="331" t="s">
        <v>7043</v>
      </c>
      <c r="IIG1" s="331" t="s">
        <v>7044</v>
      </c>
      <c r="IIH1" s="331" t="s">
        <v>7045</v>
      </c>
      <c r="III1" s="331" t="s">
        <v>7046</v>
      </c>
      <c r="IIJ1" s="331" t="s">
        <v>7047</v>
      </c>
      <c r="IIK1" s="331" t="s">
        <v>7048</v>
      </c>
      <c r="IIL1" s="331" t="s">
        <v>7049</v>
      </c>
      <c r="IIM1" s="331" t="s">
        <v>7050</v>
      </c>
      <c r="IIN1" s="331" t="s">
        <v>7051</v>
      </c>
      <c r="IIO1" s="331" t="s">
        <v>7052</v>
      </c>
      <c r="IIP1" s="331" t="s">
        <v>7053</v>
      </c>
      <c r="IIQ1" s="331" t="s">
        <v>7054</v>
      </c>
      <c r="IIR1" s="331" t="s">
        <v>7055</v>
      </c>
      <c r="IIS1" s="331" t="s">
        <v>7056</v>
      </c>
      <c r="IIT1" s="331" t="s">
        <v>7057</v>
      </c>
      <c r="IIU1" s="331" t="s">
        <v>7058</v>
      </c>
      <c r="IIV1" s="331" t="s">
        <v>7059</v>
      </c>
      <c r="IIW1" s="331" t="s">
        <v>7060</v>
      </c>
      <c r="IIX1" s="331" t="s">
        <v>7061</v>
      </c>
      <c r="IIY1" s="331" t="s">
        <v>7062</v>
      </c>
      <c r="IIZ1" s="331" t="s">
        <v>7063</v>
      </c>
      <c r="IJA1" s="331" t="s">
        <v>7064</v>
      </c>
      <c r="IJB1" s="331" t="s">
        <v>7065</v>
      </c>
      <c r="IJC1" s="331" t="s">
        <v>7066</v>
      </c>
      <c r="IJD1" s="331" t="s">
        <v>7067</v>
      </c>
      <c r="IJE1" s="331" t="s">
        <v>7068</v>
      </c>
      <c r="IJF1" s="331" t="s">
        <v>7069</v>
      </c>
      <c r="IJG1" s="331" t="s">
        <v>7070</v>
      </c>
      <c r="IJH1" s="331" t="s">
        <v>7071</v>
      </c>
      <c r="IJI1" s="331" t="s">
        <v>7072</v>
      </c>
      <c r="IJJ1" s="331" t="s">
        <v>7073</v>
      </c>
      <c r="IJK1" s="331" t="s">
        <v>7074</v>
      </c>
      <c r="IJL1" s="331" t="s">
        <v>7075</v>
      </c>
      <c r="IJM1" s="331" t="s">
        <v>7076</v>
      </c>
      <c r="IJN1" s="331" t="s">
        <v>7077</v>
      </c>
      <c r="IJO1" s="331" t="s">
        <v>7078</v>
      </c>
      <c r="IJP1" s="331" t="s">
        <v>7079</v>
      </c>
      <c r="IJQ1" s="331" t="s">
        <v>7080</v>
      </c>
      <c r="IJR1" s="331" t="s">
        <v>7081</v>
      </c>
      <c r="IJS1" s="331" t="s">
        <v>7082</v>
      </c>
      <c r="IJT1" s="331" t="s">
        <v>7083</v>
      </c>
      <c r="IJU1" s="331" t="s">
        <v>7084</v>
      </c>
      <c r="IJV1" s="331" t="s">
        <v>7085</v>
      </c>
      <c r="IJW1" s="331" t="s">
        <v>7086</v>
      </c>
      <c r="IJX1" s="331" t="s">
        <v>7087</v>
      </c>
      <c r="IJY1" s="331" t="s">
        <v>7088</v>
      </c>
      <c r="IJZ1" s="331" t="s">
        <v>7089</v>
      </c>
      <c r="IKA1" s="331" t="s">
        <v>7090</v>
      </c>
      <c r="IKB1" s="331" t="s">
        <v>7091</v>
      </c>
      <c r="IKC1" s="331" t="s">
        <v>7092</v>
      </c>
      <c r="IKD1" s="331" t="s">
        <v>7093</v>
      </c>
      <c r="IKE1" s="331" t="s">
        <v>7094</v>
      </c>
      <c r="IKF1" s="331" t="s">
        <v>7095</v>
      </c>
      <c r="IKG1" s="331" t="s">
        <v>7096</v>
      </c>
      <c r="IKH1" s="331" t="s">
        <v>7097</v>
      </c>
      <c r="IKI1" s="331" t="s">
        <v>7098</v>
      </c>
      <c r="IKJ1" s="331" t="s">
        <v>7099</v>
      </c>
      <c r="IKK1" s="331" t="s">
        <v>7100</v>
      </c>
      <c r="IKL1" s="331" t="s">
        <v>7101</v>
      </c>
      <c r="IKM1" s="331" t="s">
        <v>7102</v>
      </c>
      <c r="IKN1" s="331" t="s">
        <v>7103</v>
      </c>
      <c r="IKO1" s="331" t="s">
        <v>7104</v>
      </c>
      <c r="IKP1" s="331" t="s">
        <v>7105</v>
      </c>
      <c r="IKQ1" s="331" t="s">
        <v>7106</v>
      </c>
      <c r="IKR1" s="331" t="s">
        <v>7107</v>
      </c>
      <c r="IKS1" s="331" t="s">
        <v>7108</v>
      </c>
      <c r="IKT1" s="331" t="s">
        <v>7109</v>
      </c>
      <c r="IKU1" s="331" t="s">
        <v>7110</v>
      </c>
      <c r="IKV1" s="331" t="s">
        <v>7111</v>
      </c>
      <c r="IKW1" s="331" t="s">
        <v>7112</v>
      </c>
      <c r="IKX1" s="331" t="s">
        <v>7113</v>
      </c>
      <c r="IKY1" s="331" t="s">
        <v>7114</v>
      </c>
      <c r="IKZ1" s="331" t="s">
        <v>7115</v>
      </c>
      <c r="ILA1" s="331" t="s">
        <v>7116</v>
      </c>
      <c r="ILB1" s="331" t="s">
        <v>7117</v>
      </c>
      <c r="ILC1" s="331" t="s">
        <v>7118</v>
      </c>
      <c r="ILD1" s="331" t="s">
        <v>7119</v>
      </c>
      <c r="ILE1" s="331" t="s">
        <v>7120</v>
      </c>
      <c r="ILF1" s="331" t="s">
        <v>7121</v>
      </c>
      <c r="ILG1" s="331" t="s">
        <v>7122</v>
      </c>
      <c r="ILH1" s="331" t="s">
        <v>7123</v>
      </c>
      <c r="ILI1" s="331" t="s">
        <v>7124</v>
      </c>
      <c r="ILJ1" s="331" t="s">
        <v>7125</v>
      </c>
      <c r="ILK1" s="331" t="s">
        <v>7126</v>
      </c>
      <c r="ILL1" s="331" t="s">
        <v>7127</v>
      </c>
      <c r="ILM1" s="331" t="s">
        <v>7128</v>
      </c>
      <c r="ILN1" s="331" t="s">
        <v>7129</v>
      </c>
      <c r="ILO1" s="331" t="s">
        <v>7130</v>
      </c>
      <c r="ILP1" s="331" t="s">
        <v>7131</v>
      </c>
      <c r="ILQ1" s="331" t="s">
        <v>7132</v>
      </c>
      <c r="ILR1" s="331" t="s">
        <v>7133</v>
      </c>
      <c r="ILS1" s="331" t="s">
        <v>7134</v>
      </c>
      <c r="ILT1" s="331" t="s">
        <v>7135</v>
      </c>
      <c r="ILU1" s="331" t="s">
        <v>7136</v>
      </c>
      <c r="ILV1" s="331" t="s">
        <v>7137</v>
      </c>
      <c r="ILW1" s="331" t="s">
        <v>7138</v>
      </c>
      <c r="ILX1" s="331" t="s">
        <v>7139</v>
      </c>
      <c r="ILY1" s="331" t="s">
        <v>7140</v>
      </c>
      <c r="ILZ1" s="331" t="s">
        <v>7141</v>
      </c>
      <c r="IMA1" s="331" t="s">
        <v>7142</v>
      </c>
      <c r="IMB1" s="331" t="s">
        <v>7143</v>
      </c>
      <c r="IMC1" s="331" t="s">
        <v>7144</v>
      </c>
      <c r="IMD1" s="331" t="s">
        <v>7145</v>
      </c>
      <c r="IME1" s="331" t="s">
        <v>7146</v>
      </c>
      <c r="IMF1" s="331" t="s">
        <v>7147</v>
      </c>
      <c r="IMG1" s="331" t="s">
        <v>7148</v>
      </c>
      <c r="IMH1" s="331" t="s">
        <v>7149</v>
      </c>
      <c r="IMI1" s="331" t="s">
        <v>7150</v>
      </c>
      <c r="IMJ1" s="331" t="s">
        <v>7151</v>
      </c>
      <c r="IMK1" s="331" t="s">
        <v>7152</v>
      </c>
      <c r="IML1" s="331" t="s">
        <v>7153</v>
      </c>
      <c r="IMM1" s="331" t="s">
        <v>7154</v>
      </c>
      <c r="IMN1" s="331" t="s">
        <v>7155</v>
      </c>
      <c r="IMO1" s="331" t="s">
        <v>7156</v>
      </c>
      <c r="IMP1" s="331" t="s">
        <v>7157</v>
      </c>
      <c r="IMQ1" s="331" t="s">
        <v>7158</v>
      </c>
      <c r="IMR1" s="331" t="s">
        <v>7159</v>
      </c>
      <c r="IMS1" s="331" t="s">
        <v>7160</v>
      </c>
      <c r="IMT1" s="331" t="s">
        <v>7161</v>
      </c>
      <c r="IMU1" s="331" t="s">
        <v>7162</v>
      </c>
      <c r="IMV1" s="331" t="s">
        <v>7163</v>
      </c>
      <c r="IMW1" s="331" t="s">
        <v>7164</v>
      </c>
      <c r="IMX1" s="331" t="s">
        <v>7165</v>
      </c>
      <c r="IMY1" s="331" t="s">
        <v>7166</v>
      </c>
      <c r="IMZ1" s="331" t="s">
        <v>7167</v>
      </c>
      <c r="INA1" s="331" t="s">
        <v>7168</v>
      </c>
      <c r="INB1" s="331" t="s">
        <v>7169</v>
      </c>
      <c r="INC1" s="331" t="s">
        <v>7170</v>
      </c>
      <c r="IND1" s="331" t="s">
        <v>7171</v>
      </c>
      <c r="INE1" s="331" t="s">
        <v>7172</v>
      </c>
      <c r="INF1" s="331" t="s">
        <v>7173</v>
      </c>
      <c r="ING1" s="331" t="s">
        <v>7174</v>
      </c>
      <c r="INH1" s="331" t="s">
        <v>7175</v>
      </c>
      <c r="INI1" s="331" t="s">
        <v>7176</v>
      </c>
      <c r="INJ1" s="331" t="s">
        <v>7177</v>
      </c>
      <c r="INK1" s="331" t="s">
        <v>7178</v>
      </c>
      <c r="INL1" s="331" t="s">
        <v>7179</v>
      </c>
      <c r="INM1" s="331" t="s">
        <v>7180</v>
      </c>
      <c r="INN1" s="331" t="s">
        <v>7181</v>
      </c>
      <c r="INO1" s="331" t="s">
        <v>7182</v>
      </c>
      <c r="INP1" s="331" t="s">
        <v>7183</v>
      </c>
      <c r="INQ1" s="331" t="s">
        <v>7184</v>
      </c>
      <c r="INR1" s="331" t="s">
        <v>7185</v>
      </c>
      <c r="INS1" s="331" t="s">
        <v>7186</v>
      </c>
      <c r="INT1" s="331" t="s">
        <v>7187</v>
      </c>
      <c r="INU1" s="331" t="s">
        <v>7188</v>
      </c>
      <c r="INV1" s="331" t="s">
        <v>7189</v>
      </c>
      <c r="INW1" s="331" t="s">
        <v>7190</v>
      </c>
      <c r="INX1" s="331" t="s">
        <v>7191</v>
      </c>
      <c r="INY1" s="331" t="s">
        <v>7192</v>
      </c>
      <c r="INZ1" s="331" t="s">
        <v>7193</v>
      </c>
      <c r="IOA1" s="331" t="s">
        <v>7194</v>
      </c>
      <c r="IOB1" s="331" t="s">
        <v>7195</v>
      </c>
      <c r="IOC1" s="331" t="s">
        <v>7196</v>
      </c>
      <c r="IOD1" s="331" t="s">
        <v>7197</v>
      </c>
      <c r="IOE1" s="331" t="s">
        <v>7198</v>
      </c>
      <c r="IOF1" s="331" t="s">
        <v>7199</v>
      </c>
      <c r="IOG1" s="331" t="s">
        <v>7200</v>
      </c>
      <c r="IOH1" s="331" t="s">
        <v>7201</v>
      </c>
      <c r="IOI1" s="331" t="s">
        <v>7202</v>
      </c>
      <c r="IOJ1" s="331" t="s">
        <v>7203</v>
      </c>
      <c r="IOK1" s="331" t="s">
        <v>7204</v>
      </c>
      <c r="IOL1" s="331" t="s">
        <v>7205</v>
      </c>
      <c r="IOM1" s="331" t="s">
        <v>7206</v>
      </c>
      <c r="ION1" s="331" t="s">
        <v>7207</v>
      </c>
      <c r="IOO1" s="331" t="s">
        <v>7208</v>
      </c>
      <c r="IOP1" s="331" t="s">
        <v>7209</v>
      </c>
      <c r="IOQ1" s="331" t="s">
        <v>7210</v>
      </c>
      <c r="IOR1" s="331" t="s">
        <v>7211</v>
      </c>
      <c r="IOS1" s="331" t="s">
        <v>7212</v>
      </c>
      <c r="IOT1" s="331" t="s">
        <v>7213</v>
      </c>
      <c r="IOU1" s="331" t="s">
        <v>7214</v>
      </c>
      <c r="IOV1" s="331" t="s">
        <v>7215</v>
      </c>
      <c r="IOW1" s="331" t="s">
        <v>7216</v>
      </c>
      <c r="IOX1" s="331" t="s">
        <v>7217</v>
      </c>
      <c r="IOY1" s="331" t="s">
        <v>7218</v>
      </c>
      <c r="IOZ1" s="331" t="s">
        <v>7219</v>
      </c>
      <c r="IPA1" s="331" t="s">
        <v>7220</v>
      </c>
      <c r="IPB1" s="331" t="s">
        <v>7221</v>
      </c>
      <c r="IPC1" s="331" t="s">
        <v>7222</v>
      </c>
      <c r="IPD1" s="331" t="s">
        <v>7223</v>
      </c>
      <c r="IPE1" s="331" t="s">
        <v>7224</v>
      </c>
      <c r="IPF1" s="331" t="s">
        <v>7225</v>
      </c>
      <c r="IPG1" s="331" t="s">
        <v>7226</v>
      </c>
      <c r="IPH1" s="331" t="s">
        <v>7227</v>
      </c>
      <c r="IPI1" s="331" t="s">
        <v>7228</v>
      </c>
      <c r="IPJ1" s="331" t="s">
        <v>7229</v>
      </c>
      <c r="IPK1" s="331" t="s">
        <v>7230</v>
      </c>
      <c r="IPL1" s="331" t="s">
        <v>7231</v>
      </c>
      <c r="IPM1" s="331" t="s">
        <v>7232</v>
      </c>
      <c r="IPN1" s="331" t="s">
        <v>7233</v>
      </c>
      <c r="IPO1" s="331" t="s">
        <v>7234</v>
      </c>
      <c r="IPP1" s="331" t="s">
        <v>7235</v>
      </c>
      <c r="IPQ1" s="331" t="s">
        <v>7236</v>
      </c>
      <c r="IPR1" s="331" t="s">
        <v>7237</v>
      </c>
      <c r="IPS1" s="331" t="s">
        <v>7238</v>
      </c>
      <c r="IPT1" s="331" t="s">
        <v>7239</v>
      </c>
      <c r="IPU1" s="331" t="s">
        <v>7240</v>
      </c>
      <c r="IPV1" s="331" t="s">
        <v>7241</v>
      </c>
      <c r="IPW1" s="331" t="s">
        <v>7242</v>
      </c>
      <c r="IPX1" s="331" t="s">
        <v>7243</v>
      </c>
      <c r="IPY1" s="331" t="s">
        <v>7244</v>
      </c>
      <c r="IPZ1" s="331" t="s">
        <v>7245</v>
      </c>
      <c r="IQA1" s="331" t="s">
        <v>7246</v>
      </c>
      <c r="IQB1" s="331" t="s">
        <v>7247</v>
      </c>
      <c r="IQC1" s="331" t="s">
        <v>7248</v>
      </c>
      <c r="IQD1" s="331" t="s">
        <v>7249</v>
      </c>
      <c r="IQE1" s="331" t="s">
        <v>7250</v>
      </c>
      <c r="IQF1" s="331" t="s">
        <v>7251</v>
      </c>
      <c r="IQG1" s="331" t="s">
        <v>7252</v>
      </c>
      <c r="IQH1" s="331" t="s">
        <v>7253</v>
      </c>
      <c r="IQI1" s="331" t="s">
        <v>7254</v>
      </c>
      <c r="IQJ1" s="331" t="s">
        <v>7255</v>
      </c>
      <c r="IQK1" s="331" t="s">
        <v>7256</v>
      </c>
      <c r="IQL1" s="331" t="s">
        <v>7257</v>
      </c>
      <c r="IQM1" s="331" t="s">
        <v>7258</v>
      </c>
      <c r="IQN1" s="331" t="s">
        <v>7259</v>
      </c>
      <c r="IQO1" s="331" t="s">
        <v>7260</v>
      </c>
      <c r="IQP1" s="331" t="s">
        <v>7261</v>
      </c>
      <c r="IQQ1" s="331" t="s">
        <v>7262</v>
      </c>
      <c r="IQR1" s="331" t="s">
        <v>7263</v>
      </c>
      <c r="IQS1" s="331" t="s">
        <v>7264</v>
      </c>
      <c r="IQT1" s="331" t="s">
        <v>7265</v>
      </c>
      <c r="IQU1" s="331" t="s">
        <v>7266</v>
      </c>
      <c r="IQV1" s="331" t="s">
        <v>7267</v>
      </c>
      <c r="IQW1" s="331" t="s">
        <v>7268</v>
      </c>
      <c r="IQX1" s="331" t="s">
        <v>7269</v>
      </c>
      <c r="IQY1" s="331" t="s">
        <v>7270</v>
      </c>
      <c r="IQZ1" s="331" t="s">
        <v>7271</v>
      </c>
      <c r="IRA1" s="331" t="s">
        <v>7272</v>
      </c>
      <c r="IRB1" s="331" t="s">
        <v>7273</v>
      </c>
      <c r="IRC1" s="331" t="s">
        <v>7274</v>
      </c>
      <c r="IRD1" s="331" t="s">
        <v>7275</v>
      </c>
      <c r="IRE1" s="331" t="s">
        <v>7276</v>
      </c>
      <c r="IRF1" s="331" t="s">
        <v>7277</v>
      </c>
      <c r="IRG1" s="331" t="s">
        <v>7278</v>
      </c>
      <c r="IRH1" s="331" t="s">
        <v>7279</v>
      </c>
      <c r="IRI1" s="331" t="s">
        <v>7280</v>
      </c>
      <c r="IRJ1" s="331" t="s">
        <v>7281</v>
      </c>
      <c r="IRK1" s="331" t="s">
        <v>7282</v>
      </c>
      <c r="IRL1" s="331" t="s">
        <v>7283</v>
      </c>
      <c r="IRM1" s="331" t="s">
        <v>7284</v>
      </c>
      <c r="IRN1" s="331" t="s">
        <v>7285</v>
      </c>
      <c r="IRO1" s="331" t="s">
        <v>7286</v>
      </c>
      <c r="IRP1" s="331" t="s">
        <v>7287</v>
      </c>
      <c r="IRQ1" s="331" t="s">
        <v>7288</v>
      </c>
      <c r="IRR1" s="331" t="s">
        <v>7289</v>
      </c>
      <c r="IRS1" s="331" t="s">
        <v>7290</v>
      </c>
      <c r="IRT1" s="331" t="s">
        <v>7291</v>
      </c>
      <c r="IRU1" s="331" t="s">
        <v>7292</v>
      </c>
      <c r="IRV1" s="331" t="s">
        <v>7293</v>
      </c>
      <c r="IRW1" s="331" t="s">
        <v>7294</v>
      </c>
      <c r="IRX1" s="331" t="s">
        <v>7295</v>
      </c>
      <c r="IRY1" s="331" t="s">
        <v>7296</v>
      </c>
      <c r="IRZ1" s="331" t="s">
        <v>7297</v>
      </c>
      <c r="ISA1" s="331" t="s">
        <v>7298</v>
      </c>
      <c r="ISB1" s="331" t="s">
        <v>7299</v>
      </c>
      <c r="ISC1" s="331" t="s">
        <v>7300</v>
      </c>
      <c r="ISD1" s="331" t="s">
        <v>7301</v>
      </c>
      <c r="ISE1" s="331" t="s">
        <v>7302</v>
      </c>
      <c r="ISF1" s="331" t="s">
        <v>7303</v>
      </c>
      <c r="ISG1" s="331" t="s">
        <v>7304</v>
      </c>
      <c r="ISH1" s="331" t="s">
        <v>7305</v>
      </c>
      <c r="ISI1" s="331" t="s">
        <v>7306</v>
      </c>
      <c r="ISJ1" s="331" t="s">
        <v>7307</v>
      </c>
      <c r="ISK1" s="331" t="s">
        <v>7308</v>
      </c>
      <c r="ISL1" s="331" t="s">
        <v>7309</v>
      </c>
      <c r="ISM1" s="331" t="s">
        <v>7310</v>
      </c>
      <c r="ISN1" s="331" t="s">
        <v>7311</v>
      </c>
      <c r="ISO1" s="331" t="s">
        <v>7312</v>
      </c>
      <c r="ISP1" s="331" t="s">
        <v>7313</v>
      </c>
      <c r="ISQ1" s="331" t="s">
        <v>7314</v>
      </c>
      <c r="ISR1" s="331" t="s">
        <v>7315</v>
      </c>
      <c r="ISS1" s="331" t="s">
        <v>7316</v>
      </c>
      <c r="IST1" s="331" t="s">
        <v>7317</v>
      </c>
      <c r="ISU1" s="331" t="s">
        <v>7318</v>
      </c>
      <c r="ISV1" s="331" t="s">
        <v>7319</v>
      </c>
      <c r="ISW1" s="331" t="s">
        <v>7320</v>
      </c>
      <c r="ISX1" s="331" t="s">
        <v>7321</v>
      </c>
      <c r="ISY1" s="331" t="s">
        <v>7322</v>
      </c>
      <c r="ISZ1" s="331" t="s">
        <v>7323</v>
      </c>
      <c r="ITA1" s="331" t="s">
        <v>7324</v>
      </c>
      <c r="ITB1" s="331" t="s">
        <v>7325</v>
      </c>
      <c r="ITC1" s="331" t="s">
        <v>7326</v>
      </c>
      <c r="ITD1" s="331" t="s">
        <v>7327</v>
      </c>
      <c r="ITE1" s="331" t="s">
        <v>7328</v>
      </c>
      <c r="ITF1" s="331" t="s">
        <v>7329</v>
      </c>
      <c r="ITG1" s="331" t="s">
        <v>7330</v>
      </c>
      <c r="ITH1" s="331" t="s">
        <v>7331</v>
      </c>
      <c r="ITI1" s="331" t="s">
        <v>7332</v>
      </c>
      <c r="ITJ1" s="331" t="s">
        <v>7333</v>
      </c>
      <c r="ITK1" s="331" t="s">
        <v>7334</v>
      </c>
      <c r="ITL1" s="331" t="s">
        <v>7335</v>
      </c>
      <c r="ITM1" s="331" t="s">
        <v>7336</v>
      </c>
      <c r="ITN1" s="331" t="s">
        <v>7337</v>
      </c>
      <c r="ITO1" s="331" t="s">
        <v>7338</v>
      </c>
      <c r="ITP1" s="331" t="s">
        <v>7339</v>
      </c>
      <c r="ITQ1" s="331" t="s">
        <v>7340</v>
      </c>
      <c r="ITR1" s="331" t="s">
        <v>7341</v>
      </c>
      <c r="ITS1" s="331" t="s">
        <v>7342</v>
      </c>
      <c r="ITT1" s="331" t="s">
        <v>7343</v>
      </c>
      <c r="ITU1" s="331" t="s">
        <v>7344</v>
      </c>
      <c r="ITV1" s="331" t="s">
        <v>7345</v>
      </c>
      <c r="ITW1" s="331" t="s">
        <v>7346</v>
      </c>
      <c r="ITX1" s="331" t="s">
        <v>7347</v>
      </c>
      <c r="ITY1" s="331" t="s">
        <v>7348</v>
      </c>
      <c r="ITZ1" s="331" t="s">
        <v>7349</v>
      </c>
      <c r="IUA1" s="331" t="s">
        <v>7350</v>
      </c>
      <c r="IUB1" s="331" t="s">
        <v>7351</v>
      </c>
      <c r="IUC1" s="331" t="s">
        <v>7352</v>
      </c>
      <c r="IUD1" s="331" t="s">
        <v>7353</v>
      </c>
      <c r="IUE1" s="331" t="s">
        <v>7354</v>
      </c>
      <c r="IUF1" s="331" t="s">
        <v>7355</v>
      </c>
      <c r="IUG1" s="331" t="s">
        <v>7356</v>
      </c>
      <c r="IUH1" s="331" t="s">
        <v>7357</v>
      </c>
      <c r="IUI1" s="331" t="s">
        <v>7358</v>
      </c>
      <c r="IUJ1" s="331" t="s">
        <v>7359</v>
      </c>
      <c r="IUK1" s="331" t="s">
        <v>7360</v>
      </c>
      <c r="IUL1" s="331" t="s">
        <v>7361</v>
      </c>
      <c r="IUM1" s="331" t="s">
        <v>7362</v>
      </c>
      <c r="IUN1" s="331" t="s">
        <v>7363</v>
      </c>
      <c r="IUO1" s="331" t="s">
        <v>7364</v>
      </c>
      <c r="IUP1" s="331" t="s">
        <v>7365</v>
      </c>
      <c r="IUQ1" s="331" t="s">
        <v>7366</v>
      </c>
      <c r="IUR1" s="331" t="s">
        <v>7367</v>
      </c>
      <c r="IUS1" s="331" t="s">
        <v>7368</v>
      </c>
      <c r="IUT1" s="331" t="s">
        <v>7369</v>
      </c>
      <c r="IUU1" s="331" t="s">
        <v>7370</v>
      </c>
      <c r="IUV1" s="331" t="s">
        <v>7371</v>
      </c>
      <c r="IUW1" s="331" t="s">
        <v>7372</v>
      </c>
      <c r="IUX1" s="331" t="s">
        <v>7373</v>
      </c>
      <c r="IUY1" s="331" t="s">
        <v>7374</v>
      </c>
      <c r="IUZ1" s="331" t="s">
        <v>7375</v>
      </c>
      <c r="IVA1" s="331" t="s">
        <v>7376</v>
      </c>
      <c r="IVB1" s="331" t="s">
        <v>7377</v>
      </c>
      <c r="IVC1" s="331" t="s">
        <v>7378</v>
      </c>
      <c r="IVD1" s="331" t="s">
        <v>7379</v>
      </c>
      <c r="IVE1" s="331" t="s">
        <v>7380</v>
      </c>
      <c r="IVF1" s="331" t="s">
        <v>7381</v>
      </c>
      <c r="IVG1" s="331" t="s">
        <v>7382</v>
      </c>
      <c r="IVH1" s="331" t="s">
        <v>7383</v>
      </c>
      <c r="IVI1" s="331" t="s">
        <v>7384</v>
      </c>
      <c r="IVJ1" s="331" t="s">
        <v>7385</v>
      </c>
      <c r="IVK1" s="331" t="s">
        <v>7386</v>
      </c>
      <c r="IVL1" s="331" t="s">
        <v>7387</v>
      </c>
      <c r="IVM1" s="331" t="s">
        <v>7388</v>
      </c>
      <c r="IVN1" s="331" t="s">
        <v>7389</v>
      </c>
      <c r="IVO1" s="331" t="s">
        <v>7390</v>
      </c>
      <c r="IVP1" s="331" t="s">
        <v>7391</v>
      </c>
      <c r="IVQ1" s="331" t="s">
        <v>7392</v>
      </c>
      <c r="IVR1" s="331" t="s">
        <v>7393</v>
      </c>
      <c r="IVS1" s="331" t="s">
        <v>7394</v>
      </c>
      <c r="IVT1" s="331" t="s">
        <v>7395</v>
      </c>
      <c r="IVU1" s="331" t="s">
        <v>7396</v>
      </c>
      <c r="IVV1" s="331" t="s">
        <v>7397</v>
      </c>
      <c r="IVW1" s="331" t="s">
        <v>7398</v>
      </c>
      <c r="IVX1" s="331" t="s">
        <v>7399</v>
      </c>
      <c r="IVY1" s="331" t="s">
        <v>7400</v>
      </c>
      <c r="IVZ1" s="331" t="s">
        <v>7401</v>
      </c>
      <c r="IWA1" s="331" t="s">
        <v>7402</v>
      </c>
      <c r="IWB1" s="331" t="s">
        <v>7403</v>
      </c>
      <c r="IWC1" s="331" t="s">
        <v>7404</v>
      </c>
      <c r="IWD1" s="331" t="s">
        <v>7405</v>
      </c>
      <c r="IWE1" s="331" t="s">
        <v>7406</v>
      </c>
      <c r="IWF1" s="331" t="s">
        <v>7407</v>
      </c>
      <c r="IWG1" s="331" t="s">
        <v>7408</v>
      </c>
      <c r="IWH1" s="331" t="s">
        <v>7409</v>
      </c>
      <c r="IWI1" s="331" t="s">
        <v>7410</v>
      </c>
      <c r="IWJ1" s="331" t="s">
        <v>7411</v>
      </c>
      <c r="IWK1" s="331" t="s">
        <v>7412</v>
      </c>
      <c r="IWL1" s="331" t="s">
        <v>7413</v>
      </c>
      <c r="IWM1" s="331" t="s">
        <v>7414</v>
      </c>
      <c r="IWN1" s="331" t="s">
        <v>7415</v>
      </c>
      <c r="IWO1" s="331" t="s">
        <v>7416</v>
      </c>
      <c r="IWP1" s="331" t="s">
        <v>7417</v>
      </c>
      <c r="IWQ1" s="331" t="s">
        <v>7418</v>
      </c>
      <c r="IWR1" s="331" t="s">
        <v>7419</v>
      </c>
      <c r="IWS1" s="331" t="s">
        <v>7420</v>
      </c>
      <c r="IWT1" s="331" t="s">
        <v>7421</v>
      </c>
      <c r="IWU1" s="331" t="s">
        <v>7422</v>
      </c>
      <c r="IWV1" s="331" t="s">
        <v>7423</v>
      </c>
      <c r="IWW1" s="331" t="s">
        <v>7424</v>
      </c>
      <c r="IWX1" s="331" t="s">
        <v>7425</v>
      </c>
      <c r="IWY1" s="331" t="s">
        <v>7426</v>
      </c>
      <c r="IWZ1" s="331" t="s">
        <v>7427</v>
      </c>
      <c r="IXA1" s="331" t="s">
        <v>7428</v>
      </c>
      <c r="IXB1" s="331" t="s">
        <v>7429</v>
      </c>
      <c r="IXC1" s="331" t="s">
        <v>7430</v>
      </c>
      <c r="IXD1" s="331" t="s">
        <v>7431</v>
      </c>
      <c r="IXE1" s="331" t="s">
        <v>7432</v>
      </c>
      <c r="IXF1" s="331" t="s">
        <v>7433</v>
      </c>
      <c r="IXG1" s="331" t="s">
        <v>7434</v>
      </c>
      <c r="IXH1" s="331" t="s">
        <v>7435</v>
      </c>
      <c r="IXI1" s="331" t="s">
        <v>7436</v>
      </c>
      <c r="IXJ1" s="331" t="s">
        <v>7437</v>
      </c>
      <c r="IXK1" s="331" t="s">
        <v>7438</v>
      </c>
      <c r="IXL1" s="331" t="s">
        <v>7439</v>
      </c>
      <c r="IXM1" s="331" t="s">
        <v>7440</v>
      </c>
      <c r="IXN1" s="331" t="s">
        <v>7441</v>
      </c>
      <c r="IXO1" s="331" t="s">
        <v>7442</v>
      </c>
      <c r="IXP1" s="331" t="s">
        <v>7443</v>
      </c>
      <c r="IXQ1" s="331" t="s">
        <v>7444</v>
      </c>
      <c r="IXR1" s="331" t="s">
        <v>7445</v>
      </c>
      <c r="IXS1" s="331" t="s">
        <v>7446</v>
      </c>
      <c r="IXT1" s="331" t="s">
        <v>7447</v>
      </c>
      <c r="IXU1" s="331" t="s">
        <v>7448</v>
      </c>
      <c r="IXV1" s="331" t="s">
        <v>7449</v>
      </c>
      <c r="IXW1" s="331" t="s">
        <v>7450</v>
      </c>
      <c r="IXX1" s="331" t="s">
        <v>7451</v>
      </c>
      <c r="IXY1" s="331" t="s">
        <v>7452</v>
      </c>
      <c r="IXZ1" s="331" t="s">
        <v>7453</v>
      </c>
      <c r="IYA1" s="331" t="s">
        <v>7454</v>
      </c>
      <c r="IYB1" s="331" t="s">
        <v>7455</v>
      </c>
      <c r="IYC1" s="331" t="s">
        <v>7456</v>
      </c>
      <c r="IYD1" s="331" t="s">
        <v>7457</v>
      </c>
      <c r="IYE1" s="331" t="s">
        <v>7458</v>
      </c>
      <c r="IYF1" s="331" t="s">
        <v>7459</v>
      </c>
      <c r="IYG1" s="331" t="s">
        <v>7460</v>
      </c>
      <c r="IYH1" s="331" t="s">
        <v>7461</v>
      </c>
      <c r="IYI1" s="331" t="s">
        <v>7462</v>
      </c>
      <c r="IYJ1" s="331" t="s">
        <v>7463</v>
      </c>
      <c r="IYK1" s="331" t="s">
        <v>7464</v>
      </c>
      <c r="IYL1" s="331" t="s">
        <v>7465</v>
      </c>
      <c r="IYM1" s="331" t="s">
        <v>7466</v>
      </c>
      <c r="IYN1" s="331" t="s">
        <v>7467</v>
      </c>
      <c r="IYO1" s="331" t="s">
        <v>7468</v>
      </c>
      <c r="IYP1" s="331" t="s">
        <v>7469</v>
      </c>
      <c r="IYQ1" s="331" t="s">
        <v>7470</v>
      </c>
      <c r="IYR1" s="331" t="s">
        <v>7471</v>
      </c>
      <c r="IYS1" s="331" t="s">
        <v>7472</v>
      </c>
      <c r="IYT1" s="331" t="s">
        <v>7473</v>
      </c>
      <c r="IYU1" s="331" t="s">
        <v>7474</v>
      </c>
      <c r="IYV1" s="331" t="s">
        <v>7475</v>
      </c>
      <c r="IYW1" s="331" t="s">
        <v>7476</v>
      </c>
      <c r="IYX1" s="331" t="s">
        <v>7477</v>
      </c>
      <c r="IYY1" s="331" t="s">
        <v>7478</v>
      </c>
      <c r="IYZ1" s="331" t="s">
        <v>7479</v>
      </c>
      <c r="IZA1" s="331" t="s">
        <v>7480</v>
      </c>
      <c r="IZB1" s="331" t="s">
        <v>7481</v>
      </c>
      <c r="IZC1" s="331" t="s">
        <v>7482</v>
      </c>
      <c r="IZD1" s="331" t="s">
        <v>7483</v>
      </c>
      <c r="IZE1" s="331" t="s">
        <v>7484</v>
      </c>
      <c r="IZF1" s="331" t="s">
        <v>7485</v>
      </c>
      <c r="IZG1" s="331" t="s">
        <v>7486</v>
      </c>
      <c r="IZH1" s="331" t="s">
        <v>7487</v>
      </c>
      <c r="IZI1" s="331" t="s">
        <v>7488</v>
      </c>
      <c r="IZJ1" s="331" t="s">
        <v>7489</v>
      </c>
      <c r="IZK1" s="331" t="s">
        <v>7490</v>
      </c>
      <c r="IZL1" s="331" t="s">
        <v>7491</v>
      </c>
      <c r="IZM1" s="331" t="s">
        <v>7492</v>
      </c>
      <c r="IZN1" s="331" t="s">
        <v>7493</v>
      </c>
      <c r="IZO1" s="331" t="s">
        <v>7494</v>
      </c>
      <c r="IZP1" s="331" t="s">
        <v>7495</v>
      </c>
      <c r="IZQ1" s="331" t="s">
        <v>7496</v>
      </c>
      <c r="IZR1" s="331" t="s">
        <v>7497</v>
      </c>
      <c r="IZS1" s="331" t="s">
        <v>7498</v>
      </c>
      <c r="IZT1" s="331" t="s">
        <v>7499</v>
      </c>
      <c r="IZU1" s="331" t="s">
        <v>7500</v>
      </c>
      <c r="IZV1" s="331" t="s">
        <v>7501</v>
      </c>
      <c r="IZW1" s="331" t="s">
        <v>7502</v>
      </c>
      <c r="IZX1" s="331" t="s">
        <v>7503</v>
      </c>
      <c r="IZY1" s="331" t="s">
        <v>7504</v>
      </c>
      <c r="IZZ1" s="331" t="s">
        <v>7505</v>
      </c>
      <c r="JAA1" s="331" t="s">
        <v>7506</v>
      </c>
      <c r="JAB1" s="331" t="s">
        <v>7507</v>
      </c>
      <c r="JAC1" s="331" t="s">
        <v>7508</v>
      </c>
      <c r="JAD1" s="331" t="s">
        <v>7509</v>
      </c>
      <c r="JAE1" s="331" t="s">
        <v>7510</v>
      </c>
      <c r="JAF1" s="331" t="s">
        <v>7511</v>
      </c>
      <c r="JAG1" s="331" t="s">
        <v>7512</v>
      </c>
      <c r="JAH1" s="331" t="s">
        <v>7513</v>
      </c>
      <c r="JAI1" s="331" t="s">
        <v>7514</v>
      </c>
      <c r="JAJ1" s="331" t="s">
        <v>7515</v>
      </c>
      <c r="JAK1" s="331" t="s">
        <v>7516</v>
      </c>
      <c r="JAL1" s="331" t="s">
        <v>7517</v>
      </c>
      <c r="JAM1" s="331" t="s">
        <v>7518</v>
      </c>
      <c r="JAN1" s="331" t="s">
        <v>7519</v>
      </c>
      <c r="JAO1" s="331" t="s">
        <v>7520</v>
      </c>
      <c r="JAP1" s="331" t="s">
        <v>7521</v>
      </c>
      <c r="JAQ1" s="331" t="s">
        <v>7522</v>
      </c>
      <c r="JAR1" s="331" t="s">
        <v>7523</v>
      </c>
      <c r="JAS1" s="331" t="s">
        <v>7524</v>
      </c>
      <c r="JAT1" s="331" t="s">
        <v>7525</v>
      </c>
      <c r="JAU1" s="331" t="s">
        <v>7526</v>
      </c>
      <c r="JAV1" s="331" t="s">
        <v>7527</v>
      </c>
      <c r="JAW1" s="331" t="s">
        <v>7528</v>
      </c>
      <c r="JAX1" s="331" t="s">
        <v>7529</v>
      </c>
      <c r="JAY1" s="331" t="s">
        <v>7530</v>
      </c>
      <c r="JAZ1" s="331" t="s">
        <v>7531</v>
      </c>
      <c r="JBA1" s="331" t="s">
        <v>7532</v>
      </c>
      <c r="JBB1" s="331" t="s">
        <v>7533</v>
      </c>
      <c r="JBC1" s="331" t="s">
        <v>7534</v>
      </c>
      <c r="JBD1" s="331" t="s">
        <v>7535</v>
      </c>
      <c r="JBE1" s="331" t="s">
        <v>7536</v>
      </c>
      <c r="JBF1" s="331" t="s">
        <v>7537</v>
      </c>
      <c r="JBG1" s="331" t="s">
        <v>7538</v>
      </c>
      <c r="JBH1" s="331" t="s">
        <v>7539</v>
      </c>
      <c r="JBI1" s="331" t="s">
        <v>7540</v>
      </c>
      <c r="JBJ1" s="331" t="s">
        <v>7541</v>
      </c>
      <c r="JBK1" s="331" t="s">
        <v>7542</v>
      </c>
      <c r="JBL1" s="331" t="s">
        <v>7543</v>
      </c>
      <c r="JBM1" s="331" t="s">
        <v>7544</v>
      </c>
      <c r="JBN1" s="331" t="s">
        <v>7545</v>
      </c>
      <c r="JBO1" s="331" t="s">
        <v>7546</v>
      </c>
      <c r="JBP1" s="331" t="s">
        <v>7547</v>
      </c>
      <c r="JBQ1" s="331" t="s">
        <v>7548</v>
      </c>
      <c r="JBR1" s="331" t="s">
        <v>7549</v>
      </c>
      <c r="JBS1" s="331" t="s">
        <v>7550</v>
      </c>
      <c r="JBT1" s="331" t="s">
        <v>7551</v>
      </c>
      <c r="JBU1" s="331" t="s">
        <v>7552</v>
      </c>
      <c r="JBV1" s="331" t="s">
        <v>7553</v>
      </c>
      <c r="JBW1" s="331" t="s">
        <v>7554</v>
      </c>
      <c r="JBX1" s="331" t="s">
        <v>7555</v>
      </c>
      <c r="JBY1" s="331" t="s">
        <v>7556</v>
      </c>
      <c r="JBZ1" s="331" t="s">
        <v>7557</v>
      </c>
      <c r="JCA1" s="331" t="s">
        <v>7558</v>
      </c>
      <c r="JCB1" s="331" t="s">
        <v>7559</v>
      </c>
      <c r="JCC1" s="331" t="s">
        <v>7560</v>
      </c>
      <c r="JCD1" s="331" t="s">
        <v>7561</v>
      </c>
      <c r="JCE1" s="331" t="s">
        <v>7562</v>
      </c>
      <c r="JCF1" s="331" t="s">
        <v>7563</v>
      </c>
      <c r="JCG1" s="331" t="s">
        <v>7564</v>
      </c>
      <c r="JCH1" s="331" t="s">
        <v>7565</v>
      </c>
      <c r="JCI1" s="331" t="s">
        <v>7566</v>
      </c>
      <c r="JCJ1" s="331" t="s">
        <v>7567</v>
      </c>
      <c r="JCK1" s="331" t="s">
        <v>7568</v>
      </c>
      <c r="JCL1" s="331" t="s">
        <v>7569</v>
      </c>
      <c r="JCM1" s="331" t="s">
        <v>7570</v>
      </c>
      <c r="JCN1" s="331" t="s">
        <v>7571</v>
      </c>
      <c r="JCO1" s="331" t="s">
        <v>7572</v>
      </c>
      <c r="JCP1" s="331" t="s">
        <v>7573</v>
      </c>
      <c r="JCQ1" s="331" t="s">
        <v>7574</v>
      </c>
      <c r="JCR1" s="331" t="s">
        <v>7575</v>
      </c>
      <c r="JCS1" s="331" t="s">
        <v>7576</v>
      </c>
      <c r="JCT1" s="331" t="s">
        <v>7577</v>
      </c>
      <c r="JCU1" s="331" t="s">
        <v>7578</v>
      </c>
      <c r="JCV1" s="331" t="s">
        <v>7579</v>
      </c>
      <c r="JCW1" s="331" t="s">
        <v>7580</v>
      </c>
      <c r="JCX1" s="331" t="s">
        <v>7581</v>
      </c>
      <c r="JCY1" s="331" t="s">
        <v>7582</v>
      </c>
      <c r="JCZ1" s="331" t="s">
        <v>7583</v>
      </c>
      <c r="JDA1" s="331" t="s">
        <v>7584</v>
      </c>
      <c r="JDB1" s="331" t="s">
        <v>7585</v>
      </c>
      <c r="JDC1" s="331" t="s">
        <v>7586</v>
      </c>
      <c r="JDD1" s="331" t="s">
        <v>7587</v>
      </c>
      <c r="JDE1" s="331" t="s">
        <v>7588</v>
      </c>
      <c r="JDF1" s="331" t="s">
        <v>7589</v>
      </c>
      <c r="JDG1" s="331" t="s">
        <v>7590</v>
      </c>
      <c r="JDH1" s="331" t="s">
        <v>7591</v>
      </c>
      <c r="JDI1" s="331" t="s">
        <v>7592</v>
      </c>
      <c r="JDJ1" s="331" t="s">
        <v>7593</v>
      </c>
      <c r="JDK1" s="331" t="s">
        <v>7594</v>
      </c>
      <c r="JDL1" s="331" t="s">
        <v>7595</v>
      </c>
      <c r="JDM1" s="331" t="s">
        <v>7596</v>
      </c>
      <c r="JDN1" s="331" t="s">
        <v>7597</v>
      </c>
      <c r="JDO1" s="331" t="s">
        <v>7598</v>
      </c>
      <c r="JDP1" s="331" t="s">
        <v>7599</v>
      </c>
      <c r="JDQ1" s="331" t="s">
        <v>7600</v>
      </c>
      <c r="JDR1" s="331" t="s">
        <v>7601</v>
      </c>
      <c r="JDS1" s="331" t="s">
        <v>7602</v>
      </c>
      <c r="JDT1" s="331" t="s">
        <v>7603</v>
      </c>
      <c r="JDU1" s="331" t="s">
        <v>7604</v>
      </c>
      <c r="JDV1" s="331" t="s">
        <v>7605</v>
      </c>
      <c r="JDW1" s="331" t="s">
        <v>7606</v>
      </c>
      <c r="JDX1" s="331" t="s">
        <v>7607</v>
      </c>
      <c r="JDY1" s="331" t="s">
        <v>7608</v>
      </c>
      <c r="JDZ1" s="331" t="s">
        <v>7609</v>
      </c>
      <c r="JEA1" s="331" t="s">
        <v>7610</v>
      </c>
      <c r="JEB1" s="331" t="s">
        <v>7611</v>
      </c>
      <c r="JEC1" s="331" t="s">
        <v>7612</v>
      </c>
      <c r="JED1" s="331" t="s">
        <v>7613</v>
      </c>
      <c r="JEE1" s="331" t="s">
        <v>7614</v>
      </c>
      <c r="JEF1" s="331" t="s">
        <v>7615</v>
      </c>
      <c r="JEG1" s="331" t="s">
        <v>7616</v>
      </c>
      <c r="JEH1" s="331" t="s">
        <v>7617</v>
      </c>
      <c r="JEI1" s="331" t="s">
        <v>7618</v>
      </c>
      <c r="JEJ1" s="331" t="s">
        <v>7619</v>
      </c>
      <c r="JEK1" s="331" t="s">
        <v>7620</v>
      </c>
      <c r="JEL1" s="331" t="s">
        <v>7621</v>
      </c>
      <c r="JEM1" s="331" t="s">
        <v>7622</v>
      </c>
      <c r="JEN1" s="331" t="s">
        <v>7623</v>
      </c>
      <c r="JEO1" s="331" t="s">
        <v>7624</v>
      </c>
      <c r="JEP1" s="331" t="s">
        <v>7625</v>
      </c>
      <c r="JEQ1" s="331" t="s">
        <v>7626</v>
      </c>
      <c r="JER1" s="331" t="s">
        <v>7627</v>
      </c>
      <c r="JES1" s="331" t="s">
        <v>7628</v>
      </c>
      <c r="JET1" s="331" t="s">
        <v>7629</v>
      </c>
      <c r="JEU1" s="331" t="s">
        <v>7630</v>
      </c>
      <c r="JEV1" s="331" t="s">
        <v>7631</v>
      </c>
      <c r="JEW1" s="331" t="s">
        <v>7632</v>
      </c>
      <c r="JEX1" s="331" t="s">
        <v>7633</v>
      </c>
      <c r="JEY1" s="331" t="s">
        <v>7634</v>
      </c>
      <c r="JEZ1" s="331" t="s">
        <v>7635</v>
      </c>
      <c r="JFA1" s="331" t="s">
        <v>7636</v>
      </c>
      <c r="JFB1" s="331" t="s">
        <v>7637</v>
      </c>
      <c r="JFC1" s="331" t="s">
        <v>7638</v>
      </c>
      <c r="JFD1" s="331" t="s">
        <v>7639</v>
      </c>
      <c r="JFE1" s="331" t="s">
        <v>7640</v>
      </c>
      <c r="JFF1" s="331" t="s">
        <v>7641</v>
      </c>
      <c r="JFG1" s="331" t="s">
        <v>7642</v>
      </c>
      <c r="JFH1" s="331" t="s">
        <v>7643</v>
      </c>
      <c r="JFI1" s="331" t="s">
        <v>7644</v>
      </c>
      <c r="JFJ1" s="331" t="s">
        <v>7645</v>
      </c>
      <c r="JFK1" s="331" t="s">
        <v>7646</v>
      </c>
      <c r="JFL1" s="331" t="s">
        <v>7647</v>
      </c>
      <c r="JFM1" s="331" t="s">
        <v>7648</v>
      </c>
      <c r="JFN1" s="331" t="s">
        <v>7649</v>
      </c>
      <c r="JFO1" s="331" t="s">
        <v>7650</v>
      </c>
      <c r="JFP1" s="331" t="s">
        <v>7651</v>
      </c>
      <c r="JFQ1" s="331" t="s">
        <v>7652</v>
      </c>
      <c r="JFR1" s="331" t="s">
        <v>7653</v>
      </c>
      <c r="JFS1" s="331" t="s">
        <v>7654</v>
      </c>
      <c r="JFT1" s="331" t="s">
        <v>7655</v>
      </c>
      <c r="JFU1" s="331" t="s">
        <v>7656</v>
      </c>
      <c r="JFV1" s="331" t="s">
        <v>7657</v>
      </c>
      <c r="JFW1" s="331" t="s">
        <v>7658</v>
      </c>
      <c r="JFX1" s="331" t="s">
        <v>7659</v>
      </c>
      <c r="JFY1" s="331" t="s">
        <v>7660</v>
      </c>
      <c r="JFZ1" s="331" t="s">
        <v>7661</v>
      </c>
      <c r="JGA1" s="331" t="s">
        <v>7662</v>
      </c>
      <c r="JGB1" s="331" t="s">
        <v>7663</v>
      </c>
      <c r="JGC1" s="331" t="s">
        <v>7664</v>
      </c>
      <c r="JGD1" s="331" t="s">
        <v>7665</v>
      </c>
      <c r="JGE1" s="331" t="s">
        <v>7666</v>
      </c>
      <c r="JGF1" s="331" t="s">
        <v>7667</v>
      </c>
      <c r="JGG1" s="331" t="s">
        <v>7668</v>
      </c>
      <c r="JGH1" s="331" t="s">
        <v>7669</v>
      </c>
      <c r="JGI1" s="331" t="s">
        <v>7670</v>
      </c>
      <c r="JGJ1" s="331" t="s">
        <v>7671</v>
      </c>
      <c r="JGK1" s="331" t="s">
        <v>7672</v>
      </c>
      <c r="JGL1" s="331" t="s">
        <v>7673</v>
      </c>
      <c r="JGM1" s="331" t="s">
        <v>7674</v>
      </c>
      <c r="JGN1" s="331" t="s">
        <v>7675</v>
      </c>
      <c r="JGO1" s="331" t="s">
        <v>7676</v>
      </c>
      <c r="JGP1" s="331" t="s">
        <v>7677</v>
      </c>
      <c r="JGQ1" s="331" t="s">
        <v>7678</v>
      </c>
      <c r="JGR1" s="331" t="s">
        <v>7679</v>
      </c>
      <c r="JGS1" s="331" t="s">
        <v>7680</v>
      </c>
      <c r="JGT1" s="331" t="s">
        <v>7681</v>
      </c>
      <c r="JGU1" s="331" t="s">
        <v>7682</v>
      </c>
      <c r="JGV1" s="331" t="s">
        <v>7683</v>
      </c>
      <c r="JGW1" s="331" t="s">
        <v>7684</v>
      </c>
      <c r="JGX1" s="331" t="s">
        <v>7685</v>
      </c>
      <c r="JGY1" s="331" t="s">
        <v>7686</v>
      </c>
      <c r="JGZ1" s="331" t="s">
        <v>7687</v>
      </c>
      <c r="JHA1" s="331" t="s">
        <v>7688</v>
      </c>
      <c r="JHB1" s="331" t="s">
        <v>7689</v>
      </c>
      <c r="JHC1" s="331" t="s">
        <v>7690</v>
      </c>
      <c r="JHD1" s="331" t="s">
        <v>7691</v>
      </c>
      <c r="JHE1" s="331" t="s">
        <v>7692</v>
      </c>
      <c r="JHF1" s="331" t="s">
        <v>7693</v>
      </c>
      <c r="JHG1" s="331" t="s">
        <v>7694</v>
      </c>
      <c r="JHH1" s="331" t="s">
        <v>7695</v>
      </c>
      <c r="JHI1" s="331" t="s">
        <v>7696</v>
      </c>
      <c r="JHJ1" s="331" t="s">
        <v>7697</v>
      </c>
      <c r="JHK1" s="331" t="s">
        <v>7698</v>
      </c>
      <c r="JHL1" s="331" t="s">
        <v>7699</v>
      </c>
      <c r="JHM1" s="331" t="s">
        <v>7700</v>
      </c>
      <c r="JHN1" s="331" t="s">
        <v>7701</v>
      </c>
      <c r="JHO1" s="331" t="s">
        <v>7702</v>
      </c>
      <c r="JHP1" s="331" t="s">
        <v>7703</v>
      </c>
      <c r="JHQ1" s="331" t="s">
        <v>7704</v>
      </c>
      <c r="JHR1" s="331" t="s">
        <v>7705</v>
      </c>
      <c r="JHS1" s="331" t="s">
        <v>7706</v>
      </c>
      <c r="JHT1" s="331" t="s">
        <v>7707</v>
      </c>
      <c r="JHU1" s="331" t="s">
        <v>7708</v>
      </c>
      <c r="JHV1" s="331" t="s">
        <v>7709</v>
      </c>
      <c r="JHW1" s="331" t="s">
        <v>7710</v>
      </c>
      <c r="JHX1" s="331" t="s">
        <v>7711</v>
      </c>
      <c r="JHY1" s="331" t="s">
        <v>7712</v>
      </c>
      <c r="JHZ1" s="331" t="s">
        <v>7713</v>
      </c>
      <c r="JIA1" s="331" t="s">
        <v>7714</v>
      </c>
      <c r="JIB1" s="331" t="s">
        <v>7715</v>
      </c>
      <c r="JIC1" s="331" t="s">
        <v>7716</v>
      </c>
      <c r="JID1" s="331" t="s">
        <v>7717</v>
      </c>
      <c r="JIE1" s="331" t="s">
        <v>7718</v>
      </c>
      <c r="JIF1" s="331" t="s">
        <v>7719</v>
      </c>
      <c r="JIG1" s="331" t="s">
        <v>7720</v>
      </c>
      <c r="JIH1" s="331" t="s">
        <v>7721</v>
      </c>
      <c r="JII1" s="331" t="s">
        <v>7722</v>
      </c>
      <c r="JIJ1" s="331" t="s">
        <v>7723</v>
      </c>
      <c r="JIK1" s="331" t="s">
        <v>7724</v>
      </c>
      <c r="JIL1" s="331" t="s">
        <v>7725</v>
      </c>
      <c r="JIM1" s="331" t="s">
        <v>7726</v>
      </c>
      <c r="JIN1" s="331" t="s">
        <v>7727</v>
      </c>
      <c r="JIO1" s="331" t="s">
        <v>7728</v>
      </c>
      <c r="JIP1" s="331" t="s">
        <v>7729</v>
      </c>
      <c r="JIQ1" s="331" t="s">
        <v>7730</v>
      </c>
      <c r="JIR1" s="331" t="s">
        <v>7731</v>
      </c>
      <c r="JIS1" s="331" t="s">
        <v>7732</v>
      </c>
      <c r="JIT1" s="331" t="s">
        <v>7733</v>
      </c>
      <c r="JIU1" s="331" t="s">
        <v>7734</v>
      </c>
      <c r="JIV1" s="331" t="s">
        <v>7735</v>
      </c>
      <c r="JIW1" s="331" t="s">
        <v>7736</v>
      </c>
      <c r="JIX1" s="331" t="s">
        <v>7737</v>
      </c>
      <c r="JIY1" s="331" t="s">
        <v>7738</v>
      </c>
      <c r="JIZ1" s="331" t="s">
        <v>7739</v>
      </c>
      <c r="JJA1" s="331" t="s">
        <v>7740</v>
      </c>
      <c r="JJB1" s="331" t="s">
        <v>7741</v>
      </c>
      <c r="JJC1" s="331" t="s">
        <v>7742</v>
      </c>
      <c r="JJD1" s="331" t="s">
        <v>7743</v>
      </c>
      <c r="JJE1" s="331" t="s">
        <v>7744</v>
      </c>
      <c r="JJF1" s="331" t="s">
        <v>7745</v>
      </c>
      <c r="JJG1" s="331" t="s">
        <v>7746</v>
      </c>
      <c r="JJH1" s="331" t="s">
        <v>7747</v>
      </c>
      <c r="JJI1" s="331" t="s">
        <v>7748</v>
      </c>
      <c r="JJJ1" s="331" t="s">
        <v>7749</v>
      </c>
      <c r="JJK1" s="331" t="s">
        <v>7750</v>
      </c>
      <c r="JJL1" s="331" t="s">
        <v>7751</v>
      </c>
      <c r="JJM1" s="331" t="s">
        <v>7752</v>
      </c>
      <c r="JJN1" s="331" t="s">
        <v>7753</v>
      </c>
      <c r="JJO1" s="331" t="s">
        <v>7754</v>
      </c>
      <c r="JJP1" s="331" t="s">
        <v>7755</v>
      </c>
      <c r="JJQ1" s="331" t="s">
        <v>7756</v>
      </c>
      <c r="JJR1" s="331" t="s">
        <v>7757</v>
      </c>
      <c r="JJS1" s="331" t="s">
        <v>7758</v>
      </c>
      <c r="JJT1" s="331" t="s">
        <v>7759</v>
      </c>
      <c r="JJU1" s="331" t="s">
        <v>7760</v>
      </c>
      <c r="JJV1" s="331" t="s">
        <v>7761</v>
      </c>
      <c r="JJW1" s="331" t="s">
        <v>7762</v>
      </c>
      <c r="JJX1" s="331" t="s">
        <v>7763</v>
      </c>
      <c r="JJY1" s="331" t="s">
        <v>7764</v>
      </c>
      <c r="JJZ1" s="331" t="s">
        <v>7765</v>
      </c>
      <c r="JKA1" s="331" t="s">
        <v>7766</v>
      </c>
      <c r="JKB1" s="331" t="s">
        <v>7767</v>
      </c>
      <c r="JKC1" s="331" t="s">
        <v>7768</v>
      </c>
      <c r="JKD1" s="331" t="s">
        <v>7769</v>
      </c>
      <c r="JKE1" s="331" t="s">
        <v>7770</v>
      </c>
      <c r="JKF1" s="331" t="s">
        <v>7771</v>
      </c>
      <c r="JKG1" s="331" t="s">
        <v>7772</v>
      </c>
      <c r="JKH1" s="331" t="s">
        <v>7773</v>
      </c>
      <c r="JKI1" s="331" t="s">
        <v>7774</v>
      </c>
      <c r="JKJ1" s="331" t="s">
        <v>7775</v>
      </c>
      <c r="JKK1" s="331" t="s">
        <v>7776</v>
      </c>
      <c r="JKL1" s="331" t="s">
        <v>7777</v>
      </c>
      <c r="JKM1" s="331" t="s">
        <v>7778</v>
      </c>
      <c r="JKN1" s="331" t="s">
        <v>7779</v>
      </c>
      <c r="JKO1" s="331" t="s">
        <v>7780</v>
      </c>
      <c r="JKP1" s="331" t="s">
        <v>7781</v>
      </c>
      <c r="JKQ1" s="331" t="s">
        <v>7782</v>
      </c>
      <c r="JKR1" s="331" t="s">
        <v>7783</v>
      </c>
      <c r="JKS1" s="331" t="s">
        <v>7784</v>
      </c>
      <c r="JKT1" s="331" t="s">
        <v>7785</v>
      </c>
      <c r="JKU1" s="331" t="s">
        <v>7786</v>
      </c>
      <c r="JKV1" s="331" t="s">
        <v>7787</v>
      </c>
      <c r="JKW1" s="331" t="s">
        <v>7788</v>
      </c>
      <c r="JKX1" s="331" t="s">
        <v>7789</v>
      </c>
      <c r="JKY1" s="331" t="s">
        <v>7790</v>
      </c>
      <c r="JKZ1" s="331" t="s">
        <v>7791</v>
      </c>
      <c r="JLA1" s="331" t="s">
        <v>7792</v>
      </c>
      <c r="JLB1" s="331" t="s">
        <v>7793</v>
      </c>
      <c r="JLC1" s="331" t="s">
        <v>7794</v>
      </c>
      <c r="JLD1" s="331" t="s">
        <v>7795</v>
      </c>
      <c r="JLE1" s="331" t="s">
        <v>7796</v>
      </c>
      <c r="JLF1" s="331" t="s">
        <v>7797</v>
      </c>
      <c r="JLG1" s="331" t="s">
        <v>7798</v>
      </c>
      <c r="JLH1" s="331" t="s">
        <v>7799</v>
      </c>
      <c r="JLI1" s="331" t="s">
        <v>7800</v>
      </c>
      <c r="JLJ1" s="331" t="s">
        <v>7801</v>
      </c>
      <c r="JLK1" s="331" t="s">
        <v>7802</v>
      </c>
      <c r="JLL1" s="331" t="s">
        <v>7803</v>
      </c>
      <c r="JLM1" s="331" t="s">
        <v>7804</v>
      </c>
      <c r="JLN1" s="331" t="s">
        <v>7805</v>
      </c>
      <c r="JLO1" s="331" t="s">
        <v>7806</v>
      </c>
      <c r="JLP1" s="331" t="s">
        <v>7807</v>
      </c>
      <c r="JLQ1" s="331" t="s">
        <v>7808</v>
      </c>
      <c r="JLR1" s="331" t="s">
        <v>7809</v>
      </c>
      <c r="JLS1" s="331" t="s">
        <v>7810</v>
      </c>
      <c r="JLT1" s="331" t="s">
        <v>7811</v>
      </c>
      <c r="JLU1" s="331" t="s">
        <v>7812</v>
      </c>
      <c r="JLV1" s="331" t="s">
        <v>7813</v>
      </c>
      <c r="JLW1" s="331" t="s">
        <v>7814</v>
      </c>
      <c r="JLX1" s="331" t="s">
        <v>7815</v>
      </c>
      <c r="JLY1" s="331" t="s">
        <v>7816</v>
      </c>
      <c r="JLZ1" s="331" t="s">
        <v>7817</v>
      </c>
      <c r="JMA1" s="331" t="s">
        <v>7818</v>
      </c>
      <c r="JMB1" s="331" t="s">
        <v>7819</v>
      </c>
      <c r="JMC1" s="331" t="s">
        <v>7820</v>
      </c>
      <c r="JMD1" s="331" t="s">
        <v>7821</v>
      </c>
      <c r="JME1" s="331" t="s">
        <v>7822</v>
      </c>
      <c r="JMF1" s="331" t="s">
        <v>7823</v>
      </c>
      <c r="JMG1" s="331" t="s">
        <v>7824</v>
      </c>
      <c r="JMH1" s="331" t="s">
        <v>7825</v>
      </c>
      <c r="JMI1" s="331" t="s">
        <v>7826</v>
      </c>
      <c r="JMJ1" s="331" t="s">
        <v>7827</v>
      </c>
      <c r="JMK1" s="331" t="s">
        <v>7828</v>
      </c>
      <c r="JML1" s="331" t="s">
        <v>7829</v>
      </c>
      <c r="JMM1" s="331" t="s">
        <v>7830</v>
      </c>
      <c r="JMN1" s="331" t="s">
        <v>7831</v>
      </c>
      <c r="JMO1" s="331" t="s">
        <v>7832</v>
      </c>
      <c r="JMP1" s="331" t="s">
        <v>7833</v>
      </c>
      <c r="JMQ1" s="331" t="s">
        <v>7834</v>
      </c>
      <c r="JMR1" s="331" t="s">
        <v>7835</v>
      </c>
      <c r="JMS1" s="331" t="s">
        <v>7836</v>
      </c>
      <c r="JMT1" s="331" t="s">
        <v>7837</v>
      </c>
      <c r="JMU1" s="331" t="s">
        <v>7838</v>
      </c>
      <c r="JMV1" s="331" t="s">
        <v>7839</v>
      </c>
      <c r="JMW1" s="331" t="s">
        <v>7840</v>
      </c>
      <c r="JMX1" s="331" t="s">
        <v>7841</v>
      </c>
      <c r="JMY1" s="331" t="s">
        <v>7842</v>
      </c>
      <c r="JMZ1" s="331" t="s">
        <v>7843</v>
      </c>
      <c r="JNA1" s="331" t="s">
        <v>7844</v>
      </c>
      <c r="JNB1" s="331" t="s">
        <v>7845</v>
      </c>
      <c r="JNC1" s="331" t="s">
        <v>7846</v>
      </c>
      <c r="JND1" s="331" t="s">
        <v>7847</v>
      </c>
      <c r="JNE1" s="331" t="s">
        <v>7848</v>
      </c>
      <c r="JNF1" s="331" t="s">
        <v>7849</v>
      </c>
      <c r="JNG1" s="331" t="s">
        <v>7850</v>
      </c>
      <c r="JNH1" s="331" t="s">
        <v>7851</v>
      </c>
      <c r="JNI1" s="331" t="s">
        <v>7852</v>
      </c>
      <c r="JNJ1" s="331" t="s">
        <v>7853</v>
      </c>
      <c r="JNK1" s="331" t="s">
        <v>7854</v>
      </c>
      <c r="JNL1" s="331" t="s">
        <v>7855</v>
      </c>
      <c r="JNM1" s="331" t="s">
        <v>7856</v>
      </c>
      <c r="JNN1" s="331" t="s">
        <v>7857</v>
      </c>
      <c r="JNO1" s="331" t="s">
        <v>7858</v>
      </c>
      <c r="JNP1" s="331" t="s">
        <v>7859</v>
      </c>
      <c r="JNQ1" s="331" t="s">
        <v>7860</v>
      </c>
      <c r="JNR1" s="331" t="s">
        <v>7861</v>
      </c>
      <c r="JNS1" s="331" t="s">
        <v>7862</v>
      </c>
      <c r="JNT1" s="331" t="s">
        <v>7863</v>
      </c>
      <c r="JNU1" s="331" t="s">
        <v>7864</v>
      </c>
      <c r="JNV1" s="331" t="s">
        <v>7865</v>
      </c>
      <c r="JNW1" s="331" t="s">
        <v>7866</v>
      </c>
      <c r="JNX1" s="331" t="s">
        <v>7867</v>
      </c>
      <c r="JNY1" s="331" t="s">
        <v>7868</v>
      </c>
      <c r="JNZ1" s="331" t="s">
        <v>7869</v>
      </c>
      <c r="JOA1" s="331" t="s">
        <v>7870</v>
      </c>
      <c r="JOB1" s="331" t="s">
        <v>7871</v>
      </c>
      <c r="JOC1" s="331" t="s">
        <v>7872</v>
      </c>
      <c r="JOD1" s="331" t="s">
        <v>7873</v>
      </c>
      <c r="JOE1" s="331" t="s">
        <v>7874</v>
      </c>
      <c r="JOF1" s="331" t="s">
        <v>7875</v>
      </c>
      <c r="JOG1" s="331" t="s">
        <v>7876</v>
      </c>
      <c r="JOH1" s="331" t="s">
        <v>7877</v>
      </c>
      <c r="JOI1" s="331" t="s">
        <v>7878</v>
      </c>
      <c r="JOJ1" s="331" t="s">
        <v>7879</v>
      </c>
      <c r="JOK1" s="331" t="s">
        <v>7880</v>
      </c>
      <c r="JOL1" s="331" t="s">
        <v>7881</v>
      </c>
      <c r="JOM1" s="331" t="s">
        <v>7882</v>
      </c>
      <c r="JON1" s="331" t="s">
        <v>7883</v>
      </c>
      <c r="JOO1" s="331" t="s">
        <v>7884</v>
      </c>
      <c r="JOP1" s="331" t="s">
        <v>7885</v>
      </c>
      <c r="JOQ1" s="331" t="s">
        <v>7886</v>
      </c>
      <c r="JOR1" s="331" t="s">
        <v>7887</v>
      </c>
      <c r="JOS1" s="331" t="s">
        <v>7888</v>
      </c>
      <c r="JOT1" s="331" t="s">
        <v>7889</v>
      </c>
      <c r="JOU1" s="331" t="s">
        <v>7890</v>
      </c>
      <c r="JOV1" s="331" t="s">
        <v>7891</v>
      </c>
      <c r="JOW1" s="331" t="s">
        <v>7892</v>
      </c>
      <c r="JOX1" s="331" t="s">
        <v>7893</v>
      </c>
      <c r="JOY1" s="331" t="s">
        <v>7894</v>
      </c>
      <c r="JOZ1" s="331" t="s">
        <v>7895</v>
      </c>
      <c r="JPA1" s="331" t="s">
        <v>7896</v>
      </c>
      <c r="JPB1" s="331" t="s">
        <v>7897</v>
      </c>
      <c r="JPC1" s="331" t="s">
        <v>7898</v>
      </c>
      <c r="JPD1" s="331" t="s">
        <v>7899</v>
      </c>
      <c r="JPE1" s="331" t="s">
        <v>7900</v>
      </c>
      <c r="JPF1" s="331" t="s">
        <v>7901</v>
      </c>
      <c r="JPG1" s="331" t="s">
        <v>7902</v>
      </c>
      <c r="JPH1" s="331" t="s">
        <v>7903</v>
      </c>
      <c r="JPI1" s="331" t="s">
        <v>7904</v>
      </c>
      <c r="JPJ1" s="331" t="s">
        <v>7905</v>
      </c>
      <c r="JPK1" s="331" t="s">
        <v>7906</v>
      </c>
      <c r="JPL1" s="331" t="s">
        <v>7907</v>
      </c>
      <c r="JPM1" s="331" t="s">
        <v>7908</v>
      </c>
      <c r="JPN1" s="331" t="s">
        <v>7909</v>
      </c>
      <c r="JPO1" s="331" t="s">
        <v>7910</v>
      </c>
      <c r="JPP1" s="331" t="s">
        <v>7911</v>
      </c>
      <c r="JPQ1" s="331" t="s">
        <v>7912</v>
      </c>
      <c r="JPR1" s="331" t="s">
        <v>7913</v>
      </c>
      <c r="JPS1" s="331" t="s">
        <v>7914</v>
      </c>
      <c r="JPT1" s="331" t="s">
        <v>7915</v>
      </c>
      <c r="JPU1" s="331" t="s">
        <v>7916</v>
      </c>
      <c r="JPV1" s="331" t="s">
        <v>7917</v>
      </c>
      <c r="JPW1" s="331" t="s">
        <v>7918</v>
      </c>
      <c r="JPX1" s="331" t="s">
        <v>7919</v>
      </c>
      <c r="JPY1" s="331" t="s">
        <v>7920</v>
      </c>
      <c r="JPZ1" s="331" t="s">
        <v>7921</v>
      </c>
      <c r="JQA1" s="331" t="s">
        <v>7922</v>
      </c>
      <c r="JQB1" s="331" t="s">
        <v>7923</v>
      </c>
      <c r="JQC1" s="331" t="s">
        <v>7924</v>
      </c>
      <c r="JQD1" s="331" t="s">
        <v>7925</v>
      </c>
      <c r="JQE1" s="331" t="s">
        <v>7926</v>
      </c>
      <c r="JQF1" s="331" t="s">
        <v>7927</v>
      </c>
      <c r="JQG1" s="331" t="s">
        <v>7928</v>
      </c>
      <c r="JQH1" s="331" t="s">
        <v>7929</v>
      </c>
      <c r="JQI1" s="331" t="s">
        <v>7930</v>
      </c>
      <c r="JQJ1" s="331" t="s">
        <v>7931</v>
      </c>
      <c r="JQK1" s="331" t="s">
        <v>7932</v>
      </c>
      <c r="JQL1" s="331" t="s">
        <v>7933</v>
      </c>
      <c r="JQM1" s="331" t="s">
        <v>7934</v>
      </c>
      <c r="JQN1" s="331" t="s">
        <v>7935</v>
      </c>
      <c r="JQO1" s="331" t="s">
        <v>7936</v>
      </c>
      <c r="JQP1" s="331" t="s">
        <v>7937</v>
      </c>
      <c r="JQQ1" s="331" t="s">
        <v>7938</v>
      </c>
      <c r="JQR1" s="331" t="s">
        <v>7939</v>
      </c>
      <c r="JQS1" s="331" t="s">
        <v>7940</v>
      </c>
      <c r="JQT1" s="331" t="s">
        <v>7941</v>
      </c>
      <c r="JQU1" s="331" t="s">
        <v>7942</v>
      </c>
      <c r="JQV1" s="331" t="s">
        <v>7943</v>
      </c>
      <c r="JQW1" s="331" t="s">
        <v>7944</v>
      </c>
      <c r="JQX1" s="331" t="s">
        <v>7945</v>
      </c>
      <c r="JQY1" s="331" t="s">
        <v>7946</v>
      </c>
      <c r="JQZ1" s="331" t="s">
        <v>7947</v>
      </c>
      <c r="JRA1" s="331" t="s">
        <v>7948</v>
      </c>
      <c r="JRB1" s="331" t="s">
        <v>7949</v>
      </c>
      <c r="JRC1" s="331" t="s">
        <v>7950</v>
      </c>
      <c r="JRD1" s="331" t="s">
        <v>7951</v>
      </c>
      <c r="JRE1" s="331" t="s">
        <v>7952</v>
      </c>
      <c r="JRF1" s="331" t="s">
        <v>7953</v>
      </c>
      <c r="JRG1" s="331" t="s">
        <v>7954</v>
      </c>
      <c r="JRH1" s="331" t="s">
        <v>7955</v>
      </c>
      <c r="JRI1" s="331" t="s">
        <v>7956</v>
      </c>
      <c r="JRJ1" s="331" t="s">
        <v>7957</v>
      </c>
      <c r="JRK1" s="331" t="s">
        <v>7958</v>
      </c>
      <c r="JRL1" s="331" t="s">
        <v>7959</v>
      </c>
      <c r="JRM1" s="331" t="s">
        <v>7960</v>
      </c>
      <c r="JRN1" s="331" t="s">
        <v>7961</v>
      </c>
      <c r="JRO1" s="331" t="s">
        <v>7962</v>
      </c>
      <c r="JRP1" s="331" t="s">
        <v>7963</v>
      </c>
      <c r="JRQ1" s="331" t="s">
        <v>7964</v>
      </c>
      <c r="JRR1" s="331" t="s">
        <v>7965</v>
      </c>
      <c r="JRS1" s="331" t="s">
        <v>7966</v>
      </c>
      <c r="JRT1" s="331" t="s">
        <v>7967</v>
      </c>
      <c r="JRU1" s="331" t="s">
        <v>7968</v>
      </c>
      <c r="JRV1" s="331" t="s">
        <v>7969</v>
      </c>
      <c r="JRW1" s="331" t="s">
        <v>7970</v>
      </c>
      <c r="JRX1" s="331" t="s">
        <v>7971</v>
      </c>
      <c r="JRY1" s="331" t="s">
        <v>7972</v>
      </c>
      <c r="JRZ1" s="331" t="s">
        <v>7973</v>
      </c>
      <c r="JSA1" s="331" t="s">
        <v>7974</v>
      </c>
      <c r="JSB1" s="331" t="s">
        <v>7975</v>
      </c>
      <c r="JSC1" s="331" t="s">
        <v>7976</v>
      </c>
      <c r="JSD1" s="331" t="s">
        <v>7977</v>
      </c>
      <c r="JSE1" s="331" t="s">
        <v>7978</v>
      </c>
      <c r="JSF1" s="331" t="s">
        <v>7979</v>
      </c>
      <c r="JSG1" s="331" t="s">
        <v>7980</v>
      </c>
      <c r="JSH1" s="331" t="s">
        <v>7981</v>
      </c>
      <c r="JSI1" s="331" t="s">
        <v>7982</v>
      </c>
      <c r="JSJ1" s="331" t="s">
        <v>7983</v>
      </c>
      <c r="JSK1" s="331" t="s">
        <v>7984</v>
      </c>
      <c r="JSL1" s="331" t="s">
        <v>7985</v>
      </c>
      <c r="JSM1" s="331" t="s">
        <v>7986</v>
      </c>
      <c r="JSN1" s="331" t="s">
        <v>7987</v>
      </c>
      <c r="JSO1" s="331" t="s">
        <v>7988</v>
      </c>
      <c r="JSP1" s="331" t="s">
        <v>7989</v>
      </c>
      <c r="JSQ1" s="331" t="s">
        <v>7990</v>
      </c>
      <c r="JSR1" s="331" t="s">
        <v>7991</v>
      </c>
      <c r="JSS1" s="331" t="s">
        <v>7992</v>
      </c>
      <c r="JST1" s="331" t="s">
        <v>7993</v>
      </c>
      <c r="JSU1" s="331" t="s">
        <v>7994</v>
      </c>
      <c r="JSV1" s="331" t="s">
        <v>7995</v>
      </c>
      <c r="JSW1" s="331" t="s">
        <v>7996</v>
      </c>
      <c r="JSX1" s="331" t="s">
        <v>7997</v>
      </c>
      <c r="JSY1" s="331" t="s">
        <v>7998</v>
      </c>
      <c r="JSZ1" s="331" t="s">
        <v>7999</v>
      </c>
      <c r="JTA1" s="331" t="s">
        <v>8000</v>
      </c>
      <c r="JTB1" s="331" t="s">
        <v>8001</v>
      </c>
      <c r="JTC1" s="331" t="s">
        <v>8002</v>
      </c>
      <c r="JTD1" s="331" t="s">
        <v>8003</v>
      </c>
      <c r="JTE1" s="331" t="s">
        <v>8004</v>
      </c>
      <c r="JTF1" s="331" t="s">
        <v>8005</v>
      </c>
      <c r="JTG1" s="331" t="s">
        <v>8006</v>
      </c>
      <c r="JTH1" s="331" t="s">
        <v>8007</v>
      </c>
      <c r="JTI1" s="331" t="s">
        <v>8008</v>
      </c>
      <c r="JTJ1" s="331" t="s">
        <v>8009</v>
      </c>
      <c r="JTK1" s="331" t="s">
        <v>8010</v>
      </c>
      <c r="JTL1" s="331" t="s">
        <v>8011</v>
      </c>
      <c r="JTM1" s="331" t="s">
        <v>8012</v>
      </c>
      <c r="JTN1" s="331" t="s">
        <v>8013</v>
      </c>
      <c r="JTO1" s="331" t="s">
        <v>8014</v>
      </c>
      <c r="JTP1" s="331" t="s">
        <v>8015</v>
      </c>
      <c r="JTQ1" s="331" t="s">
        <v>8016</v>
      </c>
      <c r="JTR1" s="331" t="s">
        <v>8017</v>
      </c>
      <c r="JTS1" s="331" t="s">
        <v>8018</v>
      </c>
      <c r="JTT1" s="331" t="s">
        <v>8019</v>
      </c>
      <c r="JTU1" s="331" t="s">
        <v>8020</v>
      </c>
      <c r="JTV1" s="331" t="s">
        <v>8021</v>
      </c>
      <c r="JTW1" s="331" t="s">
        <v>8022</v>
      </c>
      <c r="JTX1" s="331" t="s">
        <v>8023</v>
      </c>
      <c r="JTY1" s="331" t="s">
        <v>8024</v>
      </c>
      <c r="JTZ1" s="331" t="s">
        <v>8025</v>
      </c>
      <c r="JUA1" s="331" t="s">
        <v>8026</v>
      </c>
      <c r="JUB1" s="331" t="s">
        <v>8027</v>
      </c>
      <c r="JUC1" s="331" t="s">
        <v>8028</v>
      </c>
      <c r="JUD1" s="331" t="s">
        <v>8029</v>
      </c>
      <c r="JUE1" s="331" t="s">
        <v>8030</v>
      </c>
      <c r="JUF1" s="331" t="s">
        <v>8031</v>
      </c>
      <c r="JUG1" s="331" t="s">
        <v>8032</v>
      </c>
      <c r="JUH1" s="331" t="s">
        <v>8033</v>
      </c>
      <c r="JUI1" s="331" t="s">
        <v>8034</v>
      </c>
      <c r="JUJ1" s="331" t="s">
        <v>8035</v>
      </c>
      <c r="JUK1" s="331" t="s">
        <v>8036</v>
      </c>
      <c r="JUL1" s="331" t="s">
        <v>8037</v>
      </c>
      <c r="JUM1" s="331" t="s">
        <v>8038</v>
      </c>
      <c r="JUN1" s="331" t="s">
        <v>8039</v>
      </c>
      <c r="JUO1" s="331" t="s">
        <v>8040</v>
      </c>
      <c r="JUP1" s="331" t="s">
        <v>8041</v>
      </c>
      <c r="JUQ1" s="331" t="s">
        <v>8042</v>
      </c>
      <c r="JUR1" s="331" t="s">
        <v>8043</v>
      </c>
      <c r="JUS1" s="331" t="s">
        <v>8044</v>
      </c>
      <c r="JUT1" s="331" t="s">
        <v>8045</v>
      </c>
      <c r="JUU1" s="331" t="s">
        <v>8046</v>
      </c>
      <c r="JUV1" s="331" t="s">
        <v>8047</v>
      </c>
      <c r="JUW1" s="331" t="s">
        <v>8048</v>
      </c>
      <c r="JUX1" s="331" t="s">
        <v>8049</v>
      </c>
      <c r="JUY1" s="331" t="s">
        <v>8050</v>
      </c>
      <c r="JUZ1" s="331" t="s">
        <v>8051</v>
      </c>
      <c r="JVA1" s="331" t="s">
        <v>8052</v>
      </c>
      <c r="JVB1" s="331" t="s">
        <v>8053</v>
      </c>
      <c r="JVC1" s="331" t="s">
        <v>8054</v>
      </c>
      <c r="JVD1" s="331" t="s">
        <v>8055</v>
      </c>
      <c r="JVE1" s="331" t="s">
        <v>8056</v>
      </c>
      <c r="JVF1" s="331" t="s">
        <v>8057</v>
      </c>
      <c r="JVG1" s="331" t="s">
        <v>8058</v>
      </c>
      <c r="JVH1" s="331" t="s">
        <v>8059</v>
      </c>
      <c r="JVI1" s="331" t="s">
        <v>8060</v>
      </c>
      <c r="JVJ1" s="331" t="s">
        <v>8061</v>
      </c>
      <c r="JVK1" s="331" t="s">
        <v>8062</v>
      </c>
      <c r="JVL1" s="331" t="s">
        <v>8063</v>
      </c>
      <c r="JVM1" s="331" t="s">
        <v>8064</v>
      </c>
      <c r="JVN1" s="331" t="s">
        <v>8065</v>
      </c>
      <c r="JVO1" s="331" t="s">
        <v>8066</v>
      </c>
      <c r="JVP1" s="331" t="s">
        <v>8067</v>
      </c>
      <c r="JVQ1" s="331" t="s">
        <v>8068</v>
      </c>
      <c r="JVR1" s="331" t="s">
        <v>8069</v>
      </c>
      <c r="JVS1" s="331" t="s">
        <v>8070</v>
      </c>
      <c r="JVT1" s="331" t="s">
        <v>8071</v>
      </c>
      <c r="JVU1" s="331" t="s">
        <v>8072</v>
      </c>
      <c r="JVV1" s="331" t="s">
        <v>8073</v>
      </c>
      <c r="JVW1" s="331" t="s">
        <v>8074</v>
      </c>
      <c r="JVX1" s="331" t="s">
        <v>8075</v>
      </c>
      <c r="JVY1" s="331" t="s">
        <v>8076</v>
      </c>
      <c r="JVZ1" s="331" t="s">
        <v>8077</v>
      </c>
      <c r="JWA1" s="331" t="s">
        <v>8078</v>
      </c>
      <c r="JWB1" s="331" t="s">
        <v>8079</v>
      </c>
      <c r="JWC1" s="331" t="s">
        <v>8080</v>
      </c>
      <c r="JWD1" s="331" t="s">
        <v>8081</v>
      </c>
      <c r="JWE1" s="331" t="s">
        <v>8082</v>
      </c>
      <c r="JWF1" s="331" t="s">
        <v>8083</v>
      </c>
      <c r="JWG1" s="331" t="s">
        <v>8084</v>
      </c>
      <c r="JWH1" s="331" t="s">
        <v>8085</v>
      </c>
      <c r="JWI1" s="331" t="s">
        <v>8086</v>
      </c>
      <c r="JWJ1" s="331" t="s">
        <v>8087</v>
      </c>
      <c r="JWK1" s="331" t="s">
        <v>8088</v>
      </c>
      <c r="JWL1" s="331" t="s">
        <v>8089</v>
      </c>
      <c r="JWM1" s="331" t="s">
        <v>8090</v>
      </c>
      <c r="JWN1" s="331" t="s">
        <v>8091</v>
      </c>
      <c r="JWO1" s="331" t="s">
        <v>8092</v>
      </c>
      <c r="JWP1" s="331" t="s">
        <v>8093</v>
      </c>
      <c r="JWQ1" s="331" t="s">
        <v>8094</v>
      </c>
      <c r="JWR1" s="331" t="s">
        <v>8095</v>
      </c>
      <c r="JWS1" s="331" t="s">
        <v>8096</v>
      </c>
      <c r="JWT1" s="331" t="s">
        <v>8097</v>
      </c>
      <c r="JWU1" s="331" t="s">
        <v>8098</v>
      </c>
      <c r="JWV1" s="331" t="s">
        <v>8099</v>
      </c>
      <c r="JWW1" s="331" t="s">
        <v>8100</v>
      </c>
      <c r="JWX1" s="331" t="s">
        <v>8101</v>
      </c>
      <c r="JWY1" s="331" t="s">
        <v>8102</v>
      </c>
      <c r="JWZ1" s="331" t="s">
        <v>8103</v>
      </c>
      <c r="JXA1" s="331" t="s">
        <v>8104</v>
      </c>
      <c r="JXB1" s="331" t="s">
        <v>8105</v>
      </c>
      <c r="JXC1" s="331" t="s">
        <v>8106</v>
      </c>
      <c r="JXD1" s="331" t="s">
        <v>8107</v>
      </c>
      <c r="JXE1" s="331" t="s">
        <v>8108</v>
      </c>
      <c r="JXF1" s="331" t="s">
        <v>8109</v>
      </c>
      <c r="JXG1" s="331" t="s">
        <v>8110</v>
      </c>
      <c r="JXH1" s="331" t="s">
        <v>8111</v>
      </c>
      <c r="JXI1" s="331" t="s">
        <v>8112</v>
      </c>
      <c r="JXJ1" s="331" t="s">
        <v>8113</v>
      </c>
      <c r="JXK1" s="331" t="s">
        <v>8114</v>
      </c>
      <c r="JXL1" s="331" t="s">
        <v>8115</v>
      </c>
      <c r="JXM1" s="331" t="s">
        <v>8116</v>
      </c>
      <c r="JXN1" s="331" t="s">
        <v>8117</v>
      </c>
      <c r="JXO1" s="331" t="s">
        <v>8118</v>
      </c>
      <c r="JXP1" s="331" t="s">
        <v>8119</v>
      </c>
      <c r="JXQ1" s="331" t="s">
        <v>8120</v>
      </c>
      <c r="JXR1" s="331" t="s">
        <v>8121</v>
      </c>
      <c r="JXS1" s="331" t="s">
        <v>8122</v>
      </c>
      <c r="JXT1" s="331" t="s">
        <v>8123</v>
      </c>
      <c r="JXU1" s="331" t="s">
        <v>8124</v>
      </c>
      <c r="JXV1" s="331" t="s">
        <v>8125</v>
      </c>
      <c r="JXW1" s="331" t="s">
        <v>8126</v>
      </c>
      <c r="JXX1" s="331" t="s">
        <v>8127</v>
      </c>
      <c r="JXY1" s="331" t="s">
        <v>8128</v>
      </c>
      <c r="JXZ1" s="331" t="s">
        <v>8129</v>
      </c>
      <c r="JYA1" s="331" t="s">
        <v>8130</v>
      </c>
      <c r="JYB1" s="331" t="s">
        <v>8131</v>
      </c>
      <c r="JYC1" s="331" t="s">
        <v>8132</v>
      </c>
      <c r="JYD1" s="331" t="s">
        <v>8133</v>
      </c>
      <c r="JYE1" s="331" t="s">
        <v>8134</v>
      </c>
      <c r="JYF1" s="331" t="s">
        <v>8135</v>
      </c>
      <c r="JYG1" s="331" t="s">
        <v>8136</v>
      </c>
      <c r="JYH1" s="331" t="s">
        <v>8137</v>
      </c>
      <c r="JYI1" s="331" t="s">
        <v>8138</v>
      </c>
      <c r="JYJ1" s="331" t="s">
        <v>8139</v>
      </c>
      <c r="JYK1" s="331" t="s">
        <v>8140</v>
      </c>
      <c r="JYL1" s="331" t="s">
        <v>8141</v>
      </c>
      <c r="JYM1" s="331" t="s">
        <v>8142</v>
      </c>
      <c r="JYN1" s="331" t="s">
        <v>8143</v>
      </c>
      <c r="JYO1" s="331" t="s">
        <v>8144</v>
      </c>
      <c r="JYP1" s="331" t="s">
        <v>8145</v>
      </c>
      <c r="JYQ1" s="331" t="s">
        <v>8146</v>
      </c>
      <c r="JYR1" s="331" t="s">
        <v>8147</v>
      </c>
      <c r="JYS1" s="331" t="s">
        <v>8148</v>
      </c>
      <c r="JYT1" s="331" t="s">
        <v>8149</v>
      </c>
      <c r="JYU1" s="331" t="s">
        <v>8150</v>
      </c>
      <c r="JYV1" s="331" t="s">
        <v>8151</v>
      </c>
      <c r="JYW1" s="331" t="s">
        <v>8152</v>
      </c>
      <c r="JYX1" s="331" t="s">
        <v>8153</v>
      </c>
      <c r="JYY1" s="331" t="s">
        <v>8154</v>
      </c>
      <c r="JYZ1" s="331" t="s">
        <v>8155</v>
      </c>
      <c r="JZA1" s="331" t="s">
        <v>8156</v>
      </c>
      <c r="JZB1" s="331" t="s">
        <v>8157</v>
      </c>
      <c r="JZC1" s="331" t="s">
        <v>8158</v>
      </c>
      <c r="JZD1" s="331" t="s">
        <v>8159</v>
      </c>
      <c r="JZE1" s="331" t="s">
        <v>8160</v>
      </c>
      <c r="JZF1" s="331" t="s">
        <v>8161</v>
      </c>
      <c r="JZG1" s="331" t="s">
        <v>8162</v>
      </c>
      <c r="JZH1" s="331" t="s">
        <v>8163</v>
      </c>
      <c r="JZI1" s="331" t="s">
        <v>8164</v>
      </c>
      <c r="JZJ1" s="331" t="s">
        <v>8165</v>
      </c>
      <c r="JZK1" s="331" t="s">
        <v>8166</v>
      </c>
      <c r="JZL1" s="331" t="s">
        <v>8167</v>
      </c>
      <c r="JZM1" s="331" t="s">
        <v>8168</v>
      </c>
      <c r="JZN1" s="331" t="s">
        <v>8169</v>
      </c>
      <c r="JZO1" s="331" t="s">
        <v>8170</v>
      </c>
      <c r="JZP1" s="331" t="s">
        <v>8171</v>
      </c>
      <c r="JZQ1" s="331" t="s">
        <v>8172</v>
      </c>
      <c r="JZR1" s="331" t="s">
        <v>8173</v>
      </c>
      <c r="JZS1" s="331" t="s">
        <v>8174</v>
      </c>
      <c r="JZT1" s="331" t="s">
        <v>8175</v>
      </c>
      <c r="JZU1" s="331" t="s">
        <v>8176</v>
      </c>
      <c r="JZV1" s="331" t="s">
        <v>8177</v>
      </c>
      <c r="JZW1" s="331" t="s">
        <v>8178</v>
      </c>
      <c r="JZX1" s="331" t="s">
        <v>8179</v>
      </c>
      <c r="JZY1" s="331" t="s">
        <v>8180</v>
      </c>
      <c r="JZZ1" s="331" t="s">
        <v>8181</v>
      </c>
      <c r="KAA1" s="331" t="s">
        <v>8182</v>
      </c>
      <c r="KAB1" s="331" t="s">
        <v>8183</v>
      </c>
      <c r="KAC1" s="331" t="s">
        <v>8184</v>
      </c>
      <c r="KAD1" s="331" t="s">
        <v>8185</v>
      </c>
      <c r="KAE1" s="331" t="s">
        <v>8186</v>
      </c>
      <c r="KAF1" s="331" t="s">
        <v>8187</v>
      </c>
      <c r="KAG1" s="331" t="s">
        <v>8188</v>
      </c>
      <c r="KAH1" s="331" t="s">
        <v>8189</v>
      </c>
      <c r="KAI1" s="331" t="s">
        <v>8190</v>
      </c>
      <c r="KAJ1" s="331" t="s">
        <v>8191</v>
      </c>
      <c r="KAK1" s="331" t="s">
        <v>8192</v>
      </c>
      <c r="KAL1" s="331" t="s">
        <v>8193</v>
      </c>
      <c r="KAM1" s="331" t="s">
        <v>8194</v>
      </c>
      <c r="KAN1" s="331" t="s">
        <v>8195</v>
      </c>
      <c r="KAO1" s="331" t="s">
        <v>8196</v>
      </c>
      <c r="KAP1" s="331" t="s">
        <v>8197</v>
      </c>
      <c r="KAQ1" s="331" t="s">
        <v>8198</v>
      </c>
      <c r="KAR1" s="331" t="s">
        <v>8199</v>
      </c>
      <c r="KAS1" s="331" t="s">
        <v>8200</v>
      </c>
      <c r="KAT1" s="331" t="s">
        <v>8201</v>
      </c>
      <c r="KAU1" s="331" t="s">
        <v>8202</v>
      </c>
      <c r="KAV1" s="331" t="s">
        <v>8203</v>
      </c>
      <c r="KAW1" s="331" t="s">
        <v>8204</v>
      </c>
      <c r="KAX1" s="331" t="s">
        <v>8205</v>
      </c>
      <c r="KAY1" s="331" t="s">
        <v>8206</v>
      </c>
      <c r="KAZ1" s="331" t="s">
        <v>8207</v>
      </c>
      <c r="KBA1" s="331" t="s">
        <v>8208</v>
      </c>
      <c r="KBB1" s="331" t="s">
        <v>8209</v>
      </c>
      <c r="KBC1" s="331" t="s">
        <v>8210</v>
      </c>
      <c r="KBD1" s="331" t="s">
        <v>8211</v>
      </c>
      <c r="KBE1" s="331" t="s">
        <v>8212</v>
      </c>
      <c r="KBF1" s="331" t="s">
        <v>8213</v>
      </c>
      <c r="KBG1" s="331" t="s">
        <v>8214</v>
      </c>
      <c r="KBH1" s="331" t="s">
        <v>8215</v>
      </c>
      <c r="KBI1" s="331" t="s">
        <v>8216</v>
      </c>
      <c r="KBJ1" s="331" t="s">
        <v>8217</v>
      </c>
      <c r="KBK1" s="331" t="s">
        <v>8218</v>
      </c>
      <c r="KBL1" s="331" t="s">
        <v>8219</v>
      </c>
      <c r="KBM1" s="331" t="s">
        <v>8220</v>
      </c>
      <c r="KBN1" s="331" t="s">
        <v>8221</v>
      </c>
      <c r="KBO1" s="331" t="s">
        <v>8222</v>
      </c>
      <c r="KBP1" s="331" t="s">
        <v>8223</v>
      </c>
      <c r="KBQ1" s="331" t="s">
        <v>8224</v>
      </c>
      <c r="KBR1" s="331" t="s">
        <v>8225</v>
      </c>
      <c r="KBS1" s="331" t="s">
        <v>8226</v>
      </c>
      <c r="KBT1" s="331" t="s">
        <v>8227</v>
      </c>
      <c r="KBU1" s="331" t="s">
        <v>8228</v>
      </c>
      <c r="KBV1" s="331" t="s">
        <v>8229</v>
      </c>
      <c r="KBW1" s="331" t="s">
        <v>8230</v>
      </c>
      <c r="KBX1" s="331" t="s">
        <v>8231</v>
      </c>
      <c r="KBY1" s="331" t="s">
        <v>8232</v>
      </c>
      <c r="KBZ1" s="331" t="s">
        <v>8233</v>
      </c>
      <c r="KCA1" s="331" t="s">
        <v>8234</v>
      </c>
      <c r="KCB1" s="331" t="s">
        <v>8235</v>
      </c>
      <c r="KCC1" s="331" t="s">
        <v>8236</v>
      </c>
      <c r="KCD1" s="331" t="s">
        <v>8237</v>
      </c>
      <c r="KCE1" s="331" t="s">
        <v>8238</v>
      </c>
      <c r="KCF1" s="331" t="s">
        <v>8239</v>
      </c>
      <c r="KCG1" s="331" t="s">
        <v>8240</v>
      </c>
      <c r="KCH1" s="331" t="s">
        <v>8241</v>
      </c>
      <c r="KCI1" s="331" t="s">
        <v>8242</v>
      </c>
      <c r="KCJ1" s="331" t="s">
        <v>8243</v>
      </c>
      <c r="KCK1" s="331" t="s">
        <v>8244</v>
      </c>
      <c r="KCL1" s="331" t="s">
        <v>8245</v>
      </c>
      <c r="KCM1" s="331" t="s">
        <v>8246</v>
      </c>
      <c r="KCN1" s="331" t="s">
        <v>8247</v>
      </c>
      <c r="KCO1" s="331" t="s">
        <v>8248</v>
      </c>
      <c r="KCP1" s="331" t="s">
        <v>8249</v>
      </c>
      <c r="KCQ1" s="331" t="s">
        <v>8250</v>
      </c>
      <c r="KCR1" s="331" t="s">
        <v>8251</v>
      </c>
      <c r="KCS1" s="331" t="s">
        <v>8252</v>
      </c>
      <c r="KCT1" s="331" t="s">
        <v>8253</v>
      </c>
      <c r="KCU1" s="331" t="s">
        <v>8254</v>
      </c>
      <c r="KCV1" s="331" t="s">
        <v>8255</v>
      </c>
      <c r="KCW1" s="331" t="s">
        <v>8256</v>
      </c>
      <c r="KCX1" s="331" t="s">
        <v>8257</v>
      </c>
      <c r="KCY1" s="331" t="s">
        <v>8258</v>
      </c>
      <c r="KCZ1" s="331" t="s">
        <v>8259</v>
      </c>
      <c r="KDA1" s="331" t="s">
        <v>8260</v>
      </c>
      <c r="KDB1" s="331" t="s">
        <v>8261</v>
      </c>
      <c r="KDC1" s="331" t="s">
        <v>8262</v>
      </c>
      <c r="KDD1" s="331" t="s">
        <v>8263</v>
      </c>
      <c r="KDE1" s="331" t="s">
        <v>8264</v>
      </c>
      <c r="KDF1" s="331" t="s">
        <v>8265</v>
      </c>
      <c r="KDG1" s="331" t="s">
        <v>8266</v>
      </c>
      <c r="KDH1" s="331" t="s">
        <v>8267</v>
      </c>
      <c r="KDI1" s="331" t="s">
        <v>8268</v>
      </c>
      <c r="KDJ1" s="331" t="s">
        <v>8269</v>
      </c>
      <c r="KDK1" s="331" t="s">
        <v>8270</v>
      </c>
      <c r="KDL1" s="331" t="s">
        <v>8271</v>
      </c>
      <c r="KDM1" s="331" t="s">
        <v>8272</v>
      </c>
      <c r="KDN1" s="331" t="s">
        <v>8273</v>
      </c>
      <c r="KDO1" s="331" t="s">
        <v>8274</v>
      </c>
      <c r="KDP1" s="331" t="s">
        <v>8275</v>
      </c>
      <c r="KDQ1" s="331" t="s">
        <v>8276</v>
      </c>
      <c r="KDR1" s="331" t="s">
        <v>8277</v>
      </c>
      <c r="KDS1" s="331" t="s">
        <v>8278</v>
      </c>
      <c r="KDT1" s="331" t="s">
        <v>8279</v>
      </c>
      <c r="KDU1" s="331" t="s">
        <v>8280</v>
      </c>
      <c r="KDV1" s="331" t="s">
        <v>8281</v>
      </c>
      <c r="KDW1" s="331" t="s">
        <v>8282</v>
      </c>
      <c r="KDX1" s="331" t="s">
        <v>8283</v>
      </c>
      <c r="KDY1" s="331" t="s">
        <v>8284</v>
      </c>
      <c r="KDZ1" s="331" t="s">
        <v>8285</v>
      </c>
      <c r="KEA1" s="331" t="s">
        <v>8286</v>
      </c>
      <c r="KEB1" s="331" t="s">
        <v>8287</v>
      </c>
      <c r="KEC1" s="331" t="s">
        <v>8288</v>
      </c>
      <c r="KED1" s="331" t="s">
        <v>8289</v>
      </c>
      <c r="KEE1" s="331" t="s">
        <v>8290</v>
      </c>
      <c r="KEF1" s="331" t="s">
        <v>8291</v>
      </c>
      <c r="KEG1" s="331" t="s">
        <v>8292</v>
      </c>
      <c r="KEH1" s="331" t="s">
        <v>8293</v>
      </c>
      <c r="KEI1" s="331" t="s">
        <v>8294</v>
      </c>
      <c r="KEJ1" s="331" t="s">
        <v>8295</v>
      </c>
      <c r="KEK1" s="331" t="s">
        <v>8296</v>
      </c>
      <c r="KEL1" s="331" t="s">
        <v>8297</v>
      </c>
      <c r="KEM1" s="331" t="s">
        <v>8298</v>
      </c>
      <c r="KEN1" s="331" t="s">
        <v>8299</v>
      </c>
      <c r="KEO1" s="331" t="s">
        <v>8300</v>
      </c>
      <c r="KEP1" s="331" t="s">
        <v>8301</v>
      </c>
      <c r="KEQ1" s="331" t="s">
        <v>8302</v>
      </c>
      <c r="KER1" s="331" t="s">
        <v>8303</v>
      </c>
      <c r="KES1" s="331" t="s">
        <v>8304</v>
      </c>
      <c r="KET1" s="331" t="s">
        <v>8305</v>
      </c>
      <c r="KEU1" s="331" t="s">
        <v>8306</v>
      </c>
      <c r="KEV1" s="331" t="s">
        <v>8307</v>
      </c>
      <c r="KEW1" s="331" t="s">
        <v>8308</v>
      </c>
      <c r="KEX1" s="331" t="s">
        <v>8309</v>
      </c>
      <c r="KEY1" s="331" t="s">
        <v>8310</v>
      </c>
      <c r="KEZ1" s="331" t="s">
        <v>8311</v>
      </c>
      <c r="KFA1" s="331" t="s">
        <v>8312</v>
      </c>
      <c r="KFB1" s="331" t="s">
        <v>8313</v>
      </c>
      <c r="KFC1" s="331" t="s">
        <v>8314</v>
      </c>
      <c r="KFD1" s="331" t="s">
        <v>8315</v>
      </c>
      <c r="KFE1" s="331" t="s">
        <v>8316</v>
      </c>
      <c r="KFF1" s="331" t="s">
        <v>8317</v>
      </c>
      <c r="KFG1" s="331" t="s">
        <v>8318</v>
      </c>
      <c r="KFH1" s="331" t="s">
        <v>8319</v>
      </c>
      <c r="KFI1" s="331" t="s">
        <v>8320</v>
      </c>
      <c r="KFJ1" s="331" t="s">
        <v>8321</v>
      </c>
      <c r="KFK1" s="331" t="s">
        <v>8322</v>
      </c>
      <c r="KFL1" s="331" t="s">
        <v>8323</v>
      </c>
      <c r="KFM1" s="331" t="s">
        <v>8324</v>
      </c>
      <c r="KFN1" s="331" t="s">
        <v>8325</v>
      </c>
      <c r="KFO1" s="331" t="s">
        <v>8326</v>
      </c>
      <c r="KFP1" s="331" t="s">
        <v>8327</v>
      </c>
      <c r="KFQ1" s="331" t="s">
        <v>8328</v>
      </c>
      <c r="KFR1" s="331" t="s">
        <v>8329</v>
      </c>
      <c r="KFS1" s="331" t="s">
        <v>8330</v>
      </c>
      <c r="KFT1" s="331" t="s">
        <v>8331</v>
      </c>
      <c r="KFU1" s="331" t="s">
        <v>8332</v>
      </c>
      <c r="KFV1" s="331" t="s">
        <v>8333</v>
      </c>
      <c r="KFW1" s="331" t="s">
        <v>8334</v>
      </c>
      <c r="KFX1" s="331" t="s">
        <v>8335</v>
      </c>
      <c r="KFY1" s="331" t="s">
        <v>8336</v>
      </c>
      <c r="KFZ1" s="331" t="s">
        <v>8337</v>
      </c>
      <c r="KGA1" s="331" t="s">
        <v>8338</v>
      </c>
      <c r="KGB1" s="331" t="s">
        <v>8339</v>
      </c>
      <c r="KGC1" s="331" t="s">
        <v>8340</v>
      </c>
      <c r="KGD1" s="331" t="s">
        <v>8341</v>
      </c>
      <c r="KGE1" s="331" t="s">
        <v>8342</v>
      </c>
      <c r="KGF1" s="331" t="s">
        <v>8343</v>
      </c>
      <c r="KGG1" s="331" t="s">
        <v>8344</v>
      </c>
      <c r="KGH1" s="331" t="s">
        <v>8345</v>
      </c>
      <c r="KGI1" s="331" t="s">
        <v>8346</v>
      </c>
      <c r="KGJ1" s="331" t="s">
        <v>8347</v>
      </c>
      <c r="KGK1" s="331" t="s">
        <v>8348</v>
      </c>
      <c r="KGL1" s="331" t="s">
        <v>8349</v>
      </c>
      <c r="KGM1" s="331" t="s">
        <v>8350</v>
      </c>
      <c r="KGN1" s="331" t="s">
        <v>8351</v>
      </c>
      <c r="KGO1" s="331" t="s">
        <v>8352</v>
      </c>
      <c r="KGP1" s="331" t="s">
        <v>8353</v>
      </c>
      <c r="KGQ1" s="331" t="s">
        <v>8354</v>
      </c>
      <c r="KGR1" s="331" t="s">
        <v>8355</v>
      </c>
      <c r="KGS1" s="331" t="s">
        <v>8356</v>
      </c>
      <c r="KGT1" s="331" t="s">
        <v>8357</v>
      </c>
      <c r="KGU1" s="331" t="s">
        <v>8358</v>
      </c>
      <c r="KGV1" s="331" t="s">
        <v>8359</v>
      </c>
      <c r="KGW1" s="331" t="s">
        <v>8360</v>
      </c>
      <c r="KGX1" s="331" t="s">
        <v>8361</v>
      </c>
      <c r="KGY1" s="331" t="s">
        <v>8362</v>
      </c>
      <c r="KGZ1" s="331" t="s">
        <v>8363</v>
      </c>
      <c r="KHA1" s="331" t="s">
        <v>8364</v>
      </c>
      <c r="KHB1" s="331" t="s">
        <v>8365</v>
      </c>
      <c r="KHC1" s="331" t="s">
        <v>8366</v>
      </c>
      <c r="KHD1" s="331" t="s">
        <v>8367</v>
      </c>
      <c r="KHE1" s="331" t="s">
        <v>8368</v>
      </c>
      <c r="KHF1" s="331" t="s">
        <v>8369</v>
      </c>
      <c r="KHG1" s="331" t="s">
        <v>8370</v>
      </c>
      <c r="KHH1" s="331" t="s">
        <v>8371</v>
      </c>
      <c r="KHI1" s="331" t="s">
        <v>8372</v>
      </c>
      <c r="KHJ1" s="331" t="s">
        <v>8373</v>
      </c>
      <c r="KHK1" s="331" t="s">
        <v>8374</v>
      </c>
      <c r="KHL1" s="331" t="s">
        <v>8375</v>
      </c>
      <c r="KHM1" s="331" t="s">
        <v>8376</v>
      </c>
      <c r="KHN1" s="331" t="s">
        <v>8377</v>
      </c>
      <c r="KHO1" s="331" t="s">
        <v>8378</v>
      </c>
      <c r="KHP1" s="331" t="s">
        <v>8379</v>
      </c>
      <c r="KHQ1" s="331" t="s">
        <v>8380</v>
      </c>
      <c r="KHR1" s="331" t="s">
        <v>8381</v>
      </c>
      <c r="KHS1" s="331" t="s">
        <v>8382</v>
      </c>
      <c r="KHT1" s="331" t="s">
        <v>8383</v>
      </c>
      <c r="KHU1" s="331" t="s">
        <v>8384</v>
      </c>
      <c r="KHV1" s="331" t="s">
        <v>8385</v>
      </c>
      <c r="KHW1" s="331" t="s">
        <v>8386</v>
      </c>
      <c r="KHX1" s="331" t="s">
        <v>8387</v>
      </c>
      <c r="KHY1" s="331" t="s">
        <v>8388</v>
      </c>
      <c r="KHZ1" s="331" t="s">
        <v>8389</v>
      </c>
      <c r="KIA1" s="331" t="s">
        <v>8390</v>
      </c>
      <c r="KIB1" s="331" t="s">
        <v>8391</v>
      </c>
      <c r="KIC1" s="331" t="s">
        <v>8392</v>
      </c>
      <c r="KID1" s="331" t="s">
        <v>8393</v>
      </c>
      <c r="KIE1" s="331" t="s">
        <v>8394</v>
      </c>
      <c r="KIF1" s="331" t="s">
        <v>8395</v>
      </c>
      <c r="KIG1" s="331" t="s">
        <v>8396</v>
      </c>
      <c r="KIH1" s="331" t="s">
        <v>8397</v>
      </c>
      <c r="KII1" s="331" t="s">
        <v>8398</v>
      </c>
      <c r="KIJ1" s="331" t="s">
        <v>8399</v>
      </c>
      <c r="KIK1" s="331" t="s">
        <v>8400</v>
      </c>
      <c r="KIL1" s="331" t="s">
        <v>8401</v>
      </c>
      <c r="KIM1" s="331" t="s">
        <v>8402</v>
      </c>
      <c r="KIN1" s="331" t="s">
        <v>8403</v>
      </c>
      <c r="KIO1" s="331" t="s">
        <v>8404</v>
      </c>
      <c r="KIP1" s="331" t="s">
        <v>8405</v>
      </c>
      <c r="KIQ1" s="331" t="s">
        <v>8406</v>
      </c>
      <c r="KIR1" s="331" t="s">
        <v>8407</v>
      </c>
      <c r="KIS1" s="331" t="s">
        <v>8408</v>
      </c>
      <c r="KIT1" s="331" t="s">
        <v>8409</v>
      </c>
      <c r="KIU1" s="331" t="s">
        <v>8410</v>
      </c>
      <c r="KIV1" s="331" t="s">
        <v>8411</v>
      </c>
      <c r="KIW1" s="331" t="s">
        <v>8412</v>
      </c>
      <c r="KIX1" s="331" t="s">
        <v>8413</v>
      </c>
      <c r="KIY1" s="331" t="s">
        <v>8414</v>
      </c>
      <c r="KIZ1" s="331" t="s">
        <v>8415</v>
      </c>
      <c r="KJA1" s="331" t="s">
        <v>8416</v>
      </c>
      <c r="KJB1" s="331" t="s">
        <v>8417</v>
      </c>
      <c r="KJC1" s="331" t="s">
        <v>8418</v>
      </c>
      <c r="KJD1" s="331" t="s">
        <v>8419</v>
      </c>
      <c r="KJE1" s="331" t="s">
        <v>8420</v>
      </c>
      <c r="KJF1" s="331" t="s">
        <v>8421</v>
      </c>
      <c r="KJG1" s="331" t="s">
        <v>8422</v>
      </c>
      <c r="KJH1" s="331" t="s">
        <v>8423</v>
      </c>
      <c r="KJI1" s="331" t="s">
        <v>8424</v>
      </c>
      <c r="KJJ1" s="331" t="s">
        <v>8425</v>
      </c>
      <c r="KJK1" s="331" t="s">
        <v>8426</v>
      </c>
      <c r="KJL1" s="331" t="s">
        <v>8427</v>
      </c>
      <c r="KJM1" s="331" t="s">
        <v>8428</v>
      </c>
      <c r="KJN1" s="331" t="s">
        <v>8429</v>
      </c>
      <c r="KJO1" s="331" t="s">
        <v>8430</v>
      </c>
      <c r="KJP1" s="331" t="s">
        <v>8431</v>
      </c>
      <c r="KJQ1" s="331" t="s">
        <v>8432</v>
      </c>
      <c r="KJR1" s="331" t="s">
        <v>8433</v>
      </c>
      <c r="KJS1" s="331" t="s">
        <v>8434</v>
      </c>
      <c r="KJT1" s="331" t="s">
        <v>8435</v>
      </c>
      <c r="KJU1" s="331" t="s">
        <v>8436</v>
      </c>
      <c r="KJV1" s="331" t="s">
        <v>8437</v>
      </c>
      <c r="KJW1" s="331" t="s">
        <v>8438</v>
      </c>
      <c r="KJX1" s="331" t="s">
        <v>8439</v>
      </c>
      <c r="KJY1" s="331" t="s">
        <v>8440</v>
      </c>
      <c r="KJZ1" s="331" t="s">
        <v>8441</v>
      </c>
      <c r="KKA1" s="331" t="s">
        <v>8442</v>
      </c>
      <c r="KKB1" s="331" t="s">
        <v>8443</v>
      </c>
      <c r="KKC1" s="331" t="s">
        <v>8444</v>
      </c>
      <c r="KKD1" s="331" t="s">
        <v>8445</v>
      </c>
      <c r="KKE1" s="331" t="s">
        <v>8446</v>
      </c>
      <c r="KKF1" s="331" t="s">
        <v>8447</v>
      </c>
      <c r="KKG1" s="331" t="s">
        <v>8448</v>
      </c>
      <c r="KKH1" s="331" t="s">
        <v>8449</v>
      </c>
      <c r="KKI1" s="331" t="s">
        <v>8450</v>
      </c>
      <c r="KKJ1" s="331" t="s">
        <v>8451</v>
      </c>
      <c r="KKK1" s="331" t="s">
        <v>8452</v>
      </c>
      <c r="KKL1" s="331" t="s">
        <v>8453</v>
      </c>
      <c r="KKM1" s="331" t="s">
        <v>8454</v>
      </c>
      <c r="KKN1" s="331" t="s">
        <v>8455</v>
      </c>
      <c r="KKO1" s="331" t="s">
        <v>8456</v>
      </c>
      <c r="KKP1" s="331" t="s">
        <v>8457</v>
      </c>
      <c r="KKQ1" s="331" t="s">
        <v>8458</v>
      </c>
      <c r="KKR1" s="331" t="s">
        <v>8459</v>
      </c>
      <c r="KKS1" s="331" t="s">
        <v>8460</v>
      </c>
      <c r="KKT1" s="331" t="s">
        <v>8461</v>
      </c>
      <c r="KKU1" s="331" t="s">
        <v>8462</v>
      </c>
      <c r="KKV1" s="331" t="s">
        <v>8463</v>
      </c>
      <c r="KKW1" s="331" t="s">
        <v>8464</v>
      </c>
      <c r="KKX1" s="331" t="s">
        <v>8465</v>
      </c>
      <c r="KKY1" s="331" t="s">
        <v>8466</v>
      </c>
      <c r="KKZ1" s="331" t="s">
        <v>8467</v>
      </c>
      <c r="KLA1" s="331" t="s">
        <v>8468</v>
      </c>
      <c r="KLB1" s="331" t="s">
        <v>8469</v>
      </c>
      <c r="KLC1" s="331" t="s">
        <v>8470</v>
      </c>
      <c r="KLD1" s="331" t="s">
        <v>8471</v>
      </c>
      <c r="KLE1" s="331" t="s">
        <v>8472</v>
      </c>
      <c r="KLF1" s="331" t="s">
        <v>8473</v>
      </c>
      <c r="KLG1" s="331" t="s">
        <v>8474</v>
      </c>
      <c r="KLH1" s="331" t="s">
        <v>8475</v>
      </c>
      <c r="KLI1" s="331" t="s">
        <v>8476</v>
      </c>
      <c r="KLJ1" s="331" t="s">
        <v>8477</v>
      </c>
      <c r="KLK1" s="331" t="s">
        <v>8478</v>
      </c>
      <c r="KLL1" s="331" t="s">
        <v>8479</v>
      </c>
      <c r="KLM1" s="331" t="s">
        <v>8480</v>
      </c>
      <c r="KLN1" s="331" t="s">
        <v>8481</v>
      </c>
      <c r="KLO1" s="331" t="s">
        <v>8482</v>
      </c>
      <c r="KLP1" s="331" t="s">
        <v>8483</v>
      </c>
      <c r="KLQ1" s="331" t="s">
        <v>8484</v>
      </c>
      <c r="KLR1" s="331" t="s">
        <v>8485</v>
      </c>
      <c r="KLS1" s="331" t="s">
        <v>8486</v>
      </c>
      <c r="KLT1" s="331" t="s">
        <v>8487</v>
      </c>
      <c r="KLU1" s="331" t="s">
        <v>8488</v>
      </c>
      <c r="KLV1" s="331" t="s">
        <v>8489</v>
      </c>
      <c r="KLW1" s="331" t="s">
        <v>8490</v>
      </c>
      <c r="KLX1" s="331" t="s">
        <v>8491</v>
      </c>
      <c r="KLY1" s="331" t="s">
        <v>8492</v>
      </c>
      <c r="KLZ1" s="331" t="s">
        <v>8493</v>
      </c>
      <c r="KMA1" s="331" t="s">
        <v>8494</v>
      </c>
      <c r="KMB1" s="331" t="s">
        <v>8495</v>
      </c>
      <c r="KMC1" s="331" t="s">
        <v>8496</v>
      </c>
      <c r="KMD1" s="331" t="s">
        <v>8497</v>
      </c>
      <c r="KME1" s="331" t="s">
        <v>8498</v>
      </c>
      <c r="KMF1" s="331" t="s">
        <v>8499</v>
      </c>
      <c r="KMG1" s="331" t="s">
        <v>8500</v>
      </c>
      <c r="KMH1" s="331" t="s">
        <v>8501</v>
      </c>
      <c r="KMI1" s="331" t="s">
        <v>8502</v>
      </c>
      <c r="KMJ1" s="331" t="s">
        <v>8503</v>
      </c>
      <c r="KMK1" s="331" t="s">
        <v>8504</v>
      </c>
      <c r="KML1" s="331" t="s">
        <v>8505</v>
      </c>
      <c r="KMM1" s="331" t="s">
        <v>8506</v>
      </c>
      <c r="KMN1" s="331" t="s">
        <v>8507</v>
      </c>
      <c r="KMO1" s="331" t="s">
        <v>8508</v>
      </c>
      <c r="KMP1" s="331" t="s">
        <v>8509</v>
      </c>
      <c r="KMQ1" s="331" t="s">
        <v>8510</v>
      </c>
      <c r="KMR1" s="331" t="s">
        <v>8511</v>
      </c>
      <c r="KMS1" s="331" t="s">
        <v>8512</v>
      </c>
      <c r="KMT1" s="331" t="s">
        <v>8513</v>
      </c>
      <c r="KMU1" s="331" t="s">
        <v>8514</v>
      </c>
      <c r="KMV1" s="331" t="s">
        <v>8515</v>
      </c>
      <c r="KMW1" s="331" t="s">
        <v>8516</v>
      </c>
      <c r="KMX1" s="331" t="s">
        <v>8517</v>
      </c>
      <c r="KMY1" s="331" t="s">
        <v>8518</v>
      </c>
      <c r="KMZ1" s="331" t="s">
        <v>8519</v>
      </c>
      <c r="KNA1" s="331" t="s">
        <v>8520</v>
      </c>
      <c r="KNB1" s="331" t="s">
        <v>8521</v>
      </c>
      <c r="KNC1" s="331" t="s">
        <v>8522</v>
      </c>
      <c r="KND1" s="331" t="s">
        <v>8523</v>
      </c>
      <c r="KNE1" s="331" t="s">
        <v>8524</v>
      </c>
      <c r="KNF1" s="331" t="s">
        <v>8525</v>
      </c>
      <c r="KNG1" s="331" t="s">
        <v>8526</v>
      </c>
      <c r="KNH1" s="331" t="s">
        <v>8527</v>
      </c>
      <c r="KNI1" s="331" t="s">
        <v>8528</v>
      </c>
      <c r="KNJ1" s="331" t="s">
        <v>8529</v>
      </c>
      <c r="KNK1" s="331" t="s">
        <v>8530</v>
      </c>
      <c r="KNL1" s="331" t="s">
        <v>8531</v>
      </c>
      <c r="KNM1" s="331" t="s">
        <v>8532</v>
      </c>
      <c r="KNN1" s="331" t="s">
        <v>8533</v>
      </c>
      <c r="KNO1" s="331" t="s">
        <v>8534</v>
      </c>
      <c r="KNP1" s="331" t="s">
        <v>8535</v>
      </c>
      <c r="KNQ1" s="331" t="s">
        <v>8536</v>
      </c>
      <c r="KNR1" s="331" t="s">
        <v>8537</v>
      </c>
      <c r="KNS1" s="331" t="s">
        <v>8538</v>
      </c>
      <c r="KNT1" s="331" t="s">
        <v>8539</v>
      </c>
      <c r="KNU1" s="331" t="s">
        <v>8540</v>
      </c>
      <c r="KNV1" s="331" t="s">
        <v>8541</v>
      </c>
      <c r="KNW1" s="331" t="s">
        <v>8542</v>
      </c>
      <c r="KNX1" s="331" t="s">
        <v>8543</v>
      </c>
      <c r="KNY1" s="331" t="s">
        <v>8544</v>
      </c>
      <c r="KNZ1" s="331" t="s">
        <v>8545</v>
      </c>
      <c r="KOA1" s="331" t="s">
        <v>8546</v>
      </c>
      <c r="KOB1" s="331" t="s">
        <v>8547</v>
      </c>
      <c r="KOC1" s="331" t="s">
        <v>8548</v>
      </c>
      <c r="KOD1" s="331" t="s">
        <v>8549</v>
      </c>
      <c r="KOE1" s="331" t="s">
        <v>8550</v>
      </c>
      <c r="KOF1" s="331" t="s">
        <v>8551</v>
      </c>
      <c r="KOG1" s="331" t="s">
        <v>8552</v>
      </c>
      <c r="KOH1" s="331" t="s">
        <v>8553</v>
      </c>
      <c r="KOI1" s="331" t="s">
        <v>8554</v>
      </c>
      <c r="KOJ1" s="331" t="s">
        <v>8555</v>
      </c>
      <c r="KOK1" s="331" t="s">
        <v>8556</v>
      </c>
      <c r="KOL1" s="331" t="s">
        <v>8557</v>
      </c>
      <c r="KOM1" s="331" t="s">
        <v>8558</v>
      </c>
      <c r="KON1" s="331" t="s">
        <v>8559</v>
      </c>
      <c r="KOO1" s="331" t="s">
        <v>8560</v>
      </c>
      <c r="KOP1" s="331" t="s">
        <v>8561</v>
      </c>
      <c r="KOQ1" s="331" t="s">
        <v>8562</v>
      </c>
      <c r="KOR1" s="331" t="s">
        <v>8563</v>
      </c>
      <c r="KOS1" s="331" t="s">
        <v>8564</v>
      </c>
      <c r="KOT1" s="331" t="s">
        <v>8565</v>
      </c>
      <c r="KOU1" s="331" t="s">
        <v>8566</v>
      </c>
      <c r="KOV1" s="331" t="s">
        <v>8567</v>
      </c>
      <c r="KOW1" s="331" t="s">
        <v>8568</v>
      </c>
      <c r="KOX1" s="331" t="s">
        <v>8569</v>
      </c>
      <c r="KOY1" s="331" t="s">
        <v>8570</v>
      </c>
      <c r="KOZ1" s="331" t="s">
        <v>8571</v>
      </c>
      <c r="KPA1" s="331" t="s">
        <v>8572</v>
      </c>
      <c r="KPB1" s="331" t="s">
        <v>8573</v>
      </c>
      <c r="KPC1" s="331" t="s">
        <v>8574</v>
      </c>
      <c r="KPD1" s="331" t="s">
        <v>8575</v>
      </c>
      <c r="KPE1" s="331" t="s">
        <v>8576</v>
      </c>
      <c r="KPF1" s="331" t="s">
        <v>8577</v>
      </c>
      <c r="KPG1" s="331" t="s">
        <v>8578</v>
      </c>
      <c r="KPH1" s="331" t="s">
        <v>8579</v>
      </c>
      <c r="KPI1" s="331" t="s">
        <v>8580</v>
      </c>
      <c r="KPJ1" s="331" t="s">
        <v>8581</v>
      </c>
      <c r="KPK1" s="331" t="s">
        <v>8582</v>
      </c>
      <c r="KPL1" s="331" t="s">
        <v>8583</v>
      </c>
      <c r="KPM1" s="331" t="s">
        <v>8584</v>
      </c>
      <c r="KPN1" s="331" t="s">
        <v>8585</v>
      </c>
      <c r="KPO1" s="331" t="s">
        <v>8586</v>
      </c>
      <c r="KPP1" s="331" t="s">
        <v>8587</v>
      </c>
      <c r="KPQ1" s="331" t="s">
        <v>8588</v>
      </c>
      <c r="KPR1" s="331" t="s">
        <v>8589</v>
      </c>
      <c r="KPS1" s="331" t="s">
        <v>8590</v>
      </c>
      <c r="KPT1" s="331" t="s">
        <v>8591</v>
      </c>
      <c r="KPU1" s="331" t="s">
        <v>8592</v>
      </c>
      <c r="KPV1" s="331" t="s">
        <v>8593</v>
      </c>
      <c r="KPW1" s="331" t="s">
        <v>8594</v>
      </c>
      <c r="KPX1" s="331" t="s">
        <v>8595</v>
      </c>
      <c r="KPY1" s="331" t="s">
        <v>8596</v>
      </c>
      <c r="KPZ1" s="331" t="s">
        <v>8597</v>
      </c>
      <c r="KQA1" s="331" t="s">
        <v>8598</v>
      </c>
      <c r="KQB1" s="331" t="s">
        <v>8599</v>
      </c>
      <c r="KQC1" s="331" t="s">
        <v>8600</v>
      </c>
      <c r="KQD1" s="331" t="s">
        <v>8601</v>
      </c>
      <c r="KQE1" s="331" t="s">
        <v>8602</v>
      </c>
      <c r="KQF1" s="331" t="s">
        <v>8603</v>
      </c>
      <c r="KQG1" s="331" t="s">
        <v>8604</v>
      </c>
      <c r="KQH1" s="331" t="s">
        <v>8605</v>
      </c>
      <c r="KQI1" s="331" t="s">
        <v>8606</v>
      </c>
      <c r="KQJ1" s="331" t="s">
        <v>8607</v>
      </c>
      <c r="KQK1" s="331" t="s">
        <v>8608</v>
      </c>
      <c r="KQL1" s="331" t="s">
        <v>8609</v>
      </c>
      <c r="KQM1" s="331" t="s">
        <v>8610</v>
      </c>
      <c r="KQN1" s="331" t="s">
        <v>8611</v>
      </c>
      <c r="KQO1" s="331" t="s">
        <v>8612</v>
      </c>
      <c r="KQP1" s="331" t="s">
        <v>8613</v>
      </c>
      <c r="KQQ1" s="331" t="s">
        <v>8614</v>
      </c>
      <c r="KQR1" s="331" t="s">
        <v>8615</v>
      </c>
      <c r="KQS1" s="331" t="s">
        <v>8616</v>
      </c>
      <c r="KQT1" s="331" t="s">
        <v>8617</v>
      </c>
      <c r="KQU1" s="331" t="s">
        <v>8618</v>
      </c>
      <c r="KQV1" s="331" t="s">
        <v>8619</v>
      </c>
      <c r="KQW1" s="331" t="s">
        <v>8620</v>
      </c>
      <c r="KQX1" s="331" t="s">
        <v>8621</v>
      </c>
      <c r="KQY1" s="331" t="s">
        <v>8622</v>
      </c>
      <c r="KQZ1" s="331" t="s">
        <v>8623</v>
      </c>
      <c r="KRA1" s="331" t="s">
        <v>8624</v>
      </c>
      <c r="KRB1" s="331" t="s">
        <v>8625</v>
      </c>
      <c r="KRC1" s="331" t="s">
        <v>8626</v>
      </c>
      <c r="KRD1" s="331" t="s">
        <v>8627</v>
      </c>
      <c r="KRE1" s="331" t="s">
        <v>8628</v>
      </c>
      <c r="KRF1" s="331" t="s">
        <v>8629</v>
      </c>
      <c r="KRG1" s="331" t="s">
        <v>8630</v>
      </c>
      <c r="KRH1" s="331" t="s">
        <v>8631</v>
      </c>
      <c r="KRI1" s="331" t="s">
        <v>8632</v>
      </c>
      <c r="KRJ1" s="331" t="s">
        <v>8633</v>
      </c>
      <c r="KRK1" s="331" t="s">
        <v>8634</v>
      </c>
      <c r="KRL1" s="331" t="s">
        <v>8635</v>
      </c>
      <c r="KRM1" s="331" t="s">
        <v>8636</v>
      </c>
      <c r="KRN1" s="331" t="s">
        <v>8637</v>
      </c>
      <c r="KRO1" s="331" t="s">
        <v>8638</v>
      </c>
      <c r="KRP1" s="331" t="s">
        <v>8639</v>
      </c>
      <c r="KRQ1" s="331" t="s">
        <v>8640</v>
      </c>
      <c r="KRR1" s="331" t="s">
        <v>8641</v>
      </c>
      <c r="KRS1" s="331" t="s">
        <v>8642</v>
      </c>
      <c r="KRT1" s="331" t="s">
        <v>8643</v>
      </c>
      <c r="KRU1" s="331" t="s">
        <v>8644</v>
      </c>
      <c r="KRV1" s="331" t="s">
        <v>8645</v>
      </c>
      <c r="KRW1" s="331" t="s">
        <v>8646</v>
      </c>
      <c r="KRX1" s="331" t="s">
        <v>8647</v>
      </c>
      <c r="KRY1" s="331" t="s">
        <v>8648</v>
      </c>
      <c r="KRZ1" s="331" t="s">
        <v>8649</v>
      </c>
      <c r="KSA1" s="331" t="s">
        <v>8650</v>
      </c>
      <c r="KSB1" s="331" t="s">
        <v>8651</v>
      </c>
      <c r="KSC1" s="331" t="s">
        <v>8652</v>
      </c>
      <c r="KSD1" s="331" t="s">
        <v>8653</v>
      </c>
      <c r="KSE1" s="331" t="s">
        <v>8654</v>
      </c>
      <c r="KSF1" s="331" t="s">
        <v>8655</v>
      </c>
      <c r="KSG1" s="331" t="s">
        <v>8656</v>
      </c>
      <c r="KSH1" s="331" t="s">
        <v>8657</v>
      </c>
      <c r="KSI1" s="331" t="s">
        <v>8658</v>
      </c>
      <c r="KSJ1" s="331" t="s">
        <v>8659</v>
      </c>
      <c r="KSK1" s="331" t="s">
        <v>8660</v>
      </c>
      <c r="KSL1" s="331" t="s">
        <v>8661</v>
      </c>
      <c r="KSM1" s="331" t="s">
        <v>8662</v>
      </c>
      <c r="KSN1" s="331" t="s">
        <v>8663</v>
      </c>
      <c r="KSO1" s="331" t="s">
        <v>8664</v>
      </c>
      <c r="KSP1" s="331" t="s">
        <v>8665</v>
      </c>
      <c r="KSQ1" s="331" t="s">
        <v>8666</v>
      </c>
      <c r="KSR1" s="331" t="s">
        <v>8667</v>
      </c>
      <c r="KSS1" s="331" t="s">
        <v>8668</v>
      </c>
      <c r="KST1" s="331" t="s">
        <v>8669</v>
      </c>
      <c r="KSU1" s="331" t="s">
        <v>8670</v>
      </c>
      <c r="KSV1" s="331" t="s">
        <v>8671</v>
      </c>
      <c r="KSW1" s="331" t="s">
        <v>8672</v>
      </c>
      <c r="KSX1" s="331" t="s">
        <v>8673</v>
      </c>
      <c r="KSY1" s="331" t="s">
        <v>8674</v>
      </c>
      <c r="KSZ1" s="331" t="s">
        <v>8675</v>
      </c>
      <c r="KTA1" s="331" t="s">
        <v>8676</v>
      </c>
      <c r="KTB1" s="331" t="s">
        <v>8677</v>
      </c>
      <c r="KTC1" s="331" t="s">
        <v>8678</v>
      </c>
      <c r="KTD1" s="331" t="s">
        <v>8679</v>
      </c>
      <c r="KTE1" s="331" t="s">
        <v>8680</v>
      </c>
      <c r="KTF1" s="331" t="s">
        <v>8681</v>
      </c>
      <c r="KTG1" s="331" t="s">
        <v>8682</v>
      </c>
      <c r="KTH1" s="331" t="s">
        <v>8683</v>
      </c>
      <c r="KTI1" s="331" t="s">
        <v>8684</v>
      </c>
      <c r="KTJ1" s="331" t="s">
        <v>8685</v>
      </c>
      <c r="KTK1" s="331" t="s">
        <v>8686</v>
      </c>
      <c r="KTL1" s="331" t="s">
        <v>8687</v>
      </c>
      <c r="KTM1" s="331" t="s">
        <v>8688</v>
      </c>
      <c r="KTN1" s="331" t="s">
        <v>8689</v>
      </c>
      <c r="KTO1" s="331" t="s">
        <v>8690</v>
      </c>
      <c r="KTP1" s="331" t="s">
        <v>8691</v>
      </c>
      <c r="KTQ1" s="331" t="s">
        <v>8692</v>
      </c>
      <c r="KTR1" s="331" t="s">
        <v>8693</v>
      </c>
      <c r="KTS1" s="331" t="s">
        <v>8694</v>
      </c>
      <c r="KTT1" s="331" t="s">
        <v>8695</v>
      </c>
      <c r="KTU1" s="331" t="s">
        <v>8696</v>
      </c>
      <c r="KTV1" s="331" t="s">
        <v>8697</v>
      </c>
      <c r="KTW1" s="331" t="s">
        <v>8698</v>
      </c>
      <c r="KTX1" s="331" t="s">
        <v>8699</v>
      </c>
      <c r="KTY1" s="331" t="s">
        <v>8700</v>
      </c>
      <c r="KTZ1" s="331" t="s">
        <v>8701</v>
      </c>
      <c r="KUA1" s="331" t="s">
        <v>8702</v>
      </c>
      <c r="KUB1" s="331" t="s">
        <v>8703</v>
      </c>
      <c r="KUC1" s="331" t="s">
        <v>8704</v>
      </c>
      <c r="KUD1" s="331" t="s">
        <v>8705</v>
      </c>
      <c r="KUE1" s="331" t="s">
        <v>8706</v>
      </c>
      <c r="KUF1" s="331" t="s">
        <v>8707</v>
      </c>
      <c r="KUG1" s="331" t="s">
        <v>8708</v>
      </c>
      <c r="KUH1" s="331" t="s">
        <v>8709</v>
      </c>
      <c r="KUI1" s="331" t="s">
        <v>8710</v>
      </c>
      <c r="KUJ1" s="331" t="s">
        <v>8711</v>
      </c>
      <c r="KUK1" s="331" t="s">
        <v>8712</v>
      </c>
      <c r="KUL1" s="331" t="s">
        <v>8713</v>
      </c>
      <c r="KUM1" s="331" t="s">
        <v>8714</v>
      </c>
      <c r="KUN1" s="331" t="s">
        <v>8715</v>
      </c>
      <c r="KUO1" s="331" t="s">
        <v>8716</v>
      </c>
      <c r="KUP1" s="331" t="s">
        <v>8717</v>
      </c>
      <c r="KUQ1" s="331" t="s">
        <v>8718</v>
      </c>
      <c r="KUR1" s="331" t="s">
        <v>8719</v>
      </c>
      <c r="KUS1" s="331" t="s">
        <v>8720</v>
      </c>
      <c r="KUT1" s="331" t="s">
        <v>8721</v>
      </c>
      <c r="KUU1" s="331" t="s">
        <v>8722</v>
      </c>
      <c r="KUV1" s="331" t="s">
        <v>8723</v>
      </c>
      <c r="KUW1" s="331" t="s">
        <v>8724</v>
      </c>
      <c r="KUX1" s="331" t="s">
        <v>8725</v>
      </c>
      <c r="KUY1" s="331" t="s">
        <v>8726</v>
      </c>
      <c r="KUZ1" s="331" t="s">
        <v>8727</v>
      </c>
      <c r="KVA1" s="331" t="s">
        <v>8728</v>
      </c>
      <c r="KVB1" s="331" t="s">
        <v>8729</v>
      </c>
      <c r="KVC1" s="331" t="s">
        <v>8730</v>
      </c>
      <c r="KVD1" s="331" t="s">
        <v>8731</v>
      </c>
      <c r="KVE1" s="331" t="s">
        <v>8732</v>
      </c>
      <c r="KVF1" s="331" t="s">
        <v>8733</v>
      </c>
      <c r="KVG1" s="331" t="s">
        <v>8734</v>
      </c>
      <c r="KVH1" s="331" t="s">
        <v>8735</v>
      </c>
      <c r="KVI1" s="331" t="s">
        <v>8736</v>
      </c>
      <c r="KVJ1" s="331" t="s">
        <v>8737</v>
      </c>
      <c r="KVK1" s="331" t="s">
        <v>8738</v>
      </c>
      <c r="KVL1" s="331" t="s">
        <v>8739</v>
      </c>
      <c r="KVM1" s="331" t="s">
        <v>8740</v>
      </c>
      <c r="KVN1" s="331" t="s">
        <v>8741</v>
      </c>
      <c r="KVO1" s="331" t="s">
        <v>8742</v>
      </c>
      <c r="KVP1" s="331" t="s">
        <v>8743</v>
      </c>
      <c r="KVQ1" s="331" t="s">
        <v>8744</v>
      </c>
      <c r="KVR1" s="331" t="s">
        <v>8745</v>
      </c>
      <c r="KVS1" s="331" t="s">
        <v>8746</v>
      </c>
      <c r="KVT1" s="331" t="s">
        <v>8747</v>
      </c>
      <c r="KVU1" s="331" t="s">
        <v>8748</v>
      </c>
      <c r="KVV1" s="331" t="s">
        <v>8749</v>
      </c>
      <c r="KVW1" s="331" t="s">
        <v>8750</v>
      </c>
      <c r="KVX1" s="331" t="s">
        <v>8751</v>
      </c>
      <c r="KVY1" s="331" t="s">
        <v>8752</v>
      </c>
      <c r="KVZ1" s="331" t="s">
        <v>8753</v>
      </c>
      <c r="KWA1" s="331" t="s">
        <v>8754</v>
      </c>
      <c r="KWB1" s="331" t="s">
        <v>8755</v>
      </c>
      <c r="KWC1" s="331" t="s">
        <v>8756</v>
      </c>
      <c r="KWD1" s="331" t="s">
        <v>8757</v>
      </c>
      <c r="KWE1" s="331" t="s">
        <v>8758</v>
      </c>
      <c r="KWF1" s="331" t="s">
        <v>8759</v>
      </c>
      <c r="KWG1" s="331" t="s">
        <v>8760</v>
      </c>
      <c r="KWH1" s="331" t="s">
        <v>8761</v>
      </c>
      <c r="KWI1" s="331" t="s">
        <v>8762</v>
      </c>
      <c r="KWJ1" s="331" t="s">
        <v>8763</v>
      </c>
      <c r="KWK1" s="331" t="s">
        <v>8764</v>
      </c>
      <c r="KWL1" s="331" t="s">
        <v>8765</v>
      </c>
      <c r="KWM1" s="331" t="s">
        <v>8766</v>
      </c>
      <c r="KWN1" s="331" t="s">
        <v>8767</v>
      </c>
      <c r="KWO1" s="331" t="s">
        <v>8768</v>
      </c>
      <c r="KWP1" s="331" t="s">
        <v>8769</v>
      </c>
      <c r="KWQ1" s="331" t="s">
        <v>8770</v>
      </c>
      <c r="KWR1" s="331" t="s">
        <v>8771</v>
      </c>
      <c r="KWS1" s="331" t="s">
        <v>8772</v>
      </c>
      <c r="KWT1" s="331" t="s">
        <v>8773</v>
      </c>
      <c r="KWU1" s="331" t="s">
        <v>8774</v>
      </c>
      <c r="KWV1" s="331" t="s">
        <v>8775</v>
      </c>
      <c r="KWW1" s="331" t="s">
        <v>8776</v>
      </c>
      <c r="KWX1" s="331" t="s">
        <v>8777</v>
      </c>
      <c r="KWY1" s="331" t="s">
        <v>8778</v>
      </c>
      <c r="KWZ1" s="331" t="s">
        <v>8779</v>
      </c>
      <c r="KXA1" s="331" t="s">
        <v>8780</v>
      </c>
      <c r="KXB1" s="331" t="s">
        <v>8781</v>
      </c>
      <c r="KXC1" s="331" t="s">
        <v>8782</v>
      </c>
      <c r="KXD1" s="331" t="s">
        <v>8783</v>
      </c>
      <c r="KXE1" s="331" t="s">
        <v>8784</v>
      </c>
      <c r="KXF1" s="331" t="s">
        <v>8785</v>
      </c>
      <c r="KXG1" s="331" t="s">
        <v>8786</v>
      </c>
      <c r="KXH1" s="331" t="s">
        <v>8787</v>
      </c>
      <c r="KXI1" s="331" t="s">
        <v>8788</v>
      </c>
      <c r="KXJ1" s="331" t="s">
        <v>8789</v>
      </c>
      <c r="KXK1" s="331" t="s">
        <v>8790</v>
      </c>
      <c r="KXL1" s="331" t="s">
        <v>8791</v>
      </c>
      <c r="KXM1" s="331" t="s">
        <v>8792</v>
      </c>
      <c r="KXN1" s="331" t="s">
        <v>8793</v>
      </c>
      <c r="KXO1" s="331" t="s">
        <v>8794</v>
      </c>
      <c r="KXP1" s="331" t="s">
        <v>8795</v>
      </c>
      <c r="KXQ1" s="331" t="s">
        <v>8796</v>
      </c>
      <c r="KXR1" s="331" t="s">
        <v>8797</v>
      </c>
      <c r="KXS1" s="331" t="s">
        <v>8798</v>
      </c>
      <c r="KXT1" s="331" t="s">
        <v>8799</v>
      </c>
      <c r="KXU1" s="331" t="s">
        <v>8800</v>
      </c>
      <c r="KXV1" s="331" t="s">
        <v>8801</v>
      </c>
      <c r="KXW1" s="331" t="s">
        <v>8802</v>
      </c>
      <c r="KXX1" s="331" t="s">
        <v>8803</v>
      </c>
      <c r="KXY1" s="331" t="s">
        <v>8804</v>
      </c>
      <c r="KXZ1" s="331" t="s">
        <v>8805</v>
      </c>
      <c r="KYA1" s="331" t="s">
        <v>8806</v>
      </c>
      <c r="KYB1" s="331" t="s">
        <v>8807</v>
      </c>
      <c r="KYC1" s="331" t="s">
        <v>8808</v>
      </c>
      <c r="KYD1" s="331" t="s">
        <v>8809</v>
      </c>
      <c r="KYE1" s="331" t="s">
        <v>8810</v>
      </c>
      <c r="KYF1" s="331" t="s">
        <v>8811</v>
      </c>
      <c r="KYG1" s="331" t="s">
        <v>8812</v>
      </c>
      <c r="KYH1" s="331" t="s">
        <v>8813</v>
      </c>
      <c r="KYI1" s="331" t="s">
        <v>8814</v>
      </c>
      <c r="KYJ1" s="331" t="s">
        <v>8815</v>
      </c>
      <c r="KYK1" s="331" t="s">
        <v>8816</v>
      </c>
      <c r="KYL1" s="331" t="s">
        <v>8817</v>
      </c>
      <c r="KYM1" s="331" t="s">
        <v>8818</v>
      </c>
      <c r="KYN1" s="331" t="s">
        <v>8819</v>
      </c>
      <c r="KYO1" s="331" t="s">
        <v>8820</v>
      </c>
      <c r="KYP1" s="331" t="s">
        <v>8821</v>
      </c>
      <c r="KYQ1" s="331" t="s">
        <v>8822</v>
      </c>
      <c r="KYR1" s="331" t="s">
        <v>8823</v>
      </c>
      <c r="KYS1" s="331" t="s">
        <v>8824</v>
      </c>
      <c r="KYT1" s="331" t="s">
        <v>8825</v>
      </c>
      <c r="KYU1" s="331" t="s">
        <v>8826</v>
      </c>
      <c r="KYV1" s="331" t="s">
        <v>8827</v>
      </c>
      <c r="KYW1" s="331" t="s">
        <v>8828</v>
      </c>
      <c r="KYX1" s="331" t="s">
        <v>8829</v>
      </c>
      <c r="KYY1" s="331" t="s">
        <v>8830</v>
      </c>
      <c r="KYZ1" s="331" t="s">
        <v>8831</v>
      </c>
      <c r="KZA1" s="331" t="s">
        <v>8832</v>
      </c>
      <c r="KZB1" s="331" t="s">
        <v>8833</v>
      </c>
      <c r="KZC1" s="331" t="s">
        <v>8834</v>
      </c>
      <c r="KZD1" s="331" t="s">
        <v>8835</v>
      </c>
      <c r="KZE1" s="331" t="s">
        <v>8836</v>
      </c>
      <c r="KZF1" s="331" t="s">
        <v>8837</v>
      </c>
      <c r="KZG1" s="331" t="s">
        <v>8838</v>
      </c>
      <c r="KZH1" s="331" t="s">
        <v>8839</v>
      </c>
      <c r="KZI1" s="331" t="s">
        <v>8840</v>
      </c>
      <c r="KZJ1" s="331" t="s">
        <v>8841</v>
      </c>
      <c r="KZK1" s="331" t="s">
        <v>8842</v>
      </c>
      <c r="KZL1" s="331" t="s">
        <v>8843</v>
      </c>
      <c r="KZM1" s="331" t="s">
        <v>8844</v>
      </c>
      <c r="KZN1" s="331" t="s">
        <v>8845</v>
      </c>
      <c r="KZO1" s="331" t="s">
        <v>8846</v>
      </c>
      <c r="KZP1" s="331" t="s">
        <v>8847</v>
      </c>
      <c r="KZQ1" s="331" t="s">
        <v>8848</v>
      </c>
      <c r="KZR1" s="331" t="s">
        <v>8849</v>
      </c>
      <c r="KZS1" s="331" t="s">
        <v>8850</v>
      </c>
      <c r="KZT1" s="331" t="s">
        <v>8851</v>
      </c>
      <c r="KZU1" s="331" t="s">
        <v>8852</v>
      </c>
      <c r="KZV1" s="331" t="s">
        <v>8853</v>
      </c>
      <c r="KZW1" s="331" t="s">
        <v>8854</v>
      </c>
      <c r="KZX1" s="331" t="s">
        <v>8855</v>
      </c>
      <c r="KZY1" s="331" t="s">
        <v>8856</v>
      </c>
      <c r="KZZ1" s="331" t="s">
        <v>8857</v>
      </c>
      <c r="LAA1" s="331" t="s">
        <v>8858</v>
      </c>
      <c r="LAB1" s="331" t="s">
        <v>8859</v>
      </c>
      <c r="LAC1" s="331" t="s">
        <v>8860</v>
      </c>
      <c r="LAD1" s="331" t="s">
        <v>8861</v>
      </c>
      <c r="LAE1" s="331" t="s">
        <v>8862</v>
      </c>
      <c r="LAF1" s="331" t="s">
        <v>8863</v>
      </c>
      <c r="LAG1" s="331" t="s">
        <v>8864</v>
      </c>
      <c r="LAH1" s="331" t="s">
        <v>8865</v>
      </c>
      <c r="LAI1" s="331" t="s">
        <v>8866</v>
      </c>
      <c r="LAJ1" s="331" t="s">
        <v>8867</v>
      </c>
      <c r="LAK1" s="331" t="s">
        <v>8868</v>
      </c>
      <c r="LAL1" s="331" t="s">
        <v>8869</v>
      </c>
      <c r="LAM1" s="331" t="s">
        <v>8870</v>
      </c>
      <c r="LAN1" s="331" t="s">
        <v>8871</v>
      </c>
      <c r="LAO1" s="331" t="s">
        <v>8872</v>
      </c>
      <c r="LAP1" s="331" t="s">
        <v>8873</v>
      </c>
      <c r="LAQ1" s="331" t="s">
        <v>8874</v>
      </c>
      <c r="LAR1" s="331" t="s">
        <v>8875</v>
      </c>
      <c r="LAS1" s="331" t="s">
        <v>8876</v>
      </c>
      <c r="LAT1" s="331" t="s">
        <v>8877</v>
      </c>
      <c r="LAU1" s="331" t="s">
        <v>8878</v>
      </c>
      <c r="LAV1" s="331" t="s">
        <v>8879</v>
      </c>
      <c r="LAW1" s="331" t="s">
        <v>8880</v>
      </c>
      <c r="LAX1" s="331" t="s">
        <v>8881</v>
      </c>
      <c r="LAY1" s="331" t="s">
        <v>8882</v>
      </c>
      <c r="LAZ1" s="331" t="s">
        <v>8883</v>
      </c>
      <c r="LBA1" s="331" t="s">
        <v>8884</v>
      </c>
      <c r="LBB1" s="331" t="s">
        <v>8885</v>
      </c>
      <c r="LBC1" s="331" t="s">
        <v>8886</v>
      </c>
      <c r="LBD1" s="331" t="s">
        <v>8887</v>
      </c>
      <c r="LBE1" s="331" t="s">
        <v>8888</v>
      </c>
      <c r="LBF1" s="331" t="s">
        <v>8889</v>
      </c>
      <c r="LBG1" s="331" t="s">
        <v>8890</v>
      </c>
      <c r="LBH1" s="331" t="s">
        <v>8891</v>
      </c>
      <c r="LBI1" s="331" t="s">
        <v>8892</v>
      </c>
      <c r="LBJ1" s="331" t="s">
        <v>8893</v>
      </c>
      <c r="LBK1" s="331" t="s">
        <v>8894</v>
      </c>
      <c r="LBL1" s="331" t="s">
        <v>8895</v>
      </c>
      <c r="LBM1" s="331" t="s">
        <v>8896</v>
      </c>
      <c r="LBN1" s="331" t="s">
        <v>8897</v>
      </c>
      <c r="LBO1" s="331" t="s">
        <v>8898</v>
      </c>
      <c r="LBP1" s="331" t="s">
        <v>8899</v>
      </c>
      <c r="LBQ1" s="331" t="s">
        <v>8900</v>
      </c>
      <c r="LBR1" s="331" t="s">
        <v>8901</v>
      </c>
      <c r="LBS1" s="331" t="s">
        <v>8902</v>
      </c>
      <c r="LBT1" s="331" t="s">
        <v>8903</v>
      </c>
      <c r="LBU1" s="331" t="s">
        <v>8904</v>
      </c>
      <c r="LBV1" s="331" t="s">
        <v>8905</v>
      </c>
      <c r="LBW1" s="331" t="s">
        <v>8906</v>
      </c>
      <c r="LBX1" s="331" t="s">
        <v>8907</v>
      </c>
      <c r="LBY1" s="331" t="s">
        <v>8908</v>
      </c>
      <c r="LBZ1" s="331" t="s">
        <v>8909</v>
      </c>
      <c r="LCA1" s="331" t="s">
        <v>8910</v>
      </c>
      <c r="LCB1" s="331" t="s">
        <v>8911</v>
      </c>
      <c r="LCC1" s="331" t="s">
        <v>8912</v>
      </c>
      <c r="LCD1" s="331" t="s">
        <v>8913</v>
      </c>
      <c r="LCE1" s="331" t="s">
        <v>8914</v>
      </c>
      <c r="LCF1" s="331" t="s">
        <v>8915</v>
      </c>
      <c r="LCG1" s="331" t="s">
        <v>8916</v>
      </c>
      <c r="LCH1" s="331" t="s">
        <v>8917</v>
      </c>
      <c r="LCI1" s="331" t="s">
        <v>8918</v>
      </c>
      <c r="LCJ1" s="331" t="s">
        <v>8919</v>
      </c>
      <c r="LCK1" s="331" t="s">
        <v>8920</v>
      </c>
      <c r="LCL1" s="331" t="s">
        <v>8921</v>
      </c>
      <c r="LCM1" s="331" t="s">
        <v>8922</v>
      </c>
      <c r="LCN1" s="331" t="s">
        <v>8923</v>
      </c>
      <c r="LCO1" s="331" t="s">
        <v>8924</v>
      </c>
      <c r="LCP1" s="331" t="s">
        <v>8925</v>
      </c>
      <c r="LCQ1" s="331" t="s">
        <v>8926</v>
      </c>
      <c r="LCR1" s="331" t="s">
        <v>8927</v>
      </c>
      <c r="LCS1" s="331" t="s">
        <v>8928</v>
      </c>
      <c r="LCT1" s="331" t="s">
        <v>8929</v>
      </c>
      <c r="LCU1" s="331" t="s">
        <v>8930</v>
      </c>
      <c r="LCV1" s="331" t="s">
        <v>8931</v>
      </c>
      <c r="LCW1" s="331" t="s">
        <v>8932</v>
      </c>
      <c r="LCX1" s="331" t="s">
        <v>8933</v>
      </c>
      <c r="LCY1" s="331" t="s">
        <v>8934</v>
      </c>
      <c r="LCZ1" s="331" t="s">
        <v>8935</v>
      </c>
      <c r="LDA1" s="331" t="s">
        <v>8936</v>
      </c>
      <c r="LDB1" s="331" t="s">
        <v>8937</v>
      </c>
      <c r="LDC1" s="331" t="s">
        <v>8938</v>
      </c>
      <c r="LDD1" s="331" t="s">
        <v>8939</v>
      </c>
      <c r="LDE1" s="331" t="s">
        <v>8940</v>
      </c>
      <c r="LDF1" s="331" t="s">
        <v>8941</v>
      </c>
      <c r="LDG1" s="331" t="s">
        <v>8942</v>
      </c>
      <c r="LDH1" s="331" t="s">
        <v>8943</v>
      </c>
      <c r="LDI1" s="331" t="s">
        <v>8944</v>
      </c>
      <c r="LDJ1" s="331" t="s">
        <v>8945</v>
      </c>
      <c r="LDK1" s="331" t="s">
        <v>8946</v>
      </c>
      <c r="LDL1" s="331" t="s">
        <v>8947</v>
      </c>
      <c r="LDM1" s="331" t="s">
        <v>8948</v>
      </c>
      <c r="LDN1" s="331" t="s">
        <v>8949</v>
      </c>
      <c r="LDO1" s="331" t="s">
        <v>8950</v>
      </c>
      <c r="LDP1" s="331" t="s">
        <v>8951</v>
      </c>
      <c r="LDQ1" s="331" t="s">
        <v>8952</v>
      </c>
      <c r="LDR1" s="331" t="s">
        <v>8953</v>
      </c>
      <c r="LDS1" s="331" t="s">
        <v>8954</v>
      </c>
      <c r="LDT1" s="331" t="s">
        <v>8955</v>
      </c>
      <c r="LDU1" s="331" t="s">
        <v>8956</v>
      </c>
      <c r="LDV1" s="331" t="s">
        <v>8957</v>
      </c>
      <c r="LDW1" s="331" t="s">
        <v>8958</v>
      </c>
      <c r="LDX1" s="331" t="s">
        <v>8959</v>
      </c>
      <c r="LDY1" s="331" t="s">
        <v>8960</v>
      </c>
      <c r="LDZ1" s="331" t="s">
        <v>8961</v>
      </c>
      <c r="LEA1" s="331" t="s">
        <v>8962</v>
      </c>
      <c r="LEB1" s="331" t="s">
        <v>8963</v>
      </c>
      <c r="LEC1" s="331" t="s">
        <v>8964</v>
      </c>
      <c r="LED1" s="331" t="s">
        <v>8965</v>
      </c>
      <c r="LEE1" s="331" t="s">
        <v>8966</v>
      </c>
      <c r="LEF1" s="331" t="s">
        <v>8967</v>
      </c>
      <c r="LEG1" s="331" t="s">
        <v>8968</v>
      </c>
      <c r="LEH1" s="331" t="s">
        <v>8969</v>
      </c>
      <c r="LEI1" s="331" t="s">
        <v>8970</v>
      </c>
      <c r="LEJ1" s="331" t="s">
        <v>8971</v>
      </c>
      <c r="LEK1" s="331" t="s">
        <v>8972</v>
      </c>
      <c r="LEL1" s="331" t="s">
        <v>8973</v>
      </c>
      <c r="LEM1" s="331" t="s">
        <v>8974</v>
      </c>
      <c r="LEN1" s="331" t="s">
        <v>8975</v>
      </c>
      <c r="LEO1" s="331" t="s">
        <v>8976</v>
      </c>
      <c r="LEP1" s="331" t="s">
        <v>8977</v>
      </c>
      <c r="LEQ1" s="331" t="s">
        <v>8978</v>
      </c>
      <c r="LER1" s="331" t="s">
        <v>8979</v>
      </c>
      <c r="LES1" s="331" t="s">
        <v>8980</v>
      </c>
      <c r="LET1" s="331" t="s">
        <v>8981</v>
      </c>
      <c r="LEU1" s="331" t="s">
        <v>8982</v>
      </c>
      <c r="LEV1" s="331" t="s">
        <v>8983</v>
      </c>
      <c r="LEW1" s="331" t="s">
        <v>8984</v>
      </c>
      <c r="LEX1" s="331" t="s">
        <v>8985</v>
      </c>
      <c r="LEY1" s="331" t="s">
        <v>8986</v>
      </c>
      <c r="LEZ1" s="331" t="s">
        <v>8987</v>
      </c>
      <c r="LFA1" s="331" t="s">
        <v>8988</v>
      </c>
      <c r="LFB1" s="331" t="s">
        <v>8989</v>
      </c>
      <c r="LFC1" s="331" t="s">
        <v>8990</v>
      </c>
      <c r="LFD1" s="331" t="s">
        <v>8991</v>
      </c>
      <c r="LFE1" s="331" t="s">
        <v>8992</v>
      </c>
      <c r="LFF1" s="331" t="s">
        <v>8993</v>
      </c>
      <c r="LFG1" s="331" t="s">
        <v>8994</v>
      </c>
      <c r="LFH1" s="331" t="s">
        <v>8995</v>
      </c>
      <c r="LFI1" s="331" t="s">
        <v>8996</v>
      </c>
      <c r="LFJ1" s="331" t="s">
        <v>8997</v>
      </c>
      <c r="LFK1" s="331" t="s">
        <v>8998</v>
      </c>
      <c r="LFL1" s="331" t="s">
        <v>8999</v>
      </c>
      <c r="LFM1" s="331" t="s">
        <v>9000</v>
      </c>
      <c r="LFN1" s="331" t="s">
        <v>9001</v>
      </c>
      <c r="LFO1" s="331" t="s">
        <v>9002</v>
      </c>
      <c r="LFP1" s="331" t="s">
        <v>9003</v>
      </c>
      <c r="LFQ1" s="331" t="s">
        <v>9004</v>
      </c>
      <c r="LFR1" s="331" t="s">
        <v>9005</v>
      </c>
      <c r="LFS1" s="331" t="s">
        <v>9006</v>
      </c>
      <c r="LFT1" s="331" t="s">
        <v>9007</v>
      </c>
      <c r="LFU1" s="331" t="s">
        <v>9008</v>
      </c>
      <c r="LFV1" s="331" t="s">
        <v>9009</v>
      </c>
      <c r="LFW1" s="331" t="s">
        <v>9010</v>
      </c>
      <c r="LFX1" s="331" t="s">
        <v>9011</v>
      </c>
      <c r="LFY1" s="331" t="s">
        <v>9012</v>
      </c>
      <c r="LFZ1" s="331" t="s">
        <v>9013</v>
      </c>
      <c r="LGA1" s="331" t="s">
        <v>9014</v>
      </c>
      <c r="LGB1" s="331" t="s">
        <v>9015</v>
      </c>
      <c r="LGC1" s="331" t="s">
        <v>9016</v>
      </c>
      <c r="LGD1" s="331" t="s">
        <v>9017</v>
      </c>
      <c r="LGE1" s="331" t="s">
        <v>9018</v>
      </c>
      <c r="LGF1" s="331" t="s">
        <v>9019</v>
      </c>
      <c r="LGG1" s="331" t="s">
        <v>9020</v>
      </c>
      <c r="LGH1" s="331" t="s">
        <v>9021</v>
      </c>
      <c r="LGI1" s="331" t="s">
        <v>9022</v>
      </c>
      <c r="LGJ1" s="331" t="s">
        <v>9023</v>
      </c>
      <c r="LGK1" s="331" t="s">
        <v>9024</v>
      </c>
      <c r="LGL1" s="331" t="s">
        <v>9025</v>
      </c>
      <c r="LGM1" s="331" t="s">
        <v>9026</v>
      </c>
      <c r="LGN1" s="331" t="s">
        <v>9027</v>
      </c>
      <c r="LGO1" s="331" t="s">
        <v>9028</v>
      </c>
      <c r="LGP1" s="331" t="s">
        <v>9029</v>
      </c>
      <c r="LGQ1" s="331" t="s">
        <v>9030</v>
      </c>
      <c r="LGR1" s="331" t="s">
        <v>9031</v>
      </c>
      <c r="LGS1" s="331" t="s">
        <v>9032</v>
      </c>
      <c r="LGT1" s="331" t="s">
        <v>9033</v>
      </c>
      <c r="LGU1" s="331" t="s">
        <v>9034</v>
      </c>
      <c r="LGV1" s="331" t="s">
        <v>9035</v>
      </c>
      <c r="LGW1" s="331" t="s">
        <v>9036</v>
      </c>
      <c r="LGX1" s="331" t="s">
        <v>9037</v>
      </c>
      <c r="LGY1" s="331" t="s">
        <v>9038</v>
      </c>
      <c r="LGZ1" s="331" t="s">
        <v>9039</v>
      </c>
      <c r="LHA1" s="331" t="s">
        <v>9040</v>
      </c>
      <c r="LHB1" s="331" t="s">
        <v>9041</v>
      </c>
      <c r="LHC1" s="331" t="s">
        <v>9042</v>
      </c>
      <c r="LHD1" s="331" t="s">
        <v>9043</v>
      </c>
      <c r="LHE1" s="331" t="s">
        <v>9044</v>
      </c>
      <c r="LHF1" s="331" t="s">
        <v>9045</v>
      </c>
      <c r="LHG1" s="331" t="s">
        <v>9046</v>
      </c>
      <c r="LHH1" s="331" t="s">
        <v>9047</v>
      </c>
      <c r="LHI1" s="331" t="s">
        <v>9048</v>
      </c>
      <c r="LHJ1" s="331" t="s">
        <v>9049</v>
      </c>
      <c r="LHK1" s="331" t="s">
        <v>9050</v>
      </c>
      <c r="LHL1" s="331" t="s">
        <v>9051</v>
      </c>
      <c r="LHM1" s="331" t="s">
        <v>9052</v>
      </c>
      <c r="LHN1" s="331" t="s">
        <v>9053</v>
      </c>
      <c r="LHO1" s="331" t="s">
        <v>9054</v>
      </c>
      <c r="LHP1" s="331" t="s">
        <v>9055</v>
      </c>
      <c r="LHQ1" s="331" t="s">
        <v>9056</v>
      </c>
      <c r="LHR1" s="331" t="s">
        <v>9057</v>
      </c>
      <c r="LHS1" s="331" t="s">
        <v>9058</v>
      </c>
      <c r="LHT1" s="331" t="s">
        <v>9059</v>
      </c>
      <c r="LHU1" s="331" t="s">
        <v>9060</v>
      </c>
      <c r="LHV1" s="331" t="s">
        <v>9061</v>
      </c>
      <c r="LHW1" s="331" t="s">
        <v>9062</v>
      </c>
      <c r="LHX1" s="331" t="s">
        <v>9063</v>
      </c>
      <c r="LHY1" s="331" t="s">
        <v>9064</v>
      </c>
      <c r="LHZ1" s="331" t="s">
        <v>9065</v>
      </c>
      <c r="LIA1" s="331" t="s">
        <v>9066</v>
      </c>
      <c r="LIB1" s="331" t="s">
        <v>9067</v>
      </c>
      <c r="LIC1" s="331" t="s">
        <v>9068</v>
      </c>
      <c r="LID1" s="331" t="s">
        <v>9069</v>
      </c>
      <c r="LIE1" s="331" t="s">
        <v>9070</v>
      </c>
      <c r="LIF1" s="331" t="s">
        <v>9071</v>
      </c>
      <c r="LIG1" s="331" t="s">
        <v>9072</v>
      </c>
      <c r="LIH1" s="331" t="s">
        <v>9073</v>
      </c>
      <c r="LII1" s="331" t="s">
        <v>9074</v>
      </c>
      <c r="LIJ1" s="331" t="s">
        <v>9075</v>
      </c>
      <c r="LIK1" s="331" t="s">
        <v>9076</v>
      </c>
      <c r="LIL1" s="331" t="s">
        <v>9077</v>
      </c>
      <c r="LIM1" s="331" t="s">
        <v>9078</v>
      </c>
      <c r="LIN1" s="331" t="s">
        <v>9079</v>
      </c>
      <c r="LIO1" s="331" t="s">
        <v>9080</v>
      </c>
      <c r="LIP1" s="331" t="s">
        <v>9081</v>
      </c>
      <c r="LIQ1" s="331" t="s">
        <v>9082</v>
      </c>
      <c r="LIR1" s="331" t="s">
        <v>9083</v>
      </c>
      <c r="LIS1" s="331" t="s">
        <v>9084</v>
      </c>
      <c r="LIT1" s="331" t="s">
        <v>9085</v>
      </c>
      <c r="LIU1" s="331" t="s">
        <v>9086</v>
      </c>
      <c r="LIV1" s="331" t="s">
        <v>9087</v>
      </c>
      <c r="LIW1" s="331" t="s">
        <v>9088</v>
      </c>
      <c r="LIX1" s="331" t="s">
        <v>9089</v>
      </c>
      <c r="LIY1" s="331" t="s">
        <v>9090</v>
      </c>
      <c r="LIZ1" s="331" t="s">
        <v>9091</v>
      </c>
      <c r="LJA1" s="331" t="s">
        <v>9092</v>
      </c>
      <c r="LJB1" s="331" t="s">
        <v>9093</v>
      </c>
      <c r="LJC1" s="331" t="s">
        <v>9094</v>
      </c>
      <c r="LJD1" s="331" t="s">
        <v>9095</v>
      </c>
      <c r="LJE1" s="331" t="s">
        <v>9096</v>
      </c>
      <c r="LJF1" s="331" t="s">
        <v>9097</v>
      </c>
      <c r="LJG1" s="331" t="s">
        <v>9098</v>
      </c>
      <c r="LJH1" s="331" t="s">
        <v>9099</v>
      </c>
      <c r="LJI1" s="331" t="s">
        <v>9100</v>
      </c>
      <c r="LJJ1" s="331" t="s">
        <v>9101</v>
      </c>
      <c r="LJK1" s="331" t="s">
        <v>9102</v>
      </c>
      <c r="LJL1" s="331" t="s">
        <v>9103</v>
      </c>
      <c r="LJM1" s="331" t="s">
        <v>9104</v>
      </c>
      <c r="LJN1" s="331" t="s">
        <v>9105</v>
      </c>
      <c r="LJO1" s="331" t="s">
        <v>9106</v>
      </c>
      <c r="LJP1" s="331" t="s">
        <v>9107</v>
      </c>
      <c r="LJQ1" s="331" t="s">
        <v>9108</v>
      </c>
      <c r="LJR1" s="331" t="s">
        <v>9109</v>
      </c>
      <c r="LJS1" s="331" t="s">
        <v>9110</v>
      </c>
      <c r="LJT1" s="331" t="s">
        <v>9111</v>
      </c>
      <c r="LJU1" s="331" t="s">
        <v>9112</v>
      </c>
      <c r="LJV1" s="331" t="s">
        <v>9113</v>
      </c>
      <c r="LJW1" s="331" t="s">
        <v>9114</v>
      </c>
      <c r="LJX1" s="331" t="s">
        <v>9115</v>
      </c>
      <c r="LJY1" s="331" t="s">
        <v>9116</v>
      </c>
      <c r="LJZ1" s="331" t="s">
        <v>9117</v>
      </c>
      <c r="LKA1" s="331" t="s">
        <v>9118</v>
      </c>
      <c r="LKB1" s="331" t="s">
        <v>9119</v>
      </c>
      <c r="LKC1" s="331" t="s">
        <v>9120</v>
      </c>
      <c r="LKD1" s="331" t="s">
        <v>9121</v>
      </c>
      <c r="LKE1" s="331" t="s">
        <v>9122</v>
      </c>
      <c r="LKF1" s="331" t="s">
        <v>9123</v>
      </c>
      <c r="LKG1" s="331" t="s">
        <v>9124</v>
      </c>
      <c r="LKH1" s="331" t="s">
        <v>9125</v>
      </c>
      <c r="LKI1" s="331" t="s">
        <v>9126</v>
      </c>
      <c r="LKJ1" s="331" t="s">
        <v>9127</v>
      </c>
      <c r="LKK1" s="331" t="s">
        <v>9128</v>
      </c>
      <c r="LKL1" s="331" t="s">
        <v>9129</v>
      </c>
      <c r="LKM1" s="331" t="s">
        <v>9130</v>
      </c>
      <c r="LKN1" s="331" t="s">
        <v>9131</v>
      </c>
      <c r="LKO1" s="331" t="s">
        <v>9132</v>
      </c>
      <c r="LKP1" s="331" t="s">
        <v>9133</v>
      </c>
      <c r="LKQ1" s="331" t="s">
        <v>9134</v>
      </c>
      <c r="LKR1" s="331" t="s">
        <v>9135</v>
      </c>
      <c r="LKS1" s="331" t="s">
        <v>9136</v>
      </c>
      <c r="LKT1" s="331" t="s">
        <v>9137</v>
      </c>
      <c r="LKU1" s="331" t="s">
        <v>9138</v>
      </c>
      <c r="LKV1" s="331" t="s">
        <v>9139</v>
      </c>
      <c r="LKW1" s="331" t="s">
        <v>9140</v>
      </c>
      <c r="LKX1" s="331" t="s">
        <v>9141</v>
      </c>
      <c r="LKY1" s="331" t="s">
        <v>9142</v>
      </c>
      <c r="LKZ1" s="331" t="s">
        <v>9143</v>
      </c>
      <c r="LLA1" s="331" t="s">
        <v>9144</v>
      </c>
      <c r="LLB1" s="331" t="s">
        <v>9145</v>
      </c>
      <c r="LLC1" s="331" t="s">
        <v>9146</v>
      </c>
      <c r="LLD1" s="331" t="s">
        <v>9147</v>
      </c>
      <c r="LLE1" s="331" t="s">
        <v>9148</v>
      </c>
      <c r="LLF1" s="331" t="s">
        <v>9149</v>
      </c>
      <c r="LLG1" s="331" t="s">
        <v>9150</v>
      </c>
      <c r="LLH1" s="331" t="s">
        <v>9151</v>
      </c>
      <c r="LLI1" s="331" t="s">
        <v>9152</v>
      </c>
      <c r="LLJ1" s="331" t="s">
        <v>9153</v>
      </c>
      <c r="LLK1" s="331" t="s">
        <v>9154</v>
      </c>
      <c r="LLL1" s="331" t="s">
        <v>9155</v>
      </c>
      <c r="LLM1" s="331" t="s">
        <v>9156</v>
      </c>
      <c r="LLN1" s="331" t="s">
        <v>9157</v>
      </c>
      <c r="LLO1" s="331" t="s">
        <v>9158</v>
      </c>
      <c r="LLP1" s="331" t="s">
        <v>9159</v>
      </c>
      <c r="LLQ1" s="331" t="s">
        <v>9160</v>
      </c>
      <c r="LLR1" s="331" t="s">
        <v>9161</v>
      </c>
      <c r="LLS1" s="331" t="s">
        <v>9162</v>
      </c>
      <c r="LLT1" s="331" t="s">
        <v>9163</v>
      </c>
      <c r="LLU1" s="331" t="s">
        <v>9164</v>
      </c>
      <c r="LLV1" s="331" t="s">
        <v>9165</v>
      </c>
      <c r="LLW1" s="331" t="s">
        <v>9166</v>
      </c>
      <c r="LLX1" s="331" t="s">
        <v>9167</v>
      </c>
      <c r="LLY1" s="331" t="s">
        <v>9168</v>
      </c>
      <c r="LLZ1" s="331" t="s">
        <v>9169</v>
      </c>
      <c r="LMA1" s="331" t="s">
        <v>9170</v>
      </c>
      <c r="LMB1" s="331" t="s">
        <v>9171</v>
      </c>
      <c r="LMC1" s="331" t="s">
        <v>9172</v>
      </c>
      <c r="LMD1" s="331" t="s">
        <v>9173</v>
      </c>
      <c r="LME1" s="331" t="s">
        <v>9174</v>
      </c>
      <c r="LMF1" s="331" t="s">
        <v>9175</v>
      </c>
      <c r="LMG1" s="331" t="s">
        <v>9176</v>
      </c>
      <c r="LMH1" s="331" t="s">
        <v>9177</v>
      </c>
      <c r="LMI1" s="331" t="s">
        <v>9178</v>
      </c>
      <c r="LMJ1" s="331" t="s">
        <v>9179</v>
      </c>
      <c r="LMK1" s="331" t="s">
        <v>9180</v>
      </c>
      <c r="LML1" s="331" t="s">
        <v>9181</v>
      </c>
      <c r="LMM1" s="331" t="s">
        <v>9182</v>
      </c>
      <c r="LMN1" s="331" t="s">
        <v>9183</v>
      </c>
      <c r="LMO1" s="331" t="s">
        <v>9184</v>
      </c>
      <c r="LMP1" s="331" t="s">
        <v>9185</v>
      </c>
      <c r="LMQ1" s="331" t="s">
        <v>9186</v>
      </c>
      <c r="LMR1" s="331" t="s">
        <v>9187</v>
      </c>
      <c r="LMS1" s="331" t="s">
        <v>9188</v>
      </c>
      <c r="LMT1" s="331" t="s">
        <v>9189</v>
      </c>
      <c r="LMU1" s="331" t="s">
        <v>9190</v>
      </c>
      <c r="LMV1" s="331" t="s">
        <v>9191</v>
      </c>
      <c r="LMW1" s="331" t="s">
        <v>9192</v>
      </c>
      <c r="LMX1" s="331" t="s">
        <v>9193</v>
      </c>
      <c r="LMY1" s="331" t="s">
        <v>9194</v>
      </c>
      <c r="LMZ1" s="331" t="s">
        <v>9195</v>
      </c>
      <c r="LNA1" s="331" t="s">
        <v>9196</v>
      </c>
      <c r="LNB1" s="331" t="s">
        <v>9197</v>
      </c>
      <c r="LNC1" s="331" t="s">
        <v>9198</v>
      </c>
      <c r="LND1" s="331" t="s">
        <v>9199</v>
      </c>
      <c r="LNE1" s="331" t="s">
        <v>9200</v>
      </c>
      <c r="LNF1" s="331" t="s">
        <v>9201</v>
      </c>
      <c r="LNG1" s="331" t="s">
        <v>9202</v>
      </c>
      <c r="LNH1" s="331" t="s">
        <v>9203</v>
      </c>
      <c r="LNI1" s="331" t="s">
        <v>9204</v>
      </c>
      <c r="LNJ1" s="331" t="s">
        <v>9205</v>
      </c>
      <c r="LNK1" s="331" t="s">
        <v>9206</v>
      </c>
      <c r="LNL1" s="331" t="s">
        <v>9207</v>
      </c>
      <c r="LNM1" s="331" t="s">
        <v>9208</v>
      </c>
      <c r="LNN1" s="331" t="s">
        <v>9209</v>
      </c>
      <c r="LNO1" s="331" t="s">
        <v>9210</v>
      </c>
      <c r="LNP1" s="331" t="s">
        <v>9211</v>
      </c>
      <c r="LNQ1" s="331" t="s">
        <v>9212</v>
      </c>
      <c r="LNR1" s="331" t="s">
        <v>9213</v>
      </c>
      <c r="LNS1" s="331" t="s">
        <v>9214</v>
      </c>
      <c r="LNT1" s="331" t="s">
        <v>9215</v>
      </c>
      <c r="LNU1" s="331" t="s">
        <v>9216</v>
      </c>
      <c r="LNV1" s="331" t="s">
        <v>9217</v>
      </c>
      <c r="LNW1" s="331" t="s">
        <v>9218</v>
      </c>
      <c r="LNX1" s="331" t="s">
        <v>9219</v>
      </c>
      <c r="LNY1" s="331" t="s">
        <v>9220</v>
      </c>
      <c r="LNZ1" s="331" t="s">
        <v>9221</v>
      </c>
      <c r="LOA1" s="331" t="s">
        <v>9222</v>
      </c>
      <c r="LOB1" s="331" t="s">
        <v>9223</v>
      </c>
      <c r="LOC1" s="331" t="s">
        <v>9224</v>
      </c>
      <c r="LOD1" s="331" t="s">
        <v>9225</v>
      </c>
      <c r="LOE1" s="331" t="s">
        <v>9226</v>
      </c>
      <c r="LOF1" s="331" t="s">
        <v>9227</v>
      </c>
      <c r="LOG1" s="331" t="s">
        <v>9228</v>
      </c>
      <c r="LOH1" s="331" t="s">
        <v>9229</v>
      </c>
      <c r="LOI1" s="331" t="s">
        <v>9230</v>
      </c>
      <c r="LOJ1" s="331" t="s">
        <v>9231</v>
      </c>
      <c r="LOK1" s="331" t="s">
        <v>9232</v>
      </c>
      <c r="LOL1" s="331" t="s">
        <v>9233</v>
      </c>
      <c r="LOM1" s="331" t="s">
        <v>9234</v>
      </c>
      <c r="LON1" s="331" t="s">
        <v>9235</v>
      </c>
      <c r="LOO1" s="331" t="s">
        <v>9236</v>
      </c>
      <c r="LOP1" s="331" t="s">
        <v>9237</v>
      </c>
      <c r="LOQ1" s="331" t="s">
        <v>9238</v>
      </c>
      <c r="LOR1" s="331" t="s">
        <v>9239</v>
      </c>
      <c r="LOS1" s="331" t="s">
        <v>9240</v>
      </c>
      <c r="LOT1" s="331" t="s">
        <v>9241</v>
      </c>
      <c r="LOU1" s="331" t="s">
        <v>9242</v>
      </c>
      <c r="LOV1" s="331" t="s">
        <v>9243</v>
      </c>
      <c r="LOW1" s="331" t="s">
        <v>9244</v>
      </c>
      <c r="LOX1" s="331" t="s">
        <v>9245</v>
      </c>
      <c r="LOY1" s="331" t="s">
        <v>9246</v>
      </c>
      <c r="LOZ1" s="331" t="s">
        <v>9247</v>
      </c>
      <c r="LPA1" s="331" t="s">
        <v>9248</v>
      </c>
      <c r="LPB1" s="331" t="s">
        <v>9249</v>
      </c>
      <c r="LPC1" s="331" t="s">
        <v>9250</v>
      </c>
      <c r="LPD1" s="331" t="s">
        <v>9251</v>
      </c>
      <c r="LPE1" s="331" t="s">
        <v>9252</v>
      </c>
      <c r="LPF1" s="331" t="s">
        <v>9253</v>
      </c>
      <c r="LPG1" s="331" t="s">
        <v>9254</v>
      </c>
      <c r="LPH1" s="331" t="s">
        <v>9255</v>
      </c>
      <c r="LPI1" s="331" t="s">
        <v>9256</v>
      </c>
      <c r="LPJ1" s="331" t="s">
        <v>9257</v>
      </c>
      <c r="LPK1" s="331" t="s">
        <v>9258</v>
      </c>
      <c r="LPL1" s="331" t="s">
        <v>9259</v>
      </c>
      <c r="LPM1" s="331" t="s">
        <v>9260</v>
      </c>
      <c r="LPN1" s="331" t="s">
        <v>9261</v>
      </c>
      <c r="LPO1" s="331" t="s">
        <v>9262</v>
      </c>
      <c r="LPP1" s="331" t="s">
        <v>9263</v>
      </c>
      <c r="LPQ1" s="331" t="s">
        <v>9264</v>
      </c>
      <c r="LPR1" s="331" t="s">
        <v>9265</v>
      </c>
      <c r="LPS1" s="331" t="s">
        <v>9266</v>
      </c>
      <c r="LPT1" s="331" t="s">
        <v>9267</v>
      </c>
      <c r="LPU1" s="331" t="s">
        <v>9268</v>
      </c>
      <c r="LPV1" s="331" t="s">
        <v>9269</v>
      </c>
      <c r="LPW1" s="331" t="s">
        <v>9270</v>
      </c>
      <c r="LPX1" s="331" t="s">
        <v>9271</v>
      </c>
      <c r="LPY1" s="331" t="s">
        <v>9272</v>
      </c>
      <c r="LPZ1" s="331" t="s">
        <v>9273</v>
      </c>
      <c r="LQA1" s="331" t="s">
        <v>9274</v>
      </c>
      <c r="LQB1" s="331" t="s">
        <v>9275</v>
      </c>
      <c r="LQC1" s="331" t="s">
        <v>9276</v>
      </c>
      <c r="LQD1" s="331" t="s">
        <v>9277</v>
      </c>
      <c r="LQE1" s="331" t="s">
        <v>9278</v>
      </c>
      <c r="LQF1" s="331" t="s">
        <v>9279</v>
      </c>
      <c r="LQG1" s="331" t="s">
        <v>9280</v>
      </c>
      <c r="LQH1" s="331" t="s">
        <v>9281</v>
      </c>
      <c r="LQI1" s="331" t="s">
        <v>9282</v>
      </c>
      <c r="LQJ1" s="331" t="s">
        <v>9283</v>
      </c>
      <c r="LQK1" s="331" t="s">
        <v>9284</v>
      </c>
      <c r="LQL1" s="331" t="s">
        <v>9285</v>
      </c>
      <c r="LQM1" s="331" t="s">
        <v>9286</v>
      </c>
      <c r="LQN1" s="331" t="s">
        <v>9287</v>
      </c>
      <c r="LQO1" s="331" t="s">
        <v>9288</v>
      </c>
      <c r="LQP1" s="331" t="s">
        <v>9289</v>
      </c>
      <c r="LQQ1" s="331" t="s">
        <v>9290</v>
      </c>
      <c r="LQR1" s="331" t="s">
        <v>9291</v>
      </c>
      <c r="LQS1" s="331" t="s">
        <v>9292</v>
      </c>
      <c r="LQT1" s="331" t="s">
        <v>9293</v>
      </c>
      <c r="LQU1" s="331" t="s">
        <v>9294</v>
      </c>
      <c r="LQV1" s="331" t="s">
        <v>9295</v>
      </c>
      <c r="LQW1" s="331" t="s">
        <v>9296</v>
      </c>
      <c r="LQX1" s="331" t="s">
        <v>9297</v>
      </c>
      <c r="LQY1" s="331" t="s">
        <v>9298</v>
      </c>
      <c r="LQZ1" s="331" t="s">
        <v>9299</v>
      </c>
      <c r="LRA1" s="331" t="s">
        <v>9300</v>
      </c>
      <c r="LRB1" s="331" t="s">
        <v>9301</v>
      </c>
      <c r="LRC1" s="331" t="s">
        <v>9302</v>
      </c>
      <c r="LRD1" s="331" t="s">
        <v>9303</v>
      </c>
      <c r="LRE1" s="331" t="s">
        <v>9304</v>
      </c>
      <c r="LRF1" s="331" t="s">
        <v>9305</v>
      </c>
      <c r="LRG1" s="331" t="s">
        <v>9306</v>
      </c>
      <c r="LRH1" s="331" t="s">
        <v>9307</v>
      </c>
      <c r="LRI1" s="331" t="s">
        <v>9308</v>
      </c>
      <c r="LRJ1" s="331" t="s">
        <v>9309</v>
      </c>
      <c r="LRK1" s="331" t="s">
        <v>9310</v>
      </c>
      <c r="LRL1" s="331" t="s">
        <v>9311</v>
      </c>
      <c r="LRM1" s="331" t="s">
        <v>9312</v>
      </c>
      <c r="LRN1" s="331" t="s">
        <v>9313</v>
      </c>
      <c r="LRO1" s="331" t="s">
        <v>9314</v>
      </c>
      <c r="LRP1" s="331" t="s">
        <v>9315</v>
      </c>
      <c r="LRQ1" s="331" t="s">
        <v>9316</v>
      </c>
      <c r="LRR1" s="331" t="s">
        <v>9317</v>
      </c>
      <c r="LRS1" s="331" t="s">
        <v>9318</v>
      </c>
      <c r="LRT1" s="331" t="s">
        <v>9319</v>
      </c>
      <c r="LRU1" s="331" t="s">
        <v>9320</v>
      </c>
      <c r="LRV1" s="331" t="s">
        <v>9321</v>
      </c>
      <c r="LRW1" s="331" t="s">
        <v>9322</v>
      </c>
      <c r="LRX1" s="331" t="s">
        <v>9323</v>
      </c>
      <c r="LRY1" s="331" t="s">
        <v>9324</v>
      </c>
      <c r="LRZ1" s="331" t="s">
        <v>9325</v>
      </c>
      <c r="LSA1" s="331" t="s">
        <v>9326</v>
      </c>
      <c r="LSB1" s="331" t="s">
        <v>9327</v>
      </c>
      <c r="LSC1" s="331" t="s">
        <v>9328</v>
      </c>
      <c r="LSD1" s="331" t="s">
        <v>9329</v>
      </c>
      <c r="LSE1" s="331" t="s">
        <v>9330</v>
      </c>
      <c r="LSF1" s="331" t="s">
        <v>9331</v>
      </c>
      <c r="LSG1" s="331" t="s">
        <v>9332</v>
      </c>
      <c r="LSH1" s="331" t="s">
        <v>9333</v>
      </c>
      <c r="LSI1" s="331" t="s">
        <v>9334</v>
      </c>
      <c r="LSJ1" s="331" t="s">
        <v>9335</v>
      </c>
      <c r="LSK1" s="331" t="s">
        <v>9336</v>
      </c>
      <c r="LSL1" s="331" t="s">
        <v>9337</v>
      </c>
      <c r="LSM1" s="331" t="s">
        <v>9338</v>
      </c>
      <c r="LSN1" s="331" t="s">
        <v>9339</v>
      </c>
      <c r="LSO1" s="331" t="s">
        <v>9340</v>
      </c>
      <c r="LSP1" s="331" t="s">
        <v>9341</v>
      </c>
      <c r="LSQ1" s="331" t="s">
        <v>9342</v>
      </c>
      <c r="LSR1" s="331" t="s">
        <v>9343</v>
      </c>
      <c r="LSS1" s="331" t="s">
        <v>9344</v>
      </c>
      <c r="LST1" s="331" t="s">
        <v>9345</v>
      </c>
      <c r="LSU1" s="331" t="s">
        <v>9346</v>
      </c>
      <c r="LSV1" s="331" t="s">
        <v>9347</v>
      </c>
      <c r="LSW1" s="331" t="s">
        <v>9348</v>
      </c>
      <c r="LSX1" s="331" t="s">
        <v>9349</v>
      </c>
      <c r="LSY1" s="331" t="s">
        <v>9350</v>
      </c>
      <c r="LSZ1" s="331" t="s">
        <v>9351</v>
      </c>
      <c r="LTA1" s="331" t="s">
        <v>9352</v>
      </c>
      <c r="LTB1" s="331" t="s">
        <v>9353</v>
      </c>
      <c r="LTC1" s="331" t="s">
        <v>9354</v>
      </c>
      <c r="LTD1" s="331" t="s">
        <v>9355</v>
      </c>
      <c r="LTE1" s="331" t="s">
        <v>9356</v>
      </c>
      <c r="LTF1" s="331" t="s">
        <v>9357</v>
      </c>
      <c r="LTG1" s="331" t="s">
        <v>9358</v>
      </c>
      <c r="LTH1" s="331" t="s">
        <v>9359</v>
      </c>
      <c r="LTI1" s="331" t="s">
        <v>9360</v>
      </c>
      <c r="LTJ1" s="331" t="s">
        <v>9361</v>
      </c>
      <c r="LTK1" s="331" t="s">
        <v>9362</v>
      </c>
      <c r="LTL1" s="331" t="s">
        <v>9363</v>
      </c>
      <c r="LTM1" s="331" t="s">
        <v>9364</v>
      </c>
      <c r="LTN1" s="331" t="s">
        <v>9365</v>
      </c>
      <c r="LTO1" s="331" t="s">
        <v>9366</v>
      </c>
      <c r="LTP1" s="331" t="s">
        <v>9367</v>
      </c>
      <c r="LTQ1" s="331" t="s">
        <v>9368</v>
      </c>
      <c r="LTR1" s="331" t="s">
        <v>9369</v>
      </c>
      <c r="LTS1" s="331" t="s">
        <v>9370</v>
      </c>
      <c r="LTT1" s="331" t="s">
        <v>9371</v>
      </c>
      <c r="LTU1" s="331" t="s">
        <v>9372</v>
      </c>
      <c r="LTV1" s="331" t="s">
        <v>9373</v>
      </c>
      <c r="LTW1" s="331" t="s">
        <v>9374</v>
      </c>
      <c r="LTX1" s="331" t="s">
        <v>9375</v>
      </c>
      <c r="LTY1" s="331" t="s">
        <v>9376</v>
      </c>
      <c r="LTZ1" s="331" t="s">
        <v>9377</v>
      </c>
      <c r="LUA1" s="331" t="s">
        <v>9378</v>
      </c>
      <c r="LUB1" s="331" t="s">
        <v>9379</v>
      </c>
      <c r="LUC1" s="331" t="s">
        <v>9380</v>
      </c>
      <c r="LUD1" s="331" t="s">
        <v>9381</v>
      </c>
      <c r="LUE1" s="331" t="s">
        <v>9382</v>
      </c>
      <c r="LUF1" s="331" t="s">
        <v>9383</v>
      </c>
      <c r="LUG1" s="331" t="s">
        <v>9384</v>
      </c>
      <c r="LUH1" s="331" t="s">
        <v>9385</v>
      </c>
      <c r="LUI1" s="331" t="s">
        <v>9386</v>
      </c>
      <c r="LUJ1" s="331" t="s">
        <v>9387</v>
      </c>
      <c r="LUK1" s="331" t="s">
        <v>9388</v>
      </c>
      <c r="LUL1" s="331" t="s">
        <v>9389</v>
      </c>
      <c r="LUM1" s="331" t="s">
        <v>9390</v>
      </c>
      <c r="LUN1" s="331" t="s">
        <v>9391</v>
      </c>
      <c r="LUO1" s="331" t="s">
        <v>9392</v>
      </c>
      <c r="LUP1" s="331" t="s">
        <v>9393</v>
      </c>
      <c r="LUQ1" s="331" t="s">
        <v>9394</v>
      </c>
      <c r="LUR1" s="331" t="s">
        <v>9395</v>
      </c>
      <c r="LUS1" s="331" t="s">
        <v>9396</v>
      </c>
      <c r="LUT1" s="331" t="s">
        <v>9397</v>
      </c>
      <c r="LUU1" s="331" t="s">
        <v>9398</v>
      </c>
      <c r="LUV1" s="331" t="s">
        <v>9399</v>
      </c>
      <c r="LUW1" s="331" t="s">
        <v>9400</v>
      </c>
      <c r="LUX1" s="331" t="s">
        <v>9401</v>
      </c>
      <c r="LUY1" s="331" t="s">
        <v>9402</v>
      </c>
      <c r="LUZ1" s="331" t="s">
        <v>9403</v>
      </c>
      <c r="LVA1" s="331" t="s">
        <v>9404</v>
      </c>
      <c r="LVB1" s="331" t="s">
        <v>9405</v>
      </c>
      <c r="LVC1" s="331" t="s">
        <v>9406</v>
      </c>
      <c r="LVD1" s="331" t="s">
        <v>9407</v>
      </c>
      <c r="LVE1" s="331" t="s">
        <v>9408</v>
      </c>
      <c r="LVF1" s="331" t="s">
        <v>9409</v>
      </c>
      <c r="LVG1" s="331" t="s">
        <v>9410</v>
      </c>
      <c r="LVH1" s="331" t="s">
        <v>9411</v>
      </c>
      <c r="LVI1" s="331" t="s">
        <v>9412</v>
      </c>
      <c r="LVJ1" s="331" t="s">
        <v>9413</v>
      </c>
      <c r="LVK1" s="331" t="s">
        <v>9414</v>
      </c>
      <c r="LVL1" s="331" t="s">
        <v>9415</v>
      </c>
      <c r="LVM1" s="331" t="s">
        <v>9416</v>
      </c>
      <c r="LVN1" s="331" t="s">
        <v>9417</v>
      </c>
      <c r="LVO1" s="331" t="s">
        <v>9418</v>
      </c>
      <c r="LVP1" s="331" t="s">
        <v>9419</v>
      </c>
      <c r="LVQ1" s="331" t="s">
        <v>9420</v>
      </c>
      <c r="LVR1" s="331" t="s">
        <v>9421</v>
      </c>
      <c r="LVS1" s="331" t="s">
        <v>9422</v>
      </c>
      <c r="LVT1" s="331" t="s">
        <v>9423</v>
      </c>
      <c r="LVU1" s="331" t="s">
        <v>9424</v>
      </c>
      <c r="LVV1" s="331" t="s">
        <v>9425</v>
      </c>
      <c r="LVW1" s="331" t="s">
        <v>9426</v>
      </c>
      <c r="LVX1" s="331" t="s">
        <v>9427</v>
      </c>
      <c r="LVY1" s="331" t="s">
        <v>9428</v>
      </c>
      <c r="LVZ1" s="331" t="s">
        <v>9429</v>
      </c>
      <c r="LWA1" s="331" t="s">
        <v>9430</v>
      </c>
      <c r="LWB1" s="331" t="s">
        <v>9431</v>
      </c>
      <c r="LWC1" s="331" t="s">
        <v>9432</v>
      </c>
      <c r="LWD1" s="331" t="s">
        <v>9433</v>
      </c>
      <c r="LWE1" s="331" t="s">
        <v>9434</v>
      </c>
      <c r="LWF1" s="331" t="s">
        <v>9435</v>
      </c>
      <c r="LWG1" s="331" t="s">
        <v>9436</v>
      </c>
      <c r="LWH1" s="331" t="s">
        <v>9437</v>
      </c>
      <c r="LWI1" s="331" t="s">
        <v>9438</v>
      </c>
      <c r="LWJ1" s="331" t="s">
        <v>9439</v>
      </c>
      <c r="LWK1" s="331" t="s">
        <v>9440</v>
      </c>
      <c r="LWL1" s="331" t="s">
        <v>9441</v>
      </c>
      <c r="LWM1" s="331" t="s">
        <v>9442</v>
      </c>
      <c r="LWN1" s="331" t="s">
        <v>9443</v>
      </c>
      <c r="LWO1" s="331" t="s">
        <v>9444</v>
      </c>
      <c r="LWP1" s="331" t="s">
        <v>9445</v>
      </c>
      <c r="LWQ1" s="331" t="s">
        <v>9446</v>
      </c>
      <c r="LWR1" s="331" t="s">
        <v>9447</v>
      </c>
      <c r="LWS1" s="331" t="s">
        <v>9448</v>
      </c>
      <c r="LWT1" s="331" t="s">
        <v>9449</v>
      </c>
      <c r="LWU1" s="331" t="s">
        <v>9450</v>
      </c>
      <c r="LWV1" s="331" t="s">
        <v>9451</v>
      </c>
      <c r="LWW1" s="331" t="s">
        <v>9452</v>
      </c>
      <c r="LWX1" s="331" t="s">
        <v>9453</v>
      </c>
      <c r="LWY1" s="331" t="s">
        <v>9454</v>
      </c>
      <c r="LWZ1" s="331" t="s">
        <v>9455</v>
      </c>
      <c r="LXA1" s="331" t="s">
        <v>9456</v>
      </c>
      <c r="LXB1" s="331" t="s">
        <v>9457</v>
      </c>
      <c r="LXC1" s="331" t="s">
        <v>9458</v>
      </c>
      <c r="LXD1" s="331" t="s">
        <v>9459</v>
      </c>
      <c r="LXE1" s="331" t="s">
        <v>9460</v>
      </c>
      <c r="LXF1" s="331" t="s">
        <v>9461</v>
      </c>
      <c r="LXG1" s="331" t="s">
        <v>9462</v>
      </c>
      <c r="LXH1" s="331" t="s">
        <v>9463</v>
      </c>
      <c r="LXI1" s="331" t="s">
        <v>9464</v>
      </c>
      <c r="LXJ1" s="331" t="s">
        <v>9465</v>
      </c>
      <c r="LXK1" s="331" t="s">
        <v>9466</v>
      </c>
      <c r="LXL1" s="331" t="s">
        <v>9467</v>
      </c>
      <c r="LXM1" s="331" t="s">
        <v>9468</v>
      </c>
      <c r="LXN1" s="331" t="s">
        <v>9469</v>
      </c>
      <c r="LXO1" s="331" t="s">
        <v>9470</v>
      </c>
      <c r="LXP1" s="331" t="s">
        <v>9471</v>
      </c>
      <c r="LXQ1" s="331" t="s">
        <v>9472</v>
      </c>
      <c r="LXR1" s="331" t="s">
        <v>9473</v>
      </c>
      <c r="LXS1" s="331" t="s">
        <v>9474</v>
      </c>
      <c r="LXT1" s="331" t="s">
        <v>9475</v>
      </c>
      <c r="LXU1" s="331" t="s">
        <v>9476</v>
      </c>
      <c r="LXV1" s="331" t="s">
        <v>9477</v>
      </c>
      <c r="LXW1" s="331" t="s">
        <v>9478</v>
      </c>
      <c r="LXX1" s="331" t="s">
        <v>9479</v>
      </c>
      <c r="LXY1" s="331" t="s">
        <v>9480</v>
      </c>
      <c r="LXZ1" s="331" t="s">
        <v>9481</v>
      </c>
      <c r="LYA1" s="331" t="s">
        <v>9482</v>
      </c>
      <c r="LYB1" s="331" t="s">
        <v>9483</v>
      </c>
      <c r="LYC1" s="331" t="s">
        <v>9484</v>
      </c>
      <c r="LYD1" s="331" t="s">
        <v>9485</v>
      </c>
      <c r="LYE1" s="331" t="s">
        <v>9486</v>
      </c>
      <c r="LYF1" s="331" t="s">
        <v>9487</v>
      </c>
      <c r="LYG1" s="331" t="s">
        <v>9488</v>
      </c>
      <c r="LYH1" s="331" t="s">
        <v>9489</v>
      </c>
      <c r="LYI1" s="331" t="s">
        <v>9490</v>
      </c>
      <c r="LYJ1" s="331" t="s">
        <v>9491</v>
      </c>
      <c r="LYK1" s="331" t="s">
        <v>9492</v>
      </c>
      <c r="LYL1" s="331" t="s">
        <v>9493</v>
      </c>
      <c r="LYM1" s="331" t="s">
        <v>9494</v>
      </c>
      <c r="LYN1" s="331" t="s">
        <v>9495</v>
      </c>
      <c r="LYO1" s="331" t="s">
        <v>9496</v>
      </c>
      <c r="LYP1" s="331" t="s">
        <v>9497</v>
      </c>
      <c r="LYQ1" s="331" t="s">
        <v>9498</v>
      </c>
      <c r="LYR1" s="331" t="s">
        <v>9499</v>
      </c>
      <c r="LYS1" s="331" t="s">
        <v>9500</v>
      </c>
      <c r="LYT1" s="331" t="s">
        <v>9501</v>
      </c>
      <c r="LYU1" s="331" t="s">
        <v>9502</v>
      </c>
      <c r="LYV1" s="331" t="s">
        <v>9503</v>
      </c>
      <c r="LYW1" s="331" t="s">
        <v>9504</v>
      </c>
      <c r="LYX1" s="331" t="s">
        <v>9505</v>
      </c>
      <c r="LYY1" s="331" t="s">
        <v>9506</v>
      </c>
      <c r="LYZ1" s="331" t="s">
        <v>9507</v>
      </c>
      <c r="LZA1" s="331" t="s">
        <v>9508</v>
      </c>
      <c r="LZB1" s="331" t="s">
        <v>9509</v>
      </c>
      <c r="LZC1" s="331" t="s">
        <v>9510</v>
      </c>
      <c r="LZD1" s="331" t="s">
        <v>9511</v>
      </c>
      <c r="LZE1" s="331" t="s">
        <v>9512</v>
      </c>
      <c r="LZF1" s="331" t="s">
        <v>9513</v>
      </c>
      <c r="LZG1" s="331" t="s">
        <v>9514</v>
      </c>
      <c r="LZH1" s="331" t="s">
        <v>9515</v>
      </c>
      <c r="LZI1" s="331" t="s">
        <v>9516</v>
      </c>
      <c r="LZJ1" s="331" t="s">
        <v>9517</v>
      </c>
      <c r="LZK1" s="331" t="s">
        <v>9518</v>
      </c>
      <c r="LZL1" s="331" t="s">
        <v>9519</v>
      </c>
      <c r="LZM1" s="331" t="s">
        <v>9520</v>
      </c>
      <c r="LZN1" s="331" t="s">
        <v>9521</v>
      </c>
      <c r="LZO1" s="331" t="s">
        <v>9522</v>
      </c>
      <c r="LZP1" s="331" t="s">
        <v>9523</v>
      </c>
      <c r="LZQ1" s="331" t="s">
        <v>9524</v>
      </c>
      <c r="LZR1" s="331" t="s">
        <v>9525</v>
      </c>
      <c r="LZS1" s="331" t="s">
        <v>9526</v>
      </c>
      <c r="LZT1" s="331" t="s">
        <v>9527</v>
      </c>
      <c r="LZU1" s="331" t="s">
        <v>9528</v>
      </c>
      <c r="LZV1" s="331" t="s">
        <v>9529</v>
      </c>
      <c r="LZW1" s="331" t="s">
        <v>9530</v>
      </c>
      <c r="LZX1" s="331" t="s">
        <v>9531</v>
      </c>
      <c r="LZY1" s="331" t="s">
        <v>9532</v>
      </c>
      <c r="LZZ1" s="331" t="s">
        <v>9533</v>
      </c>
      <c r="MAA1" s="331" t="s">
        <v>9534</v>
      </c>
      <c r="MAB1" s="331" t="s">
        <v>9535</v>
      </c>
      <c r="MAC1" s="331" t="s">
        <v>9536</v>
      </c>
      <c r="MAD1" s="331" t="s">
        <v>9537</v>
      </c>
      <c r="MAE1" s="331" t="s">
        <v>9538</v>
      </c>
      <c r="MAF1" s="331" t="s">
        <v>9539</v>
      </c>
      <c r="MAG1" s="331" t="s">
        <v>9540</v>
      </c>
      <c r="MAH1" s="331" t="s">
        <v>9541</v>
      </c>
      <c r="MAI1" s="331" t="s">
        <v>9542</v>
      </c>
      <c r="MAJ1" s="331" t="s">
        <v>9543</v>
      </c>
      <c r="MAK1" s="331" t="s">
        <v>9544</v>
      </c>
      <c r="MAL1" s="331" t="s">
        <v>9545</v>
      </c>
      <c r="MAM1" s="331" t="s">
        <v>9546</v>
      </c>
      <c r="MAN1" s="331" t="s">
        <v>9547</v>
      </c>
      <c r="MAO1" s="331" t="s">
        <v>9548</v>
      </c>
      <c r="MAP1" s="331" t="s">
        <v>9549</v>
      </c>
      <c r="MAQ1" s="331" t="s">
        <v>9550</v>
      </c>
      <c r="MAR1" s="331" t="s">
        <v>9551</v>
      </c>
      <c r="MAS1" s="331" t="s">
        <v>9552</v>
      </c>
      <c r="MAT1" s="331" t="s">
        <v>9553</v>
      </c>
      <c r="MAU1" s="331" t="s">
        <v>9554</v>
      </c>
      <c r="MAV1" s="331" t="s">
        <v>9555</v>
      </c>
      <c r="MAW1" s="331" t="s">
        <v>9556</v>
      </c>
      <c r="MAX1" s="331" t="s">
        <v>9557</v>
      </c>
      <c r="MAY1" s="331" t="s">
        <v>9558</v>
      </c>
      <c r="MAZ1" s="331" t="s">
        <v>9559</v>
      </c>
      <c r="MBA1" s="331" t="s">
        <v>9560</v>
      </c>
      <c r="MBB1" s="331" t="s">
        <v>9561</v>
      </c>
      <c r="MBC1" s="331" t="s">
        <v>9562</v>
      </c>
      <c r="MBD1" s="331" t="s">
        <v>9563</v>
      </c>
      <c r="MBE1" s="331" t="s">
        <v>9564</v>
      </c>
      <c r="MBF1" s="331" t="s">
        <v>9565</v>
      </c>
      <c r="MBG1" s="331" t="s">
        <v>9566</v>
      </c>
      <c r="MBH1" s="331" t="s">
        <v>9567</v>
      </c>
      <c r="MBI1" s="331" t="s">
        <v>9568</v>
      </c>
      <c r="MBJ1" s="331" t="s">
        <v>9569</v>
      </c>
      <c r="MBK1" s="331" t="s">
        <v>9570</v>
      </c>
      <c r="MBL1" s="331" t="s">
        <v>9571</v>
      </c>
      <c r="MBM1" s="331" t="s">
        <v>9572</v>
      </c>
      <c r="MBN1" s="331" t="s">
        <v>9573</v>
      </c>
      <c r="MBO1" s="331" t="s">
        <v>9574</v>
      </c>
      <c r="MBP1" s="331" t="s">
        <v>9575</v>
      </c>
      <c r="MBQ1" s="331" t="s">
        <v>9576</v>
      </c>
      <c r="MBR1" s="331" t="s">
        <v>9577</v>
      </c>
      <c r="MBS1" s="331" t="s">
        <v>9578</v>
      </c>
      <c r="MBT1" s="331" t="s">
        <v>9579</v>
      </c>
      <c r="MBU1" s="331" t="s">
        <v>9580</v>
      </c>
      <c r="MBV1" s="331" t="s">
        <v>9581</v>
      </c>
      <c r="MBW1" s="331" t="s">
        <v>9582</v>
      </c>
      <c r="MBX1" s="331" t="s">
        <v>9583</v>
      </c>
      <c r="MBY1" s="331" t="s">
        <v>9584</v>
      </c>
      <c r="MBZ1" s="331" t="s">
        <v>9585</v>
      </c>
      <c r="MCA1" s="331" t="s">
        <v>9586</v>
      </c>
      <c r="MCB1" s="331" t="s">
        <v>9587</v>
      </c>
      <c r="MCC1" s="331" t="s">
        <v>9588</v>
      </c>
      <c r="MCD1" s="331" t="s">
        <v>9589</v>
      </c>
      <c r="MCE1" s="331" t="s">
        <v>9590</v>
      </c>
      <c r="MCF1" s="331" t="s">
        <v>9591</v>
      </c>
      <c r="MCG1" s="331" t="s">
        <v>9592</v>
      </c>
      <c r="MCH1" s="331" t="s">
        <v>9593</v>
      </c>
      <c r="MCI1" s="331" t="s">
        <v>9594</v>
      </c>
      <c r="MCJ1" s="331" t="s">
        <v>9595</v>
      </c>
      <c r="MCK1" s="331" t="s">
        <v>9596</v>
      </c>
      <c r="MCL1" s="331" t="s">
        <v>9597</v>
      </c>
      <c r="MCM1" s="331" t="s">
        <v>9598</v>
      </c>
      <c r="MCN1" s="331" t="s">
        <v>9599</v>
      </c>
      <c r="MCO1" s="331" t="s">
        <v>9600</v>
      </c>
      <c r="MCP1" s="331" t="s">
        <v>9601</v>
      </c>
      <c r="MCQ1" s="331" t="s">
        <v>9602</v>
      </c>
      <c r="MCR1" s="331" t="s">
        <v>9603</v>
      </c>
      <c r="MCS1" s="331" t="s">
        <v>9604</v>
      </c>
      <c r="MCT1" s="331" t="s">
        <v>9605</v>
      </c>
      <c r="MCU1" s="331" t="s">
        <v>9606</v>
      </c>
      <c r="MCV1" s="331" t="s">
        <v>9607</v>
      </c>
      <c r="MCW1" s="331" t="s">
        <v>9608</v>
      </c>
      <c r="MCX1" s="331" t="s">
        <v>9609</v>
      </c>
      <c r="MCY1" s="331" t="s">
        <v>9610</v>
      </c>
      <c r="MCZ1" s="331" t="s">
        <v>9611</v>
      </c>
      <c r="MDA1" s="331" t="s">
        <v>9612</v>
      </c>
      <c r="MDB1" s="331" t="s">
        <v>9613</v>
      </c>
      <c r="MDC1" s="331" t="s">
        <v>9614</v>
      </c>
      <c r="MDD1" s="331" t="s">
        <v>9615</v>
      </c>
      <c r="MDE1" s="331" t="s">
        <v>9616</v>
      </c>
      <c r="MDF1" s="331" t="s">
        <v>9617</v>
      </c>
      <c r="MDG1" s="331" t="s">
        <v>9618</v>
      </c>
      <c r="MDH1" s="331" t="s">
        <v>9619</v>
      </c>
      <c r="MDI1" s="331" t="s">
        <v>9620</v>
      </c>
      <c r="MDJ1" s="331" t="s">
        <v>9621</v>
      </c>
      <c r="MDK1" s="331" t="s">
        <v>9622</v>
      </c>
      <c r="MDL1" s="331" t="s">
        <v>9623</v>
      </c>
      <c r="MDM1" s="331" t="s">
        <v>9624</v>
      </c>
      <c r="MDN1" s="331" t="s">
        <v>9625</v>
      </c>
      <c r="MDO1" s="331" t="s">
        <v>9626</v>
      </c>
      <c r="MDP1" s="331" t="s">
        <v>9627</v>
      </c>
      <c r="MDQ1" s="331" t="s">
        <v>9628</v>
      </c>
      <c r="MDR1" s="331" t="s">
        <v>9629</v>
      </c>
      <c r="MDS1" s="331" t="s">
        <v>9630</v>
      </c>
      <c r="MDT1" s="331" t="s">
        <v>9631</v>
      </c>
      <c r="MDU1" s="331" t="s">
        <v>9632</v>
      </c>
      <c r="MDV1" s="331" t="s">
        <v>9633</v>
      </c>
      <c r="MDW1" s="331" t="s">
        <v>9634</v>
      </c>
      <c r="MDX1" s="331" t="s">
        <v>9635</v>
      </c>
      <c r="MDY1" s="331" t="s">
        <v>9636</v>
      </c>
      <c r="MDZ1" s="331" t="s">
        <v>9637</v>
      </c>
      <c r="MEA1" s="331" t="s">
        <v>9638</v>
      </c>
      <c r="MEB1" s="331" t="s">
        <v>9639</v>
      </c>
      <c r="MEC1" s="331" t="s">
        <v>9640</v>
      </c>
      <c r="MED1" s="331" t="s">
        <v>9641</v>
      </c>
      <c r="MEE1" s="331" t="s">
        <v>9642</v>
      </c>
      <c r="MEF1" s="331" t="s">
        <v>9643</v>
      </c>
      <c r="MEG1" s="331" t="s">
        <v>9644</v>
      </c>
      <c r="MEH1" s="331" t="s">
        <v>9645</v>
      </c>
      <c r="MEI1" s="331" t="s">
        <v>9646</v>
      </c>
      <c r="MEJ1" s="331" t="s">
        <v>9647</v>
      </c>
      <c r="MEK1" s="331" t="s">
        <v>9648</v>
      </c>
      <c r="MEL1" s="331" t="s">
        <v>9649</v>
      </c>
      <c r="MEM1" s="331" t="s">
        <v>9650</v>
      </c>
      <c r="MEN1" s="331" t="s">
        <v>9651</v>
      </c>
      <c r="MEO1" s="331" t="s">
        <v>9652</v>
      </c>
      <c r="MEP1" s="331" t="s">
        <v>9653</v>
      </c>
      <c r="MEQ1" s="331" t="s">
        <v>9654</v>
      </c>
      <c r="MER1" s="331" t="s">
        <v>9655</v>
      </c>
      <c r="MES1" s="331" t="s">
        <v>9656</v>
      </c>
      <c r="MET1" s="331" t="s">
        <v>9657</v>
      </c>
      <c r="MEU1" s="331" t="s">
        <v>9658</v>
      </c>
      <c r="MEV1" s="331" t="s">
        <v>9659</v>
      </c>
      <c r="MEW1" s="331" t="s">
        <v>9660</v>
      </c>
      <c r="MEX1" s="331" t="s">
        <v>9661</v>
      </c>
      <c r="MEY1" s="331" t="s">
        <v>9662</v>
      </c>
      <c r="MEZ1" s="331" t="s">
        <v>9663</v>
      </c>
      <c r="MFA1" s="331" t="s">
        <v>9664</v>
      </c>
      <c r="MFB1" s="331" t="s">
        <v>9665</v>
      </c>
      <c r="MFC1" s="331" t="s">
        <v>9666</v>
      </c>
      <c r="MFD1" s="331" t="s">
        <v>9667</v>
      </c>
      <c r="MFE1" s="331" t="s">
        <v>9668</v>
      </c>
      <c r="MFF1" s="331" t="s">
        <v>9669</v>
      </c>
      <c r="MFG1" s="331" t="s">
        <v>9670</v>
      </c>
      <c r="MFH1" s="331" t="s">
        <v>9671</v>
      </c>
      <c r="MFI1" s="331" t="s">
        <v>9672</v>
      </c>
      <c r="MFJ1" s="331" t="s">
        <v>9673</v>
      </c>
      <c r="MFK1" s="331" t="s">
        <v>9674</v>
      </c>
      <c r="MFL1" s="331" t="s">
        <v>9675</v>
      </c>
      <c r="MFM1" s="331" t="s">
        <v>9676</v>
      </c>
      <c r="MFN1" s="331" t="s">
        <v>9677</v>
      </c>
      <c r="MFO1" s="331" t="s">
        <v>9678</v>
      </c>
      <c r="MFP1" s="331" t="s">
        <v>9679</v>
      </c>
      <c r="MFQ1" s="331" t="s">
        <v>9680</v>
      </c>
      <c r="MFR1" s="331" t="s">
        <v>9681</v>
      </c>
      <c r="MFS1" s="331" t="s">
        <v>9682</v>
      </c>
      <c r="MFT1" s="331" t="s">
        <v>9683</v>
      </c>
      <c r="MFU1" s="331" t="s">
        <v>9684</v>
      </c>
      <c r="MFV1" s="331" t="s">
        <v>9685</v>
      </c>
      <c r="MFW1" s="331" t="s">
        <v>9686</v>
      </c>
      <c r="MFX1" s="331" t="s">
        <v>9687</v>
      </c>
      <c r="MFY1" s="331" t="s">
        <v>9688</v>
      </c>
      <c r="MFZ1" s="331" t="s">
        <v>9689</v>
      </c>
      <c r="MGA1" s="331" t="s">
        <v>9690</v>
      </c>
      <c r="MGB1" s="331" t="s">
        <v>9691</v>
      </c>
      <c r="MGC1" s="331" t="s">
        <v>9692</v>
      </c>
      <c r="MGD1" s="331" t="s">
        <v>9693</v>
      </c>
      <c r="MGE1" s="331" t="s">
        <v>9694</v>
      </c>
      <c r="MGF1" s="331" t="s">
        <v>9695</v>
      </c>
      <c r="MGG1" s="331" t="s">
        <v>9696</v>
      </c>
      <c r="MGH1" s="331" t="s">
        <v>9697</v>
      </c>
      <c r="MGI1" s="331" t="s">
        <v>9698</v>
      </c>
      <c r="MGJ1" s="331" t="s">
        <v>9699</v>
      </c>
      <c r="MGK1" s="331" t="s">
        <v>9700</v>
      </c>
      <c r="MGL1" s="331" t="s">
        <v>9701</v>
      </c>
      <c r="MGM1" s="331" t="s">
        <v>9702</v>
      </c>
      <c r="MGN1" s="331" t="s">
        <v>9703</v>
      </c>
      <c r="MGO1" s="331" t="s">
        <v>9704</v>
      </c>
      <c r="MGP1" s="331" t="s">
        <v>9705</v>
      </c>
      <c r="MGQ1" s="331" t="s">
        <v>9706</v>
      </c>
      <c r="MGR1" s="331" t="s">
        <v>9707</v>
      </c>
      <c r="MGS1" s="331" t="s">
        <v>9708</v>
      </c>
      <c r="MGT1" s="331" t="s">
        <v>9709</v>
      </c>
      <c r="MGU1" s="331" t="s">
        <v>9710</v>
      </c>
      <c r="MGV1" s="331" t="s">
        <v>9711</v>
      </c>
      <c r="MGW1" s="331" t="s">
        <v>9712</v>
      </c>
      <c r="MGX1" s="331" t="s">
        <v>9713</v>
      </c>
      <c r="MGY1" s="331" t="s">
        <v>9714</v>
      </c>
      <c r="MGZ1" s="331" t="s">
        <v>9715</v>
      </c>
      <c r="MHA1" s="331" t="s">
        <v>9716</v>
      </c>
      <c r="MHB1" s="331" t="s">
        <v>9717</v>
      </c>
      <c r="MHC1" s="331" t="s">
        <v>9718</v>
      </c>
      <c r="MHD1" s="331" t="s">
        <v>9719</v>
      </c>
      <c r="MHE1" s="331" t="s">
        <v>9720</v>
      </c>
      <c r="MHF1" s="331" t="s">
        <v>9721</v>
      </c>
      <c r="MHG1" s="331" t="s">
        <v>9722</v>
      </c>
      <c r="MHH1" s="331" t="s">
        <v>9723</v>
      </c>
      <c r="MHI1" s="331" t="s">
        <v>9724</v>
      </c>
      <c r="MHJ1" s="331" t="s">
        <v>9725</v>
      </c>
      <c r="MHK1" s="331" t="s">
        <v>9726</v>
      </c>
      <c r="MHL1" s="331" t="s">
        <v>9727</v>
      </c>
      <c r="MHM1" s="331" t="s">
        <v>9728</v>
      </c>
      <c r="MHN1" s="331" t="s">
        <v>9729</v>
      </c>
      <c r="MHO1" s="331" t="s">
        <v>9730</v>
      </c>
      <c r="MHP1" s="331" t="s">
        <v>9731</v>
      </c>
      <c r="MHQ1" s="331" t="s">
        <v>9732</v>
      </c>
      <c r="MHR1" s="331" t="s">
        <v>9733</v>
      </c>
      <c r="MHS1" s="331" t="s">
        <v>9734</v>
      </c>
      <c r="MHT1" s="331" t="s">
        <v>9735</v>
      </c>
      <c r="MHU1" s="331" t="s">
        <v>9736</v>
      </c>
      <c r="MHV1" s="331" t="s">
        <v>9737</v>
      </c>
      <c r="MHW1" s="331" t="s">
        <v>9738</v>
      </c>
      <c r="MHX1" s="331" t="s">
        <v>9739</v>
      </c>
      <c r="MHY1" s="331" t="s">
        <v>9740</v>
      </c>
      <c r="MHZ1" s="331" t="s">
        <v>9741</v>
      </c>
      <c r="MIA1" s="331" t="s">
        <v>9742</v>
      </c>
      <c r="MIB1" s="331" t="s">
        <v>9743</v>
      </c>
      <c r="MIC1" s="331" t="s">
        <v>9744</v>
      </c>
      <c r="MID1" s="331" t="s">
        <v>9745</v>
      </c>
      <c r="MIE1" s="331" t="s">
        <v>9746</v>
      </c>
      <c r="MIF1" s="331" t="s">
        <v>9747</v>
      </c>
      <c r="MIG1" s="331" t="s">
        <v>9748</v>
      </c>
      <c r="MIH1" s="331" t="s">
        <v>9749</v>
      </c>
      <c r="MII1" s="331" t="s">
        <v>9750</v>
      </c>
      <c r="MIJ1" s="331" t="s">
        <v>9751</v>
      </c>
      <c r="MIK1" s="331" t="s">
        <v>9752</v>
      </c>
      <c r="MIL1" s="331" t="s">
        <v>9753</v>
      </c>
      <c r="MIM1" s="331" t="s">
        <v>9754</v>
      </c>
      <c r="MIN1" s="331" t="s">
        <v>9755</v>
      </c>
      <c r="MIO1" s="331" t="s">
        <v>9756</v>
      </c>
      <c r="MIP1" s="331" t="s">
        <v>9757</v>
      </c>
      <c r="MIQ1" s="331" t="s">
        <v>9758</v>
      </c>
      <c r="MIR1" s="331" t="s">
        <v>9759</v>
      </c>
      <c r="MIS1" s="331" t="s">
        <v>9760</v>
      </c>
      <c r="MIT1" s="331" t="s">
        <v>9761</v>
      </c>
      <c r="MIU1" s="331" t="s">
        <v>9762</v>
      </c>
      <c r="MIV1" s="331" t="s">
        <v>9763</v>
      </c>
      <c r="MIW1" s="331" t="s">
        <v>9764</v>
      </c>
      <c r="MIX1" s="331" t="s">
        <v>9765</v>
      </c>
      <c r="MIY1" s="331" t="s">
        <v>9766</v>
      </c>
      <c r="MIZ1" s="331" t="s">
        <v>9767</v>
      </c>
      <c r="MJA1" s="331" t="s">
        <v>9768</v>
      </c>
      <c r="MJB1" s="331" t="s">
        <v>9769</v>
      </c>
      <c r="MJC1" s="331" t="s">
        <v>9770</v>
      </c>
      <c r="MJD1" s="331" t="s">
        <v>9771</v>
      </c>
      <c r="MJE1" s="331" t="s">
        <v>9772</v>
      </c>
      <c r="MJF1" s="331" t="s">
        <v>9773</v>
      </c>
      <c r="MJG1" s="331" t="s">
        <v>9774</v>
      </c>
      <c r="MJH1" s="331" t="s">
        <v>9775</v>
      </c>
      <c r="MJI1" s="331" t="s">
        <v>9776</v>
      </c>
      <c r="MJJ1" s="331" t="s">
        <v>9777</v>
      </c>
      <c r="MJK1" s="331" t="s">
        <v>9778</v>
      </c>
      <c r="MJL1" s="331" t="s">
        <v>9779</v>
      </c>
      <c r="MJM1" s="331" t="s">
        <v>9780</v>
      </c>
      <c r="MJN1" s="331" t="s">
        <v>9781</v>
      </c>
      <c r="MJO1" s="331" t="s">
        <v>9782</v>
      </c>
      <c r="MJP1" s="331" t="s">
        <v>9783</v>
      </c>
      <c r="MJQ1" s="331" t="s">
        <v>9784</v>
      </c>
      <c r="MJR1" s="331" t="s">
        <v>9785</v>
      </c>
      <c r="MJS1" s="331" t="s">
        <v>9786</v>
      </c>
      <c r="MJT1" s="331" t="s">
        <v>9787</v>
      </c>
      <c r="MJU1" s="331" t="s">
        <v>9788</v>
      </c>
      <c r="MJV1" s="331" t="s">
        <v>9789</v>
      </c>
      <c r="MJW1" s="331" t="s">
        <v>9790</v>
      </c>
      <c r="MJX1" s="331" t="s">
        <v>9791</v>
      </c>
      <c r="MJY1" s="331" t="s">
        <v>9792</v>
      </c>
      <c r="MJZ1" s="331" t="s">
        <v>9793</v>
      </c>
      <c r="MKA1" s="331" t="s">
        <v>9794</v>
      </c>
      <c r="MKB1" s="331" t="s">
        <v>9795</v>
      </c>
      <c r="MKC1" s="331" t="s">
        <v>9796</v>
      </c>
      <c r="MKD1" s="331" t="s">
        <v>9797</v>
      </c>
      <c r="MKE1" s="331" t="s">
        <v>9798</v>
      </c>
      <c r="MKF1" s="331" t="s">
        <v>9799</v>
      </c>
      <c r="MKG1" s="331" t="s">
        <v>9800</v>
      </c>
      <c r="MKH1" s="331" t="s">
        <v>9801</v>
      </c>
      <c r="MKI1" s="331" t="s">
        <v>9802</v>
      </c>
      <c r="MKJ1" s="331" t="s">
        <v>9803</v>
      </c>
      <c r="MKK1" s="331" t="s">
        <v>9804</v>
      </c>
      <c r="MKL1" s="331" t="s">
        <v>9805</v>
      </c>
      <c r="MKM1" s="331" t="s">
        <v>9806</v>
      </c>
      <c r="MKN1" s="331" t="s">
        <v>9807</v>
      </c>
      <c r="MKO1" s="331" t="s">
        <v>9808</v>
      </c>
      <c r="MKP1" s="331" t="s">
        <v>9809</v>
      </c>
      <c r="MKQ1" s="331" t="s">
        <v>9810</v>
      </c>
      <c r="MKR1" s="331" t="s">
        <v>9811</v>
      </c>
      <c r="MKS1" s="331" t="s">
        <v>9812</v>
      </c>
      <c r="MKT1" s="331" t="s">
        <v>9813</v>
      </c>
      <c r="MKU1" s="331" t="s">
        <v>9814</v>
      </c>
      <c r="MKV1" s="331" t="s">
        <v>9815</v>
      </c>
      <c r="MKW1" s="331" t="s">
        <v>9816</v>
      </c>
      <c r="MKX1" s="331" t="s">
        <v>9817</v>
      </c>
      <c r="MKY1" s="331" t="s">
        <v>9818</v>
      </c>
      <c r="MKZ1" s="331" t="s">
        <v>9819</v>
      </c>
      <c r="MLA1" s="331" t="s">
        <v>9820</v>
      </c>
      <c r="MLB1" s="331" t="s">
        <v>9821</v>
      </c>
      <c r="MLC1" s="331" t="s">
        <v>9822</v>
      </c>
      <c r="MLD1" s="331" t="s">
        <v>9823</v>
      </c>
      <c r="MLE1" s="331" t="s">
        <v>9824</v>
      </c>
      <c r="MLF1" s="331" t="s">
        <v>9825</v>
      </c>
      <c r="MLG1" s="331" t="s">
        <v>9826</v>
      </c>
      <c r="MLH1" s="331" t="s">
        <v>9827</v>
      </c>
      <c r="MLI1" s="331" t="s">
        <v>9828</v>
      </c>
      <c r="MLJ1" s="331" t="s">
        <v>9829</v>
      </c>
      <c r="MLK1" s="331" t="s">
        <v>9830</v>
      </c>
      <c r="MLL1" s="331" t="s">
        <v>9831</v>
      </c>
      <c r="MLM1" s="331" t="s">
        <v>9832</v>
      </c>
      <c r="MLN1" s="331" t="s">
        <v>9833</v>
      </c>
      <c r="MLO1" s="331" t="s">
        <v>9834</v>
      </c>
      <c r="MLP1" s="331" t="s">
        <v>9835</v>
      </c>
      <c r="MLQ1" s="331" t="s">
        <v>9836</v>
      </c>
      <c r="MLR1" s="331" t="s">
        <v>9837</v>
      </c>
      <c r="MLS1" s="331" t="s">
        <v>9838</v>
      </c>
      <c r="MLT1" s="331" t="s">
        <v>9839</v>
      </c>
      <c r="MLU1" s="331" t="s">
        <v>9840</v>
      </c>
      <c r="MLV1" s="331" t="s">
        <v>9841</v>
      </c>
      <c r="MLW1" s="331" t="s">
        <v>9842</v>
      </c>
      <c r="MLX1" s="331" t="s">
        <v>9843</v>
      </c>
      <c r="MLY1" s="331" t="s">
        <v>9844</v>
      </c>
      <c r="MLZ1" s="331" t="s">
        <v>9845</v>
      </c>
      <c r="MMA1" s="331" t="s">
        <v>9846</v>
      </c>
      <c r="MMB1" s="331" t="s">
        <v>9847</v>
      </c>
      <c r="MMC1" s="331" t="s">
        <v>9848</v>
      </c>
      <c r="MMD1" s="331" t="s">
        <v>9849</v>
      </c>
      <c r="MME1" s="331" t="s">
        <v>9850</v>
      </c>
      <c r="MMF1" s="331" t="s">
        <v>9851</v>
      </c>
      <c r="MMG1" s="331" t="s">
        <v>9852</v>
      </c>
      <c r="MMH1" s="331" t="s">
        <v>9853</v>
      </c>
      <c r="MMI1" s="331" t="s">
        <v>9854</v>
      </c>
      <c r="MMJ1" s="331" t="s">
        <v>9855</v>
      </c>
      <c r="MMK1" s="331" t="s">
        <v>9856</v>
      </c>
      <c r="MML1" s="331" t="s">
        <v>9857</v>
      </c>
      <c r="MMM1" s="331" t="s">
        <v>9858</v>
      </c>
      <c r="MMN1" s="331" t="s">
        <v>9859</v>
      </c>
      <c r="MMO1" s="331" t="s">
        <v>9860</v>
      </c>
      <c r="MMP1" s="331" t="s">
        <v>9861</v>
      </c>
      <c r="MMQ1" s="331" t="s">
        <v>9862</v>
      </c>
      <c r="MMR1" s="331" t="s">
        <v>9863</v>
      </c>
      <c r="MMS1" s="331" t="s">
        <v>9864</v>
      </c>
      <c r="MMT1" s="331" t="s">
        <v>9865</v>
      </c>
      <c r="MMU1" s="331" t="s">
        <v>9866</v>
      </c>
      <c r="MMV1" s="331" t="s">
        <v>9867</v>
      </c>
      <c r="MMW1" s="331" t="s">
        <v>9868</v>
      </c>
      <c r="MMX1" s="331" t="s">
        <v>9869</v>
      </c>
      <c r="MMY1" s="331" t="s">
        <v>9870</v>
      </c>
      <c r="MMZ1" s="331" t="s">
        <v>9871</v>
      </c>
      <c r="MNA1" s="331" t="s">
        <v>9872</v>
      </c>
      <c r="MNB1" s="331" t="s">
        <v>9873</v>
      </c>
      <c r="MNC1" s="331" t="s">
        <v>9874</v>
      </c>
      <c r="MND1" s="331" t="s">
        <v>9875</v>
      </c>
      <c r="MNE1" s="331" t="s">
        <v>9876</v>
      </c>
      <c r="MNF1" s="331" t="s">
        <v>9877</v>
      </c>
      <c r="MNG1" s="331" t="s">
        <v>9878</v>
      </c>
      <c r="MNH1" s="331" t="s">
        <v>9879</v>
      </c>
      <c r="MNI1" s="331" t="s">
        <v>9880</v>
      </c>
      <c r="MNJ1" s="331" t="s">
        <v>9881</v>
      </c>
      <c r="MNK1" s="331" t="s">
        <v>9882</v>
      </c>
      <c r="MNL1" s="331" t="s">
        <v>9883</v>
      </c>
      <c r="MNM1" s="331" t="s">
        <v>9884</v>
      </c>
      <c r="MNN1" s="331" t="s">
        <v>9885</v>
      </c>
      <c r="MNO1" s="331" t="s">
        <v>9886</v>
      </c>
      <c r="MNP1" s="331" t="s">
        <v>9887</v>
      </c>
      <c r="MNQ1" s="331" t="s">
        <v>9888</v>
      </c>
      <c r="MNR1" s="331" t="s">
        <v>9889</v>
      </c>
      <c r="MNS1" s="331" t="s">
        <v>9890</v>
      </c>
      <c r="MNT1" s="331" t="s">
        <v>9891</v>
      </c>
      <c r="MNU1" s="331" t="s">
        <v>9892</v>
      </c>
      <c r="MNV1" s="331" t="s">
        <v>9893</v>
      </c>
      <c r="MNW1" s="331" t="s">
        <v>9894</v>
      </c>
      <c r="MNX1" s="331" t="s">
        <v>9895</v>
      </c>
      <c r="MNY1" s="331" t="s">
        <v>9896</v>
      </c>
      <c r="MNZ1" s="331" t="s">
        <v>9897</v>
      </c>
      <c r="MOA1" s="331" t="s">
        <v>9898</v>
      </c>
      <c r="MOB1" s="331" t="s">
        <v>9899</v>
      </c>
      <c r="MOC1" s="331" t="s">
        <v>9900</v>
      </c>
      <c r="MOD1" s="331" t="s">
        <v>9901</v>
      </c>
      <c r="MOE1" s="331" t="s">
        <v>9902</v>
      </c>
      <c r="MOF1" s="331" t="s">
        <v>9903</v>
      </c>
      <c r="MOG1" s="331" t="s">
        <v>9904</v>
      </c>
      <c r="MOH1" s="331" t="s">
        <v>9905</v>
      </c>
      <c r="MOI1" s="331" t="s">
        <v>9906</v>
      </c>
      <c r="MOJ1" s="331" t="s">
        <v>9907</v>
      </c>
      <c r="MOK1" s="331" t="s">
        <v>9908</v>
      </c>
      <c r="MOL1" s="331" t="s">
        <v>9909</v>
      </c>
      <c r="MOM1" s="331" t="s">
        <v>9910</v>
      </c>
      <c r="MON1" s="331" t="s">
        <v>9911</v>
      </c>
      <c r="MOO1" s="331" t="s">
        <v>9912</v>
      </c>
      <c r="MOP1" s="331" t="s">
        <v>9913</v>
      </c>
      <c r="MOQ1" s="331" t="s">
        <v>9914</v>
      </c>
      <c r="MOR1" s="331" t="s">
        <v>9915</v>
      </c>
      <c r="MOS1" s="331" t="s">
        <v>9916</v>
      </c>
      <c r="MOT1" s="331" t="s">
        <v>9917</v>
      </c>
      <c r="MOU1" s="331" t="s">
        <v>9918</v>
      </c>
      <c r="MOV1" s="331" t="s">
        <v>9919</v>
      </c>
      <c r="MOW1" s="331" t="s">
        <v>9920</v>
      </c>
      <c r="MOX1" s="331" t="s">
        <v>9921</v>
      </c>
      <c r="MOY1" s="331" t="s">
        <v>9922</v>
      </c>
      <c r="MOZ1" s="331" t="s">
        <v>9923</v>
      </c>
      <c r="MPA1" s="331" t="s">
        <v>9924</v>
      </c>
      <c r="MPB1" s="331" t="s">
        <v>9925</v>
      </c>
      <c r="MPC1" s="331" t="s">
        <v>9926</v>
      </c>
      <c r="MPD1" s="331" t="s">
        <v>9927</v>
      </c>
      <c r="MPE1" s="331" t="s">
        <v>9928</v>
      </c>
      <c r="MPF1" s="331" t="s">
        <v>9929</v>
      </c>
      <c r="MPG1" s="331" t="s">
        <v>9930</v>
      </c>
      <c r="MPH1" s="331" t="s">
        <v>9931</v>
      </c>
      <c r="MPI1" s="331" t="s">
        <v>9932</v>
      </c>
      <c r="MPJ1" s="331" t="s">
        <v>9933</v>
      </c>
      <c r="MPK1" s="331" t="s">
        <v>9934</v>
      </c>
      <c r="MPL1" s="331" t="s">
        <v>9935</v>
      </c>
      <c r="MPM1" s="331" t="s">
        <v>9936</v>
      </c>
      <c r="MPN1" s="331" t="s">
        <v>9937</v>
      </c>
      <c r="MPO1" s="331" t="s">
        <v>9938</v>
      </c>
      <c r="MPP1" s="331" t="s">
        <v>9939</v>
      </c>
      <c r="MPQ1" s="331" t="s">
        <v>9940</v>
      </c>
      <c r="MPR1" s="331" t="s">
        <v>9941</v>
      </c>
      <c r="MPS1" s="331" t="s">
        <v>9942</v>
      </c>
      <c r="MPT1" s="331" t="s">
        <v>9943</v>
      </c>
      <c r="MPU1" s="331" t="s">
        <v>9944</v>
      </c>
      <c r="MPV1" s="331" t="s">
        <v>9945</v>
      </c>
      <c r="MPW1" s="331" t="s">
        <v>9946</v>
      </c>
      <c r="MPX1" s="331" t="s">
        <v>9947</v>
      </c>
      <c r="MPY1" s="331" t="s">
        <v>9948</v>
      </c>
      <c r="MPZ1" s="331" t="s">
        <v>9949</v>
      </c>
      <c r="MQA1" s="331" t="s">
        <v>9950</v>
      </c>
      <c r="MQB1" s="331" t="s">
        <v>9951</v>
      </c>
      <c r="MQC1" s="331" t="s">
        <v>9952</v>
      </c>
      <c r="MQD1" s="331" t="s">
        <v>9953</v>
      </c>
      <c r="MQE1" s="331" t="s">
        <v>9954</v>
      </c>
      <c r="MQF1" s="331" t="s">
        <v>9955</v>
      </c>
      <c r="MQG1" s="331" t="s">
        <v>9956</v>
      </c>
      <c r="MQH1" s="331" t="s">
        <v>9957</v>
      </c>
      <c r="MQI1" s="331" t="s">
        <v>9958</v>
      </c>
      <c r="MQJ1" s="331" t="s">
        <v>9959</v>
      </c>
      <c r="MQK1" s="331" t="s">
        <v>9960</v>
      </c>
      <c r="MQL1" s="331" t="s">
        <v>9961</v>
      </c>
      <c r="MQM1" s="331" t="s">
        <v>9962</v>
      </c>
      <c r="MQN1" s="331" t="s">
        <v>9963</v>
      </c>
      <c r="MQO1" s="331" t="s">
        <v>9964</v>
      </c>
      <c r="MQP1" s="331" t="s">
        <v>9965</v>
      </c>
      <c r="MQQ1" s="331" t="s">
        <v>9966</v>
      </c>
      <c r="MQR1" s="331" t="s">
        <v>9967</v>
      </c>
      <c r="MQS1" s="331" t="s">
        <v>9968</v>
      </c>
      <c r="MQT1" s="331" t="s">
        <v>9969</v>
      </c>
      <c r="MQU1" s="331" t="s">
        <v>9970</v>
      </c>
      <c r="MQV1" s="331" t="s">
        <v>9971</v>
      </c>
      <c r="MQW1" s="331" t="s">
        <v>9972</v>
      </c>
      <c r="MQX1" s="331" t="s">
        <v>9973</v>
      </c>
      <c r="MQY1" s="331" t="s">
        <v>9974</v>
      </c>
      <c r="MQZ1" s="331" t="s">
        <v>9975</v>
      </c>
      <c r="MRA1" s="331" t="s">
        <v>9976</v>
      </c>
      <c r="MRB1" s="331" t="s">
        <v>9977</v>
      </c>
      <c r="MRC1" s="331" t="s">
        <v>9978</v>
      </c>
      <c r="MRD1" s="331" t="s">
        <v>9979</v>
      </c>
      <c r="MRE1" s="331" t="s">
        <v>9980</v>
      </c>
      <c r="MRF1" s="331" t="s">
        <v>9981</v>
      </c>
      <c r="MRG1" s="331" t="s">
        <v>9982</v>
      </c>
      <c r="MRH1" s="331" t="s">
        <v>9983</v>
      </c>
      <c r="MRI1" s="331" t="s">
        <v>9984</v>
      </c>
      <c r="MRJ1" s="331" t="s">
        <v>9985</v>
      </c>
      <c r="MRK1" s="331" t="s">
        <v>9986</v>
      </c>
      <c r="MRL1" s="331" t="s">
        <v>9987</v>
      </c>
      <c r="MRM1" s="331" t="s">
        <v>9988</v>
      </c>
      <c r="MRN1" s="331" t="s">
        <v>9989</v>
      </c>
      <c r="MRO1" s="331" t="s">
        <v>9990</v>
      </c>
      <c r="MRP1" s="331" t="s">
        <v>9991</v>
      </c>
      <c r="MRQ1" s="331" t="s">
        <v>9992</v>
      </c>
      <c r="MRR1" s="331" t="s">
        <v>9993</v>
      </c>
      <c r="MRS1" s="331" t="s">
        <v>9994</v>
      </c>
      <c r="MRT1" s="331" t="s">
        <v>9995</v>
      </c>
      <c r="MRU1" s="331" t="s">
        <v>9996</v>
      </c>
      <c r="MRV1" s="331" t="s">
        <v>9997</v>
      </c>
      <c r="MRW1" s="331" t="s">
        <v>9998</v>
      </c>
      <c r="MRX1" s="331" t="s">
        <v>9999</v>
      </c>
      <c r="MRY1" s="331" t="s">
        <v>10000</v>
      </c>
      <c r="MRZ1" s="331" t="s">
        <v>10001</v>
      </c>
      <c r="MSA1" s="331" t="s">
        <v>10002</v>
      </c>
      <c r="MSB1" s="331" t="s">
        <v>10003</v>
      </c>
      <c r="MSC1" s="331" t="s">
        <v>10004</v>
      </c>
      <c r="MSD1" s="331" t="s">
        <v>10005</v>
      </c>
      <c r="MSE1" s="331" t="s">
        <v>10006</v>
      </c>
      <c r="MSF1" s="331" t="s">
        <v>10007</v>
      </c>
      <c r="MSG1" s="331" t="s">
        <v>10008</v>
      </c>
      <c r="MSH1" s="331" t="s">
        <v>10009</v>
      </c>
      <c r="MSI1" s="331" t="s">
        <v>10010</v>
      </c>
      <c r="MSJ1" s="331" t="s">
        <v>10011</v>
      </c>
      <c r="MSK1" s="331" t="s">
        <v>10012</v>
      </c>
      <c r="MSL1" s="331" t="s">
        <v>10013</v>
      </c>
      <c r="MSM1" s="331" t="s">
        <v>10014</v>
      </c>
      <c r="MSN1" s="331" t="s">
        <v>10015</v>
      </c>
      <c r="MSO1" s="331" t="s">
        <v>10016</v>
      </c>
      <c r="MSP1" s="331" t="s">
        <v>10017</v>
      </c>
      <c r="MSQ1" s="331" t="s">
        <v>10018</v>
      </c>
      <c r="MSR1" s="331" t="s">
        <v>10019</v>
      </c>
      <c r="MSS1" s="331" t="s">
        <v>10020</v>
      </c>
      <c r="MST1" s="331" t="s">
        <v>10021</v>
      </c>
      <c r="MSU1" s="331" t="s">
        <v>10022</v>
      </c>
      <c r="MSV1" s="331" t="s">
        <v>10023</v>
      </c>
      <c r="MSW1" s="331" t="s">
        <v>10024</v>
      </c>
      <c r="MSX1" s="331" t="s">
        <v>10025</v>
      </c>
      <c r="MSY1" s="331" t="s">
        <v>10026</v>
      </c>
      <c r="MSZ1" s="331" t="s">
        <v>10027</v>
      </c>
      <c r="MTA1" s="331" t="s">
        <v>10028</v>
      </c>
      <c r="MTB1" s="331" t="s">
        <v>10029</v>
      </c>
      <c r="MTC1" s="331" t="s">
        <v>10030</v>
      </c>
      <c r="MTD1" s="331" t="s">
        <v>10031</v>
      </c>
      <c r="MTE1" s="331" t="s">
        <v>10032</v>
      </c>
      <c r="MTF1" s="331" t="s">
        <v>10033</v>
      </c>
      <c r="MTG1" s="331" t="s">
        <v>10034</v>
      </c>
      <c r="MTH1" s="331" t="s">
        <v>10035</v>
      </c>
      <c r="MTI1" s="331" t="s">
        <v>10036</v>
      </c>
      <c r="MTJ1" s="331" t="s">
        <v>10037</v>
      </c>
      <c r="MTK1" s="331" t="s">
        <v>10038</v>
      </c>
      <c r="MTL1" s="331" t="s">
        <v>10039</v>
      </c>
      <c r="MTM1" s="331" t="s">
        <v>10040</v>
      </c>
      <c r="MTN1" s="331" t="s">
        <v>10041</v>
      </c>
      <c r="MTO1" s="331" t="s">
        <v>10042</v>
      </c>
      <c r="MTP1" s="331" t="s">
        <v>10043</v>
      </c>
      <c r="MTQ1" s="331" t="s">
        <v>10044</v>
      </c>
      <c r="MTR1" s="331" t="s">
        <v>10045</v>
      </c>
      <c r="MTS1" s="331" t="s">
        <v>10046</v>
      </c>
      <c r="MTT1" s="331" t="s">
        <v>10047</v>
      </c>
      <c r="MTU1" s="331" t="s">
        <v>10048</v>
      </c>
      <c r="MTV1" s="331" t="s">
        <v>10049</v>
      </c>
      <c r="MTW1" s="331" t="s">
        <v>10050</v>
      </c>
      <c r="MTX1" s="331" t="s">
        <v>10051</v>
      </c>
      <c r="MTY1" s="331" t="s">
        <v>10052</v>
      </c>
      <c r="MTZ1" s="331" t="s">
        <v>10053</v>
      </c>
      <c r="MUA1" s="331" t="s">
        <v>10054</v>
      </c>
      <c r="MUB1" s="331" t="s">
        <v>10055</v>
      </c>
      <c r="MUC1" s="331" t="s">
        <v>10056</v>
      </c>
      <c r="MUD1" s="331" t="s">
        <v>10057</v>
      </c>
      <c r="MUE1" s="331" t="s">
        <v>10058</v>
      </c>
      <c r="MUF1" s="331" t="s">
        <v>10059</v>
      </c>
      <c r="MUG1" s="331" t="s">
        <v>10060</v>
      </c>
      <c r="MUH1" s="331" t="s">
        <v>10061</v>
      </c>
      <c r="MUI1" s="331" t="s">
        <v>10062</v>
      </c>
      <c r="MUJ1" s="331" t="s">
        <v>10063</v>
      </c>
      <c r="MUK1" s="331" t="s">
        <v>10064</v>
      </c>
      <c r="MUL1" s="331" t="s">
        <v>10065</v>
      </c>
      <c r="MUM1" s="331" t="s">
        <v>10066</v>
      </c>
      <c r="MUN1" s="331" t="s">
        <v>10067</v>
      </c>
      <c r="MUO1" s="331" t="s">
        <v>10068</v>
      </c>
      <c r="MUP1" s="331" t="s">
        <v>10069</v>
      </c>
      <c r="MUQ1" s="331" t="s">
        <v>10070</v>
      </c>
      <c r="MUR1" s="331" t="s">
        <v>10071</v>
      </c>
      <c r="MUS1" s="331" t="s">
        <v>10072</v>
      </c>
      <c r="MUT1" s="331" t="s">
        <v>10073</v>
      </c>
      <c r="MUU1" s="331" t="s">
        <v>10074</v>
      </c>
      <c r="MUV1" s="331" t="s">
        <v>10075</v>
      </c>
      <c r="MUW1" s="331" t="s">
        <v>10076</v>
      </c>
      <c r="MUX1" s="331" t="s">
        <v>10077</v>
      </c>
      <c r="MUY1" s="331" t="s">
        <v>10078</v>
      </c>
      <c r="MUZ1" s="331" t="s">
        <v>10079</v>
      </c>
      <c r="MVA1" s="331" t="s">
        <v>10080</v>
      </c>
      <c r="MVB1" s="331" t="s">
        <v>10081</v>
      </c>
      <c r="MVC1" s="331" t="s">
        <v>10082</v>
      </c>
      <c r="MVD1" s="331" t="s">
        <v>10083</v>
      </c>
      <c r="MVE1" s="331" t="s">
        <v>10084</v>
      </c>
      <c r="MVF1" s="331" t="s">
        <v>10085</v>
      </c>
      <c r="MVG1" s="331" t="s">
        <v>10086</v>
      </c>
      <c r="MVH1" s="331" t="s">
        <v>10087</v>
      </c>
      <c r="MVI1" s="331" t="s">
        <v>10088</v>
      </c>
      <c r="MVJ1" s="331" t="s">
        <v>10089</v>
      </c>
      <c r="MVK1" s="331" t="s">
        <v>10090</v>
      </c>
      <c r="MVL1" s="331" t="s">
        <v>10091</v>
      </c>
      <c r="MVM1" s="331" t="s">
        <v>10092</v>
      </c>
      <c r="MVN1" s="331" t="s">
        <v>10093</v>
      </c>
      <c r="MVO1" s="331" t="s">
        <v>10094</v>
      </c>
      <c r="MVP1" s="331" t="s">
        <v>10095</v>
      </c>
      <c r="MVQ1" s="331" t="s">
        <v>10096</v>
      </c>
      <c r="MVR1" s="331" t="s">
        <v>10097</v>
      </c>
      <c r="MVS1" s="331" t="s">
        <v>10098</v>
      </c>
      <c r="MVT1" s="331" t="s">
        <v>10099</v>
      </c>
      <c r="MVU1" s="331" t="s">
        <v>10100</v>
      </c>
      <c r="MVV1" s="331" t="s">
        <v>10101</v>
      </c>
      <c r="MVW1" s="331" t="s">
        <v>10102</v>
      </c>
      <c r="MVX1" s="331" t="s">
        <v>10103</v>
      </c>
      <c r="MVY1" s="331" t="s">
        <v>10104</v>
      </c>
      <c r="MVZ1" s="331" t="s">
        <v>10105</v>
      </c>
      <c r="MWA1" s="331" t="s">
        <v>10106</v>
      </c>
      <c r="MWB1" s="331" t="s">
        <v>10107</v>
      </c>
      <c r="MWC1" s="331" t="s">
        <v>10108</v>
      </c>
      <c r="MWD1" s="331" t="s">
        <v>10109</v>
      </c>
      <c r="MWE1" s="331" t="s">
        <v>10110</v>
      </c>
      <c r="MWF1" s="331" t="s">
        <v>10111</v>
      </c>
      <c r="MWG1" s="331" t="s">
        <v>10112</v>
      </c>
      <c r="MWH1" s="331" t="s">
        <v>10113</v>
      </c>
      <c r="MWI1" s="331" t="s">
        <v>10114</v>
      </c>
      <c r="MWJ1" s="331" t="s">
        <v>10115</v>
      </c>
      <c r="MWK1" s="331" t="s">
        <v>10116</v>
      </c>
      <c r="MWL1" s="331" t="s">
        <v>10117</v>
      </c>
      <c r="MWM1" s="331" t="s">
        <v>10118</v>
      </c>
      <c r="MWN1" s="331" t="s">
        <v>10119</v>
      </c>
      <c r="MWO1" s="331" t="s">
        <v>10120</v>
      </c>
      <c r="MWP1" s="331" t="s">
        <v>10121</v>
      </c>
      <c r="MWQ1" s="331" t="s">
        <v>10122</v>
      </c>
      <c r="MWR1" s="331" t="s">
        <v>10123</v>
      </c>
      <c r="MWS1" s="331" t="s">
        <v>10124</v>
      </c>
      <c r="MWT1" s="331" t="s">
        <v>10125</v>
      </c>
      <c r="MWU1" s="331" t="s">
        <v>10126</v>
      </c>
      <c r="MWV1" s="331" t="s">
        <v>10127</v>
      </c>
      <c r="MWW1" s="331" t="s">
        <v>10128</v>
      </c>
      <c r="MWX1" s="331" t="s">
        <v>10129</v>
      </c>
      <c r="MWY1" s="331" t="s">
        <v>10130</v>
      </c>
      <c r="MWZ1" s="331" t="s">
        <v>10131</v>
      </c>
      <c r="MXA1" s="331" t="s">
        <v>10132</v>
      </c>
      <c r="MXB1" s="331" t="s">
        <v>10133</v>
      </c>
      <c r="MXC1" s="331" t="s">
        <v>10134</v>
      </c>
      <c r="MXD1" s="331" t="s">
        <v>10135</v>
      </c>
      <c r="MXE1" s="331" t="s">
        <v>10136</v>
      </c>
      <c r="MXF1" s="331" t="s">
        <v>10137</v>
      </c>
      <c r="MXG1" s="331" t="s">
        <v>10138</v>
      </c>
      <c r="MXH1" s="331" t="s">
        <v>10139</v>
      </c>
      <c r="MXI1" s="331" t="s">
        <v>10140</v>
      </c>
      <c r="MXJ1" s="331" t="s">
        <v>10141</v>
      </c>
      <c r="MXK1" s="331" t="s">
        <v>10142</v>
      </c>
      <c r="MXL1" s="331" t="s">
        <v>10143</v>
      </c>
      <c r="MXM1" s="331" t="s">
        <v>10144</v>
      </c>
      <c r="MXN1" s="331" t="s">
        <v>10145</v>
      </c>
      <c r="MXO1" s="331" t="s">
        <v>10146</v>
      </c>
      <c r="MXP1" s="331" t="s">
        <v>10147</v>
      </c>
      <c r="MXQ1" s="331" t="s">
        <v>10148</v>
      </c>
      <c r="MXR1" s="331" t="s">
        <v>10149</v>
      </c>
      <c r="MXS1" s="331" t="s">
        <v>10150</v>
      </c>
      <c r="MXT1" s="331" t="s">
        <v>10151</v>
      </c>
      <c r="MXU1" s="331" t="s">
        <v>10152</v>
      </c>
      <c r="MXV1" s="331" t="s">
        <v>10153</v>
      </c>
      <c r="MXW1" s="331" t="s">
        <v>10154</v>
      </c>
      <c r="MXX1" s="331" t="s">
        <v>10155</v>
      </c>
      <c r="MXY1" s="331" t="s">
        <v>10156</v>
      </c>
      <c r="MXZ1" s="331" t="s">
        <v>10157</v>
      </c>
      <c r="MYA1" s="331" t="s">
        <v>10158</v>
      </c>
      <c r="MYB1" s="331" t="s">
        <v>10159</v>
      </c>
      <c r="MYC1" s="331" t="s">
        <v>10160</v>
      </c>
      <c r="MYD1" s="331" t="s">
        <v>10161</v>
      </c>
      <c r="MYE1" s="331" t="s">
        <v>10162</v>
      </c>
      <c r="MYF1" s="331" t="s">
        <v>10163</v>
      </c>
      <c r="MYG1" s="331" t="s">
        <v>10164</v>
      </c>
      <c r="MYH1" s="331" t="s">
        <v>10165</v>
      </c>
      <c r="MYI1" s="331" t="s">
        <v>10166</v>
      </c>
      <c r="MYJ1" s="331" t="s">
        <v>10167</v>
      </c>
      <c r="MYK1" s="331" t="s">
        <v>10168</v>
      </c>
      <c r="MYL1" s="331" t="s">
        <v>10169</v>
      </c>
      <c r="MYM1" s="331" t="s">
        <v>10170</v>
      </c>
      <c r="MYN1" s="331" t="s">
        <v>10171</v>
      </c>
      <c r="MYO1" s="331" t="s">
        <v>10172</v>
      </c>
      <c r="MYP1" s="331" t="s">
        <v>10173</v>
      </c>
      <c r="MYQ1" s="331" t="s">
        <v>10174</v>
      </c>
      <c r="MYR1" s="331" t="s">
        <v>10175</v>
      </c>
      <c r="MYS1" s="331" t="s">
        <v>10176</v>
      </c>
      <c r="MYT1" s="331" t="s">
        <v>10177</v>
      </c>
      <c r="MYU1" s="331" t="s">
        <v>10178</v>
      </c>
      <c r="MYV1" s="331" t="s">
        <v>10179</v>
      </c>
      <c r="MYW1" s="331" t="s">
        <v>10180</v>
      </c>
      <c r="MYX1" s="331" t="s">
        <v>10181</v>
      </c>
      <c r="MYY1" s="331" t="s">
        <v>10182</v>
      </c>
      <c r="MYZ1" s="331" t="s">
        <v>10183</v>
      </c>
      <c r="MZA1" s="331" t="s">
        <v>10184</v>
      </c>
      <c r="MZB1" s="331" t="s">
        <v>10185</v>
      </c>
      <c r="MZC1" s="331" t="s">
        <v>10186</v>
      </c>
      <c r="MZD1" s="331" t="s">
        <v>10187</v>
      </c>
      <c r="MZE1" s="331" t="s">
        <v>10188</v>
      </c>
      <c r="MZF1" s="331" t="s">
        <v>10189</v>
      </c>
      <c r="MZG1" s="331" t="s">
        <v>10190</v>
      </c>
      <c r="MZH1" s="331" t="s">
        <v>10191</v>
      </c>
      <c r="MZI1" s="331" t="s">
        <v>10192</v>
      </c>
      <c r="MZJ1" s="331" t="s">
        <v>10193</v>
      </c>
      <c r="MZK1" s="331" t="s">
        <v>10194</v>
      </c>
      <c r="MZL1" s="331" t="s">
        <v>10195</v>
      </c>
      <c r="MZM1" s="331" t="s">
        <v>10196</v>
      </c>
      <c r="MZN1" s="331" t="s">
        <v>10197</v>
      </c>
      <c r="MZO1" s="331" t="s">
        <v>10198</v>
      </c>
      <c r="MZP1" s="331" t="s">
        <v>10199</v>
      </c>
      <c r="MZQ1" s="331" t="s">
        <v>10200</v>
      </c>
      <c r="MZR1" s="331" t="s">
        <v>10201</v>
      </c>
      <c r="MZS1" s="331" t="s">
        <v>10202</v>
      </c>
      <c r="MZT1" s="331" t="s">
        <v>10203</v>
      </c>
      <c r="MZU1" s="331" t="s">
        <v>10204</v>
      </c>
      <c r="MZV1" s="331" t="s">
        <v>10205</v>
      </c>
      <c r="MZW1" s="331" t="s">
        <v>10206</v>
      </c>
      <c r="MZX1" s="331" t="s">
        <v>10207</v>
      </c>
      <c r="MZY1" s="331" t="s">
        <v>10208</v>
      </c>
      <c r="MZZ1" s="331" t="s">
        <v>10209</v>
      </c>
      <c r="NAA1" s="331" t="s">
        <v>10210</v>
      </c>
      <c r="NAB1" s="331" t="s">
        <v>10211</v>
      </c>
      <c r="NAC1" s="331" t="s">
        <v>10212</v>
      </c>
      <c r="NAD1" s="331" t="s">
        <v>10213</v>
      </c>
      <c r="NAE1" s="331" t="s">
        <v>10214</v>
      </c>
      <c r="NAF1" s="331" t="s">
        <v>10215</v>
      </c>
      <c r="NAG1" s="331" t="s">
        <v>10216</v>
      </c>
      <c r="NAH1" s="331" t="s">
        <v>10217</v>
      </c>
      <c r="NAI1" s="331" t="s">
        <v>10218</v>
      </c>
      <c r="NAJ1" s="331" t="s">
        <v>10219</v>
      </c>
      <c r="NAK1" s="331" t="s">
        <v>10220</v>
      </c>
      <c r="NAL1" s="331" t="s">
        <v>10221</v>
      </c>
      <c r="NAM1" s="331" t="s">
        <v>10222</v>
      </c>
      <c r="NAN1" s="331" t="s">
        <v>10223</v>
      </c>
      <c r="NAO1" s="331" t="s">
        <v>10224</v>
      </c>
      <c r="NAP1" s="331" t="s">
        <v>10225</v>
      </c>
      <c r="NAQ1" s="331" t="s">
        <v>10226</v>
      </c>
      <c r="NAR1" s="331" t="s">
        <v>10227</v>
      </c>
      <c r="NAS1" s="331" t="s">
        <v>10228</v>
      </c>
      <c r="NAT1" s="331" t="s">
        <v>10229</v>
      </c>
      <c r="NAU1" s="331" t="s">
        <v>10230</v>
      </c>
      <c r="NAV1" s="331" t="s">
        <v>10231</v>
      </c>
      <c r="NAW1" s="331" t="s">
        <v>10232</v>
      </c>
      <c r="NAX1" s="331" t="s">
        <v>10233</v>
      </c>
      <c r="NAY1" s="331" t="s">
        <v>10234</v>
      </c>
      <c r="NAZ1" s="331" t="s">
        <v>10235</v>
      </c>
      <c r="NBA1" s="331" t="s">
        <v>10236</v>
      </c>
      <c r="NBB1" s="331" t="s">
        <v>10237</v>
      </c>
      <c r="NBC1" s="331" t="s">
        <v>10238</v>
      </c>
      <c r="NBD1" s="331" t="s">
        <v>10239</v>
      </c>
      <c r="NBE1" s="331" t="s">
        <v>10240</v>
      </c>
      <c r="NBF1" s="331" t="s">
        <v>10241</v>
      </c>
      <c r="NBG1" s="331" t="s">
        <v>10242</v>
      </c>
      <c r="NBH1" s="331" t="s">
        <v>10243</v>
      </c>
      <c r="NBI1" s="331" t="s">
        <v>10244</v>
      </c>
      <c r="NBJ1" s="331" t="s">
        <v>10245</v>
      </c>
      <c r="NBK1" s="331" t="s">
        <v>10246</v>
      </c>
      <c r="NBL1" s="331" t="s">
        <v>10247</v>
      </c>
      <c r="NBM1" s="331" t="s">
        <v>10248</v>
      </c>
      <c r="NBN1" s="331" t="s">
        <v>10249</v>
      </c>
      <c r="NBO1" s="331" t="s">
        <v>10250</v>
      </c>
      <c r="NBP1" s="331" t="s">
        <v>10251</v>
      </c>
      <c r="NBQ1" s="331" t="s">
        <v>10252</v>
      </c>
      <c r="NBR1" s="331" t="s">
        <v>10253</v>
      </c>
      <c r="NBS1" s="331" t="s">
        <v>10254</v>
      </c>
      <c r="NBT1" s="331" t="s">
        <v>10255</v>
      </c>
      <c r="NBU1" s="331" t="s">
        <v>10256</v>
      </c>
      <c r="NBV1" s="331" t="s">
        <v>10257</v>
      </c>
      <c r="NBW1" s="331" t="s">
        <v>10258</v>
      </c>
      <c r="NBX1" s="331" t="s">
        <v>10259</v>
      </c>
      <c r="NBY1" s="331" t="s">
        <v>10260</v>
      </c>
      <c r="NBZ1" s="331" t="s">
        <v>10261</v>
      </c>
      <c r="NCA1" s="331" t="s">
        <v>10262</v>
      </c>
      <c r="NCB1" s="331" t="s">
        <v>10263</v>
      </c>
      <c r="NCC1" s="331" t="s">
        <v>10264</v>
      </c>
      <c r="NCD1" s="331" t="s">
        <v>10265</v>
      </c>
      <c r="NCE1" s="331" t="s">
        <v>10266</v>
      </c>
      <c r="NCF1" s="331" t="s">
        <v>10267</v>
      </c>
      <c r="NCG1" s="331" t="s">
        <v>10268</v>
      </c>
      <c r="NCH1" s="331" t="s">
        <v>10269</v>
      </c>
      <c r="NCI1" s="331" t="s">
        <v>10270</v>
      </c>
      <c r="NCJ1" s="331" t="s">
        <v>10271</v>
      </c>
      <c r="NCK1" s="331" t="s">
        <v>10272</v>
      </c>
      <c r="NCL1" s="331" t="s">
        <v>10273</v>
      </c>
      <c r="NCM1" s="331" t="s">
        <v>10274</v>
      </c>
      <c r="NCN1" s="331" t="s">
        <v>10275</v>
      </c>
      <c r="NCO1" s="331" t="s">
        <v>10276</v>
      </c>
      <c r="NCP1" s="331" t="s">
        <v>10277</v>
      </c>
      <c r="NCQ1" s="331" t="s">
        <v>10278</v>
      </c>
      <c r="NCR1" s="331" t="s">
        <v>10279</v>
      </c>
      <c r="NCS1" s="331" t="s">
        <v>10280</v>
      </c>
      <c r="NCT1" s="331" t="s">
        <v>10281</v>
      </c>
      <c r="NCU1" s="331" t="s">
        <v>10282</v>
      </c>
      <c r="NCV1" s="331" t="s">
        <v>10283</v>
      </c>
      <c r="NCW1" s="331" t="s">
        <v>10284</v>
      </c>
      <c r="NCX1" s="331" t="s">
        <v>10285</v>
      </c>
      <c r="NCY1" s="331" t="s">
        <v>10286</v>
      </c>
      <c r="NCZ1" s="331" t="s">
        <v>10287</v>
      </c>
      <c r="NDA1" s="331" t="s">
        <v>10288</v>
      </c>
      <c r="NDB1" s="331" t="s">
        <v>10289</v>
      </c>
      <c r="NDC1" s="331" t="s">
        <v>10290</v>
      </c>
      <c r="NDD1" s="331" t="s">
        <v>10291</v>
      </c>
      <c r="NDE1" s="331" t="s">
        <v>10292</v>
      </c>
      <c r="NDF1" s="331" t="s">
        <v>10293</v>
      </c>
      <c r="NDG1" s="331" t="s">
        <v>10294</v>
      </c>
      <c r="NDH1" s="331" t="s">
        <v>10295</v>
      </c>
      <c r="NDI1" s="331" t="s">
        <v>10296</v>
      </c>
      <c r="NDJ1" s="331" t="s">
        <v>10297</v>
      </c>
      <c r="NDK1" s="331" t="s">
        <v>10298</v>
      </c>
      <c r="NDL1" s="331" t="s">
        <v>10299</v>
      </c>
      <c r="NDM1" s="331" t="s">
        <v>10300</v>
      </c>
      <c r="NDN1" s="331" t="s">
        <v>10301</v>
      </c>
      <c r="NDO1" s="331" t="s">
        <v>10302</v>
      </c>
      <c r="NDP1" s="331" t="s">
        <v>10303</v>
      </c>
      <c r="NDQ1" s="331" t="s">
        <v>10304</v>
      </c>
      <c r="NDR1" s="331" t="s">
        <v>10305</v>
      </c>
      <c r="NDS1" s="331" t="s">
        <v>10306</v>
      </c>
      <c r="NDT1" s="331" t="s">
        <v>10307</v>
      </c>
      <c r="NDU1" s="331" t="s">
        <v>10308</v>
      </c>
      <c r="NDV1" s="331" t="s">
        <v>10309</v>
      </c>
      <c r="NDW1" s="331" t="s">
        <v>10310</v>
      </c>
      <c r="NDX1" s="331" t="s">
        <v>10311</v>
      </c>
      <c r="NDY1" s="331" t="s">
        <v>10312</v>
      </c>
      <c r="NDZ1" s="331" t="s">
        <v>10313</v>
      </c>
      <c r="NEA1" s="331" t="s">
        <v>10314</v>
      </c>
      <c r="NEB1" s="331" t="s">
        <v>10315</v>
      </c>
      <c r="NEC1" s="331" t="s">
        <v>10316</v>
      </c>
      <c r="NED1" s="331" t="s">
        <v>10317</v>
      </c>
      <c r="NEE1" s="331" t="s">
        <v>10318</v>
      </c>
      <c r="NEF1" s="331" t="s">
        <v>10319</v>
      </c>
      <c r="NEG1" s="331" t="s">
        <v>10320</v>
      </c>
      <c r="NEH1" s="331" t="s">
        <v>10321</v>
      </c>
      <c r="NEI1" s="331" t="s">
        <v>10322</v>
      </c>
      <c r="NEJ1" s="331" t="s">
        <v>10323</v>
      </c>
      <c r="NEK1" s="331" t="s">
        <v>10324</v>
      </c>
      <c r="NEL1" s="331" t="s">
        <v>10325</v>
      </c>
      <c r="NEM1" s="331" t="s">
        <v>10326</v>
      </c>
      <c r="NEN1" s="331" t="s">
        <v>10327</v>
      </c>
      <c r="NEO1" s="331" t="s">
        <v>10328</v>
      </c>
      <c r="NEP1" s="331" t="s">
        <v>10329</v>
      </c>
      <c r="NEQ1" s="331" t="s">
        <v>10330</v>
      </c>
      <c r="NER1" s="331" t="s">
        <v>10331</v>
      </c>
      <c r="NES1" s="331" t="s">
        <v>10332</v>
      </c>
      <c r="NET1" s="331" t="s">
        <v>10333</v>
      </c>
      <c r="NEU1" s="331" t="s">
        <v>10334</v>
      </c>
      <c r="NEV1" s="331" t="s">
        <v>10335</v>
      </c>
      <c r="NEW1" s="331" t="s">
        <v>10336</v>
      </c>
      <c r="NEX1" s="331" t="s">
        <v>10337</v>
      </c>
      <c r="NEY1" s="331" t="s">
        <v>10338</v>
      </c>
      <c r="NEZ1" s="331" t="s">
        <v>10339</v>
      </c>
      <c r="NFA1" s="331" t="s">
        <v>10340</v>
      </c>
      <c r="NFB1" s="331" t="s">
        <v>10341</v>
      </c>
      <c r="NFC1" s="331" t="s">
        <v>10342</v>
      </c>
      <c r="NFD1" s="331" t="s">
        <v>10343</v>
      </c>
      <c r="NFE1" s="331" t="s">
        <v>10344</v>
      </c>
      <c r="NFF1" s="331" t="s">
        <v>10345</v>
      </c>
      <c r="NFG1" s="331" t="s">
        <v>10346</v>
      </c>
      <c r="NFH1" s="331" t="s">
        <v>10347</v>
      </c>
      <c r="NFI1" s="331" t="s">
        <v>10348</v>
      </c>
      <c r="NFJ1" s="331" t="s">
        <v>10349</v>
      </c>
      <c r="NFK1" s="331" t="s">
        <v>10350</v>
      </c>
      <c r="NFL1" s="331" t="s">
        <v>10351</v>
      </c>
      <c r="NFM1" s="331" t="s">
        <v>10352</v>
      </c>
      <c r="NFN1" s="331" t="s">
        <v>10353</v>
      </c>
      <c r="NFO1" s="331" t="s">
        <v>10354</v>
      </c>
      <c r="NFP1" s="331" t="s">
        <v>10355</v>
      </c>
      <c r="NFQ1" s="331" t="s">
        <v>10356</v>
      </c>
      <c r="NFR1" s="331" t="s">
        <v>10357</v>
      </c>
      <c r="NFS1" s="331" t="s">
        <v>10358</v>
      </c>
      <c r="NFT1" s="331" t="s">
        <v>10359</v>
      </c>
      <c r="NFU1" s="331" t="s">
        <v>10360</v>
      </c>
      <c r="NFV1" s="331" t="s">
        <v>10361</v>
      </c>
      <c r="NFW1" s="331" t="s">
        <v>10362</v>
      </c>
      <c r="NFX1" s="331" t="s">
        <v>10363</v>
      </c>
      <c r="NFY1" s="331" t="s">
        <v>10364</v>
      </c>
      <c r="NFZ1" s="331" t="s">
        <v>10365</v>
      </c>
      <c r="NGA1" s="331" t="s">
        <v>10366</v>
      </c>
      <c r="NGB1" s="331" t="s">
        <v>10367</v>
      </c>
      <c r="NGC1" s="331" t="s">
        <v>10368</v>
      </c>
      <c r="NGD1" s="331" t="s">
        <v>10369</v>
      </c>
      <c r="NGE1" s="331" t="s">
        <v>10370</v>
      </c>
      <c r="NGF1" s="331" t="s">
        <v>10371</v>
      </c>
      <c r="NGG1" s="331" t="s">
        <v>10372</v>
      </c>
      <c r="NGH1" s="331" t="s">
        <v>10373</v>
      </c>
      <c r="NGI1" s="331" t="s">
        <v>10374</v>
      </c>
      <c r="NGJ1" s="331" t="s">
        <v>10375</v>
      </c>
      <c r="NGK1" s="331" t="s">
        <v>10376</v>
      </c>
      <c r="NGL1" s="331" t="s">
        <v>10377</v>
      </c>
      <c r="NGM1" s="331" t="s">
        <v>10378</v>
      </c>
      <c r="NGN1" s="331" t="s">
        <v>10379</v>
      </c>
      <c r="NGO1" s="331" t="s">
        <v>10380</v>
      </c>
      <c r="NGP1" s="331" t="s">
        <v>10381</v>
      </c>
      <c r="NGQ1" s="331" t="s">
        <v>10382</v>
      </c>
      <c r="NGR1" s="331" t="s">
        <v>10383</v>
      </c>
      <c r="NGS1" s="331" t="s">
        <v>10384</v>
      </c>
      <c r="NGT1" s="331" t="s">
        <v>10385</v>
      </c>
      <c r="NGU1" s="331" t="s">
        <v>10386</v>
      </c>
      <c r="NGV1" s="331" t="s">
        <v>10387</v>
      </c>
      <c r="NGW1" s="331" t="s">
        <v>10388</v>
      </c>
      <c r="NGX1" s="331" t="s">
        <v>10389</v>
      </c>
      <c r="NGY1" s="331" t="s">
        <v>10390</v>
      </c>
      <c r="NGZ1" s="331" t="s">
        <v>10391</v>
      </c>
      <c r="NHA1" s="331" t="s">
        <v>10392</v>
      </c>
      <c r="NHB1" s="331" t="s">
        <v>10393</v>
      </c>
      <c r="NHC1" s="331" t="s">
        <v>10394</v>
      </c>
      <c r="NHD1" s="331" t="s">
        <v>10395</v>
      </c>
      <c r="NHE1" s="331" t="s">
        <v>10396</v>
      </c>
      <c r="NHF1" s="331" t="s">
        <v>10397</v>
      </c>
      <c r="NHG1" s="331" t="s">
        <v>10398</v>
      </c>
      <c r="NHH1" s="331" t="s">
        <v>10399</v>
      </c>
      <c r="NHI1" s="331" t="s">
        <v>10400</v>
      </c>
      <c r="NHJ1" s="331" t="s">
        <v>10401</v>
      </c>
      <c r="NHK1" s="331" t="s">
        <v>10402</v>
      </c>
      <c r="NHL1" s="331" t="s">
        <v>10403</v>
      </c>
      <c r="NHM1" s="331" t="s">
        <v>10404</v>
      </c>
      <c r="NHN1" s="331" t="s">
        <v>10405</v>
      </c>
      <c r="NHO1" s="331" t="s">
        <v>10406</v>
      </c>
      <c r="NHP1" s="331" t="s">
        <v>10407</v>
      </c>
      <c r="NHQ1" s="331" t="s">
        <v>10408</v>
      </c>
      <c r="NHR1" s="331" t="s">
        <v>10409</v>
      </c>
      <c r="NHS1" s="331" t="s">
        <v>10410</v>
      </c>
      <c r="NHT1" s="331" t="s">
        <v>10411</v>
      </c>
      <c r="NHU1" s="331" t="s">
        <v>10412</v>
      </c>
      <c r="NHV1" s="331" t="s">
        <v>10413</v>
      </c>
      <c r="NHW1" s="331" t="s">
        <v>10414</v>
      </c>
      <c r="NHX1" s="331" t="s">
        <v>10415</v>
      </c>
      <c r="NHY1" s="331" t="s">
        <v>10416</v>
      </c>
      <c r="NHZ1" s="331" t="s">
        <v>10417</v>
      </c>
      <c r="NIA1" s="331" t="s">
        <v>10418</v>
      </c>
      <c r="NIB1" s="331" t="s">
        <v>10419</v>
      </c>
      <c r="NIC1" s="331" t="s">
        <v>10420</v>
      </c>
      <c r="NID1" s="331" t="s">
        <v>10421</v>
      </c>
      <c r="NIE1" s="331" t="s">
        <v>10422</v>
      </c>
      <c r="NIF1" s="331" t="s">
        <v>10423</v>
      </c>
      <c r="NIG1" s="331" t="s">
        <v>10424</v>
      </c>
      <c r="NIH1" s="331" t="s">
        <v>10425</v>
      </c>
      <c r="NII1" s="331" t="s">
        <v>10426</v>
      </c>
      <c r="NIJ1" s="331" t="s">
        <v>10427</v>
      </c>
      <c r="NIK1" s="331" t="s">
        <v>10428</v>
      </c>
      <c r="NIL1" s="331" t="s">
        <v>10429</v>
      </c>
      <c r="NIM1" s="331" t="s">
        <v>10430</v>
      </c>
      <c r="NIN1" s="331" t="s">
        <v>10431</v>
      </c>
      <c r="NIO1" s="331" t="s">
        <v>10432</v>
      </c>
      <c r="NIP1" s="331" t="s">
        <v>10433</v>
      </c>
      <c r="NIQ1" s="331" t="s">
        <v>10434</v>
      </c>
      <c r="NIR1" s="331" t="s">
        <v>10435</v>
      </c>
      <c r="NIS1" s="331" t="s">
        <v>10436</v>
      </c>
      <c r="NIT1" s="331" t="s">
        <v>10437</v>
      </c>
      <c r="NIU1" s="331" t="s">
        <v>10438</v>
      </c>
      <c r="NIV1" s="331" t="s">
        <v>10439</v>
      </c>
      <c r="NIW1" s="331" t="s">
        <v>10440</v>
      </c>
      <c r="NIX1" s="331" t="s">
        <v>10441</v>
      </c>
      <c r="NIY1" s="331" t="s">
        <v>10442</v>
      </c>
      <c r="NIZ1" s="331" t="s">
        <v>10443</v>
      </c>
      <c r="NJA1" s="331" t="s">
        <v>10444</v>
      </c>
      <c r="NJB1" s="331" t="s">
        <v>10445</v>
      </c>
      <c r="NJC1" s="331" t="s">
        <v>10446</v>
      </c>
      <c r="NJD1" s="331" t="s">
        <v>10447</v>
      </c>
      <c r="NJE1" s="331" t="s">
        <v>10448</v>
      </c>
      <c r="NJF1" s="331" t="s">
        <v>10449</v>
      </c>
      <c r="NJG1" s="331" t="s">
        <v>10450</v>
      </c>
      <c r="NJH1" s="331" t="s">
        <v>10451</v>
      </c>
      <c r="NJI1" s="331" t="s">
        <v>10452</v>
      </c>
      <c r="NJJ1" s="331" t="s">
        <v>10453</v>
      </c>
      <c r="NJK1" s="331" t="s">
        <v>10454</v>
      </c>
      <c r="NJL1" s="331" t="s">
        <v>10455</v>
      </c>
      <c r="NJM1" s="331" t="s">
        <v>10456</v>
      </c>
      <c r="NJN1" s="331" t="s">
        <v>10457</v>
      </c>
      <c r="NJO1" s="331" t="s">
        <v>10458</v>
      </c>
      <c r="NJP1" s="331" t="s">
        <v>10459</v>
      </c>
      <c r="NJQ1" s="331" t="s">
        <v>10460</v>
      </c>
      <c r="NJR1" s="331" t="s">
        <v>10461</v>
      </c>
      <c r="NJS1" s="331" t="s">
        <v>10462</v>
      </c>
      <c r="NJT1" s="331" t="s">
        <v>10463</v>
      </c>
      <c r="NJU1" s="331" t="s">
        <v>10464</v>
      </c>
      <c r="NJV1" s="331" t="s">
        <v>10465</v>
      </c>
      <c r="NJW1" s="331" t="s">
        <v>10466</v>
      </c>
      <c r="NJX1" s="331" t="s">
        <v>10467</v>
      </c>
      <c r="NJY1" s="331" t="s">
        <v>10468</v>
      </c>
      <c r="NJZ1" s="331" t="s">
        <v>10469</v>
      </c>
      <c r="NKA1" s="331" t="s">
        <v>10470</v>
      </c>
      <c r="NKB1" s="331" t="s">
        <v>10471</v>
      </c>
      <c r="NKC1" s="331" t="s">
        <v>10472</v>
      </c>
      <c r="NKD1" s="331" t="s">
        <v>10473</v>
      </c>
      <c r="NKE1" s="331" t="s">
        <v>10474</v>
      </c>
      <c r="NKF1" s="331" t="s">
        <v>10475</v>
      </c>
      <c r="NKG1" s="331" t="s">
        <v>10476</v>
      </c>
      <c r="NKH1" s="331" t="s">
        <v>10477</v>
      </c>
      <c r="NKI1" s="331" t="s">
        <v>10478</v>
      </c>
      <c r="NKJ1" s="331" t="s">
        <v>10479</v>
      </c>
      <c r="NKK1" s="331" t="s">
        <v>10480</v>
      </c>
      <c r="NKL1" s="331" t="s">
        <v>10481</v>
      </c>
      <c r="NKM1" s="331" t="s">
        <v>10482</v>
      </c>
      <c r="NKN1" s="331" t="s">
        <v>10483</v>
      </c>
      <c r="NKO1" s="331" t="s">
        <v>10484</v>
      </c>
      <c r="NKP1" s="331" t="s">
        <v>10485</v>
      </c>
      <c r="NKQ1" s="331" t="s">
        <v>10486</v>
      </c>
      <c r="NKR1" s="331" t="s">
        <v>10487</v>
      </c>
      <c r="NKS1" s="331" t="s">
        <v>10488</v>
      </c>
      <c r="NKT1" s="331" t="s">
        <v>10489</v>
      </c>
      <c r="NKU1" s="331" t="s">
        <v>10490</v>
      </c>
      <c r="NKV1" s="331" t="s">
        <v>10491</v>
      </c>
      <c r="NKW1" s="331" t="s">
        <v>10492</v>
      </c>
      <c r="NKX1" s="331" t="s">
        <v>10493</v>
      </c>
      <c r="NKY1" s="331" t="s">
        <v>10494</v>
      </c>
      <c r="NKZ1" s="331" t="s">
        <v>10495</v>
      </c>
      <c r="NLA1" s="331" t="s">
        <v>10496</v>
      </c>
      <c r="NLB1" s="331" t="s">
        <v>10497</v>
      </c>
      <c r="NLC1" s="331" t="s">
        <v>10498</v>
      </c>
      <c r="NLD1" s="331" t="s">
        <v>10499</v>
      </c>
      <c r="NLE1" s="331" t="s">
        <v>10500</v>
      </c>
      <c r="NLF1" s="331" t="s">
        <v>10501</v>
      </c>
      <c r="NLG1" s="331" t="s">
        <v>10502</v>
      </c>
      <c r="NLH1" s="331" t="s">
        <v>10503</v>
      </c>
      <c r="NLI1" s="331" t="s">
        <v>10504</v>
      </c>
      <c r="NLJ1" s="331" t="s">
        <v>10505</v>
      </c>
      <c r="NLK1" s="331" t="s">
        <v>10506</v>
      </c>
      <c r="NLL1" s="331" t="s">
        <v>10507</v>
      </c>
      <c r="NLM1" s="331" t="s">
        <v>10508</v>
      </c>
      <c r="NLN1" s="331" t="s">
        <v>10509</v>
      </c>
      <c r="NLO1" s="331" t="s">
        <v>10510</v>
      </c>
      <c r="NLP1" s="331" t="s">
        <v>10511</v>
      </c>
      <c r="NLQ1" s="331" t="s">
        <v>10512</v>
      </c>
      <c r="NLR1" s="331" t="s">
        <v>10513</v>
      </c>
      <c r="NLS1" s="331" t="s">
        <v>10514</v>
      </c>
      <c r="NLT1" s="331" t="s">
        <v>10515</v>
      </c>
      <c r="NLU1" s="331" t="s">
        <v>10516</v>
      </c>
      <c r="NLV1" s="331" t="s">
        <v>10517</v>
      </c>
      <c r="NLW1" s="331" t="s">
        <v>10518</v>
      </c>
      <c r="NLX1" s="331" t="s">
        <v>10519</v>
      </c>
      <c r="NLY1" s="331" t="s">
        <v>10520</v>
      </c>
      <c r="NLZ1" s="331" t="s">
        <v>10521</v>
      </c>
      <c r="NMA1" s="331" t="s">
        <v>10522</v>
      </c>
      <c r="NMB1" s="331" t="s">
        <v>10523</v>
      </c>
      <c r="NMC1" s="331" t="s">
        <v>10524</v>
      </c>
      <c r="NMD1" s="331" t="s">
        <v>10525</v>
      </c>
      <c r="NME1" s="331" t="s">
        <v>10526</v>
      </c>
      <c r="NMF1" s="331" t="s">
        <v>10527</v>
      </c>
      <c r="NMG1" s="331" t="s">
        <v>10528</v>
      </c>
      <c r="NMH1" s="331" t="s">
        <v>10529</v>
      </c>
      <c r="NMI1" s="331" t="s">
        <v>10530</v>
      </c>
      <c r="NMJ1" s="331" t="s">
        <v>10531</v>
      </c>
      <c r="NMK1" s="331" t="s">
        <v>10532</v>
      </c>
      <c r="NML1" s="331" t="s">
        <v>10533</v>
      </c>
      <c r="NMM1" s="331" t="s">
        <v>10534</v>
      </c>
      <c r="NMN1" s="331" t="s">
        <v>10535</v>
      </c>
      <c r="NMO1" s="331" t="s">
        <v>10536</v>
      </c>
      <c r="NMP1" s="331" t="s">
        <v>10537</v>
      </c>
      <c r="NMQ1" s="331" t="s">
        <v>10538</v>
      </c>
      <c r="NMR1" s="331" t="s">
        <v>10539</v>
      </c>
      <c r="NMS1" s="331" t="s">
        <v>10540</v>
      </c>
      <c r="NMT1" s="331" t="s">
        <v>10541</v>
      </c>
      <c r="NMU1" s="331" t="s">
        <v>10542</v>
      </c>
      <c r="NMV1" s="331" t="s">
        <v>10543</v>
      </c>
      <c r="NMW1" s="331" t="s">
        <v>10544</v>
      </c>
      <c r="NMX1" s="331" t="s">
        <v>10545</v>
      </c>
      <c r="NMY1" s="331" t="s">
        <v>10546</v>
      </c>
      <c r="NMZ1" s="331" t="s">
        <v>10547</v>
      </c>
      <c r="NNA1" s="331" t="s">
        <v>10548</v>
      </c>
      <c r="NNB1" s="331" t="s">
        <v>10549</v>
      </c>
      <c r="NNC1" s="331" t="s">
        <v>10550</v>
      </c>
      <c r="NND1" s="331" t="s">
        <v>10551</v>
      </c>
      <c r="NNE1" s="331" t="s">
        <v>10552</v>
      </c>
      <c r="NNF1" s="331" t="s">
        <v>10553</v>
      </c>
      <c r="NNG1" s="331" t="s">
        <v>10554</v>
      </c>
      <c r="NNH1" s="331" t="s">
        <v>10555</v>
      </c>
      <c r="NNI1" s="331" t="s">
        <v>10556</v>
      </c>
      <c r="NNJ1" s="331" t="s">
        <v>10557</v>
      </c>
      <c r="NNK1" s="331" t="s">
        <v>10558</v>
      </c>
      <c r="NNL1" s="331" t="s">
        <v>10559</v>
      </c>
      <c r="NNM1" s="331" t="s">
        <v>10560</v>
      </c>
      <c r="NNN1" s="331" t="s">
        <v>10561</v>
      </c>
      <c r="NNO1" s="331" t="s">
        <v>10562</v>
      </c>
      <c r="NNP1" s="331" t="s">
        <v>10563</v>
      </c>
      <c r="NNQ1" s="331" t="s">
        <v>10564</v>
      </c>
      <c r="NNR1" s="331" t="s">
        <v>10565</v>
      </c>
      <c r="NNS1" s="331" t="s">
        <v>10566</v>
      </c>
      <c r="NNT1" s="331" t="s">
        <v>10567</v>
      </c>
      <c r="NNU1" s="331" t="s">
        <v>10568</v>
      </c>
      <c r="NNV1" s="331" t="s">
        <v>10569</v>
      </c>
      <c r="NNW1" s="331" t="s">
        <v>10570</v>
      </c>
      <c r="NNX1" s="331" t="s">
        <v>10571</v>
      </c>
      <c r="NNY1" s="331" t="s">
        <v>10572</v>
      </c>
      <c r="NNZ1" s="331" t="s">
        <v>10573</v>
      </c>
      <c r="NOA1" s="331" t="s">
        <v>10574</v>
      </c>
      <c r="NOB1" s="331" t="s">
        <v>10575</v>
      </c>
      <c r="NOC1" s="331" t="s">
        <v>10576</v>
      </c>
      <c r="NOD1" s="331" t="s">
        <v>10577</v>
      </c>
      <c r="NOE1" s="331" t="s">
        <v>10578</v>
      </c>
      <c r="NOF1" s="331" t="s">
        <v>10579</v>
      </c>
      <c r="NOG1" s="331" t="s">
        <v>10580</v>
      </c>
      <c r="NOH1" s="331" t="s">
        <v>10581</v>
      </c>
      <c r="NOI1" s="331" t="s">
        <v>10582</v>
      </c>
      <c r="NOJ1" s="331" t="s">
        <v>10583</v>
      </c>
      <c r="NOK1" s="331" t="s">
        <v>10584</v>
      </c>
      <c r="NOL1" s="331" t="s">
        <v>10585</v>
      </c>
      <c r="NOM1" s="331" t="s">
        <v>10586</v>
      </c>
      <c r="NON1" s="331" t="s">
        <v>10587</v>
      </c>
      <c r="NOO1" s="331" t="s">
        <v>10588</v>
      </c>
      <c r="NOP1" s="331" t="s">
        <v>10589</v>
      </c>
      <c r="NOQ1" s="331" t="s">
        <v>10590</v>
      </c>
      <c r="NOR1" s="331" t="s">
        <v>10591</v>
      </c>
      <c r="NOS1" s="331" t="s">
        <v>10592</v>
      </c>
      <c r="NOT1" s="331" t="s">
        <v>10593</v>
      </c>
      <c r="NOU1" s="331" t="s">
        <v>10594</v>
      </c>
      <c r="NOV1" s="331" t="s">
        <v>10595</v>
      </c>
      <c r="NOW1" s="331" t="s">
        <v>10596</v>
      </c>
      <c r="NOX1" s="331" t="s">
        <v>10597</v>
      </c>
      <c r="NOY1" s="331" t="s">
        <v>10598</v>
      </c>
      <c r="NOZ1" s="331" t="s">
        <v>10599</v>
      </c>
      <c r="NPA1" s="331" t="s">
        <v>10600</v>
      </c>
      <c r="NPB1" s="331" t="s">
        <v>10601</v>
      </c>
      <c r="NPC1" s="331" t="s">
        <v>10602</v>
      </c>
      <c r="NPD1" s="331" t="s">
        <v>10603</v>
      </c>
      <c r="NPE1" s="331" t="s">
        <v>10604</v>
      </c>
      <c r="NPF1" s="331" t="s">
        <v>10605</v>
      </c>
      <c r="NPG1" s="331" t="s">
        <v>10606</v>
      </c>
      <c r="NPH1" s="331" t="s">
        <v>10607</v>
      </c>
      <c r="NPI1" s="331" t="s">
        <v>10608</v>
      </c>
      <c r="NPJ1" s="331" t="s">
        <v>10609</v>
      </c>
      <c r="NPK1" s="331" t="s">
        <v>10610</v>
      </c>
      <c r="NPL1" s="331" t="s">
        <v>10611</v>
      </c>
      <c r="NPM1" s="331" t="s">
        <v>10612</v>
      </c>
      <c r="NPN1" s="331" t="s">
        <v>10613</v>
      </c>
      <c r="NPO1" s="331" t="s">
        <v>10614</v>
      </c>
      <c r="NPP1" s="331" t="s">
        <v>10615</v>
      </c>
      <c r="NPQ1" s="331" t="s">
        <v>10616</v>
      </c>
      <c r="NPR1" s="331" t="s">
        <v>10617</v>
      </c>
      <c r="NPS1" s="331" t="s">
        <v>10618</v>
      </c>
      <c r="NPT1" s="331" t="s">
        <v>10619</v>
      </c>
      <c r="NPU1" s="331" t="s">
        <v>10620</v>
      </c>
      <c r="NPV1" s="331" t="s">
        <v>10621</v>
      </c>
      <c r="NPW1" s="331" t="s">
        <v>10622</v>
      </c>
      <c r="NPX1" s="331" t="s">
        <v>10623</v>
      </c>
      <c r="NPY1" s="331" t="s">
        <v>10624</v>
      </c>
      <c r="NPZ1" s="331" t="s">
        <v>10625</v>
      </c>
      <c r="NQA1" s="331" t="s">
        <v>10626</v>
      </c>
      <c r="NQB1" s="331" t="s">
        <v>10627</v>
      </c>
      <c r="NQC1" s="331" t="s">
        <v>10628</v>
      </c>
      <c r="NQD1" s="331" t="s">
        <v>10629</v>
      </c>
      <c r="NQE1" s="331" t="s">
        <v>10630</v>
      </c>
      <c r="NQF1" s="331" t="s">
        <v>10631</v>
      </c>
      <c r="NQG1" s="331" t="s">
        <v>10632</v>
      </c>
      <c r="NQH1" s="331" t="s">
        <v>10633</v>
      </c>
      <c r="NQI1" s="331" t="s">
        <v>10634</v>
      </c>
      <c r="NQJ1" s="331" t="s">
        <v>10635</v>
      </c>
      <c r="NQK1" s="331" t="s">
        <v>10636</v>
      </c>
      <c r="NQL1" s="331" t="s">
        <v>10637</v>
      </c>
      <c r="NQM1" s="331" t="s">
        <v>10638</v>
      </c>
      <c r="NQN1" s="331" t="s">
        <v>10639</v>
      </c>
      <c r="NQO1" s="331" t="s">
        <v>10640</v>
      </c>
      <c r="NQP1" s="331" t="s">
        <v>10641</v>
      </c>
      <c r="NQQ1" s="331" t="s">
        <v>10642</v>
      </c>
      <c r="NQR1" s="331" t="s">
        <v>10643</v>
      </c>
      <c r="NQS1" s="331" t="s">
        <v>10644</v>
      </c>
      <c r="NQT1" s="331" t="s">
        <v>10645</v>
      </c>
      <c r="NQU1" s="331" t="s">
        <v>10646</v>
      </c>
      <c r="NQV1" s="331" t="s">
        <v>10647</v>
      </c>
      <c r="NQW1" s="331" t="s">
        <v>10648</v>
      </c>
      <c r="NQX1" s="331" t="s">
        <v>10649</v>
      </c>
      <c r="NQY1" s="331" t="s">
        <v>10650</v>
      </c>
      <c r="NQZ1" s="331" t="s">
        <v>10651</v>
      </c>
      <c r="NRA1" s="331" t="s">
        <v>10652</v>
      </c>
      <c r="NRB1" s="331" t="s">
        <v>10653</v>
      </c>
      <c r="NRC1" s="331" t="s">
        <v>10654</v>
      </c>
      <c r="NRD1" s="331" t="s">
        <v>10655</v>
      </c>
      <c r="NRE1" s="331" t="s">
        <v>10656</v>
      </c>
      <c r="NRF1" s="331" t="s">
        <v>10657</v>
      </c>
      <c r="NRG1" s="331" t="s">
        <v>10658</v>
      </c>
      <c r="NRH1" s="331" t="s">
        <v>10659</v>
      </c>
      <c r="NRI1" s="331" t="s">
        <v>10660</v>
      </c>
      <c r="NRJ1" s="331" t="s">
        <v>10661</v>
      </c>
      <c r="NRK1" s="331" t="s">
        <v>10662</v>
      </c>
      <c r="NRL1" s="331" t="s">
        <v>10663</v>
      </c>
      <c r="NRM1" s="331" t="s">
        <v>10664</v>
      </c>
      <c r="NRN1" s="331" t="s">
        <v>10665</v>
      </c>
      <c r="NRO1" s="331" t="s">
        <v>10666</v>
      </c>
      <c r="NRP1" s="331" t="s">
        <v>10667</v>
      </c>
      <c r="NRQ1" s="331" t="s">
        <v>10668</v>
      </c>
      <c r="NRR1" s="331" t="s">
        <v>10669</v>
      </c>
      <c r="NRS1" s="331" t="s">
        <v>10670</v>
      </c>
      <c r="NRT1" s="331" t="s">
        <v>10671</v>
      </c>
      <c r="NRU1" s="331" t="s">
        <v>10672</v>
      </c>
      <c r="NRV1" s="331" t="s">
        <v>10673</v>
      </c>
      <c r="NRW1" s="331" t="s">
        <v>10674</v>
      </c>
      <c r="NRX1" s="331" t="s">
        <v>10675</v>
      </c>
      <c r="NRY1" s="331" t="s">
        <v>10676</v>
      </c>
      <c r="NRZ1" s="331" t="s">
        <v>10677</v>
      </c>
      <c r="NSA1" s="331" t="s">
        <v>10678</v>
      </c>
      <c r="NSB1" s="331" t="s">
        <v>10679</v>
      </c>
      <c r="NSC1" s="331" t="s">
        <v>10680</v>
      </c>
      <c r="NSD1" s="331" t="s">
        <v>10681</v>
      </c>
      <c r="NSE1" s="331" t="s">
        <v>10682</v>
      </c>
      <c r="NSF1" s="331" t="s">
        <v>10683</v>
      </c>
      <c r="NSG1" s="331" t="s">
        <v>10684</v>
      </c>
      <c r="NSH1" s="331" t="s">
        <v>10685</v>
      </c>
      <c r="NSI1" s="331" t="s">
        <v>10686</v>
      </c>
      <c r="NSJ1" s="331" t="s">
        <v>10687</v>
      </c>
      <c r="NSK1" s="331" t="s">
        <v>10688</v>
      </c>
      <c r="NSL1" s="331" t="s">
        <v>10689</v>
      </c>
      <c r="NSM1" s="331" t="s">
        <v>10690</v>
      </c>
      <c r="NSN1" s="331" t="s">
        <v>10691</v>
      </c>
      <c r="NSO1" s="331" t="s">
        <v>10692</v>
      </c>
      <c r="NSP1" s="331" t="s">
        <v>10693</v>
      </c>
      <c r="NSQ1" s="331" t="s">
        <v>10694</v>
      </c>
      <c r="NSR1" s="331" t="s">
        <v>10695</v>
      </c>
      <c r="NSS1" s="331" t="s">
        <v>10696</v>
      </c>
      <c r="NST1" s="331" t="s">
        <v>10697</v>
      </c>
      <c r="NSU1" s="331" t="s">
        <v>10698</v>
      </c>
      <c r="NSV1" s="331" t="s">
        <v>10699</v>
      </c>
      <c r="NSW1" s="331" t="s">
        <v>10700</v>
      </c>
      <c r="NSX1" s="331" t="s">
        <v>10701</v>
      </c>
      <c r="NSY1" s="331" t="s">
        <v>10702</v>
      </c>
      <c r="NSZ1" s="331" t="s">
        <v>10703</v>
      </c>
      <c r="NTA1" s="331" t="s">
        <v>10704</v>
      </c>
      <c r="NTB1" s="331" t="s">
        <v>10705</v>
      </c>
      <c r="NTC1" s="331" t="s">
        <v>10706</v>
      </c>
      <c r="NTD1" s="331" t="s">
        <v>10707</v>
      </c>
      <c r="NTE1" s="331" t="s">
        <v>10708</v>
      </c>
      <c r="NTF1" s="331" t="s">
        <v>10709</v>
      </c>
      <c r="NTG1" s="331" t="s">
        <v>10710</v>
      </c>
      <c r="NTH1" s="331" t="s">
        <v>10711</v>
      </c>
      <c r="NTI1" s="331" t="s">
        <v>10712</v>
      </c>
      <c r="NTJ1" s="331" t="s">
        <v>10713</v>
      </c>
      <c r="NTK1" s="331" t="s">
        <v>10714</v>
      </c>
      <c r="NTL1" s="331" t="s">
        <v>10715</v>
      </c>
      <c r="NTM1" s="331" t="s">
        <v>10716</v>
      </c>
      <c r="NTN1" s="331" t="s">
        <v>10717</v>
      </c>
      <c r="NTO1" s="331" t="s">
        <v>10718</v>
      </c>
      <c r="NTP1" s="331" t="s">
        <v>10719</v>
      </c>
      <c r="NTQ1" s="331" t="s">
        <v>10720</v>
      </c>
      <c r="NTR1" s="331" t="s">
        <v>10721</v>
      </c>
      <c r="NTS1" s="331" t="s">
        <v>10722</v>
      </c>
      <c r="NTT1" s="331" t="s">
        <v>10723</v>
      </c>
      <c r="NTU1" s="331" t="s">
        <v>10724</v>
      </c>
      <c r="NTV1" s="331" t="s">
        <v>10725</v>
      </c>
      <c r="NTW1" s="331" t="s">
        <v>10726</v>
      </c>
      <c r="NTX1" s="331" t="s">
        <v>10727</v>
      </c>
      <c r="NTY1" s="331" t="s">
        <v>10728</v>
      </c>
      <c r="NTZ1" s="331" t="s">
        <v>10729</v>
      </c>
      <c r="NUA1" s="331" t="s">
        <v>10730</v>
      </c>
      <c r="NUB1" s="331" t="s">
        <v>10731</v>
      </c>
      <c r="NUC1" s="331" t="s">
        <v>10732</v>
      </c>
      <c r="NUD1" s="331" t="s">
        <v>10733</v>
      </c>
      <c r="NUE1" s="331" t="s">
        <v>10734</v>
      </c>
      <c r="NUF1" s="331" t="s">
        <v>10735</v>
      </c>
      <c r="NUG1" s="331" t="s">
        <v>10736</v>
      </c>
      <c r="NUH1" s="331" t="s">
        <v>10737</v>
      </c>
      <c r="NUI1" s="331" t="s">
        <v>10738</v>
      </c>
      <c r="NUJ1" s="331" t="s">
        <v>10739</v>
      </c>
      <c r="NUK1" s="331" t="s">
        <v>10740</v>
      </c>
      <c r="NUL1" s="331" t="s">
        <v>10741</v>
      </c>
      <c r="NUM1" s="331" t="s">
        <v>10742</v>
      </c>
      <c r="NUN1" s="331" t="s">
        <v>10743</v>
      </c>
      <c r="NUO1" s="331" t="s">
        <v>10744</v>
      </c>
      <c r="NUP1" s="331" t="s">
        <v>10745</v>
      </c>
      <c r="NUQ1" s="331" t="s">
        <v>10746</v>
      </c>
      <c r="NUR1" s="331" t="s">
        <v>10747</v>
      </c>
      <c r="NUS1" s="331" t="s">
        <v>10748</v>
      </c>
      <c r="NUT1" s="331" t="s">
        <v>10749</v>
      </c>
      <c r="NUU1" s="331" t="s">
        <v>10750</v>
      </c>
      <c r="NUV1" s="331" t="s">
        <v>10751</v>
      </c>
      <c r="NUW1" s="331" t="s">
        <v>10752</v>
      </c>
      <c r="NUX1" s="331" t="s">
        <v>10753</v>
      </c>
      <c r="NUY1" s="331" t="s">
        <v>10754</v>
      </c>
      <c r="NUZ1" s="331" t="s">
        <v>10755</v>
      </c>
      <c r="NVA1" s="331" t="s">
        <v>10756</v>
      </c>
      <c r="NVB1" s="331" t="s">
        <v>10757</v>
      </c>
      <c r="NVC1" s="331" t="s">
        <v>10758</v>
      </c>
      <c r="NVD1" s="331" t="s">
        <v>10759</v>
      </c>
      <c r="NVE1" s="331" t="s">
        <v>10760</v>
      </c>
      <c r="NVF1" s="331" t="s">
        <v>10761</v>
      </c>
      <c r="NVG1" s="331" t="s">
        <v>10762</v>
      </c>
      <c r="NVH1" s="331" t="s">
        <v>10763</v>
      </c>
      <c r="NVI1" s="331" t="s">
        <v>10764</v>
      </c>
      <c r="NVJ1" s="331" t="s">
        <v>10765</v>
      </c>
      <c r="NVK1" s="331" t="s">
        <v>10766</v>
      </c>
      <c r="NVL1" s="331" t="s">
        <v>10767</v>
      </c>
      <c r="NVM1" s="331" t="s">
        <v>10768</v>
      </c>
      <c r="NVN1" s="331" t="s">
        <v>10769</v>
      </c>
      <c r="NVO1" s="331" t="s">
        <v>10770</v>
      </c>
      <c r="NVP1" s="331" t="s">
        <v>10771</v>
      </c>
      <c r="NVQ1" s="331" t="s">
        <v>10772</v>
      </c>
      <c r="NVR1" s="331" t="s">
        <v>10773</v>
      </c>
      <c r="NVS1" s="331" t="s">
        <v>10774</v>
      </c>
      <c r="NVT1" s="331" t="s">
        <v>10775</v>
      </c>
      <c r="NVU1" s="331" t="s">
        <v>10776</v>
      </c>
      <c r="NVV1" s="331" t="s">
        <v>10777</v>
      </c>
      <c r="NVW1" s="331" t="s">
        <v>10778</v>
      </c>
      <c r="NVX1" s="331" t="s">
        <v>10779</v>
      </c>
      <c r="NVY1" s="331" t="s">
        <v>10780</v>
      </c>
      <c r="NVZ1" s="331" t="s">
        <v>10781</v>
      </c>
      <c r="NWA1" s="331" t="s">
        <v>10782</v>
      </c>
      <c r="NWB1" s="331" t="s">
        <v>10783</v>
      </c>
      <c r="NWC1" s="331" t="s">
        <v>10784</v>
      </c>
      <c r="NWD1" s="331" t="s">
        <v>10785</v>
      </c>
      <c r="NWE1" s="331" t="s">
        <v>10786</v>
      </c>
      <c r="NWF1" s="331" t="s">
        <v>10787</v>
      </c>
      <c r="NWG1" s="331" t="s">
        <v>10788</v>
      </c>
      <c r="NWH1" s="331" t="s">
        <v>10789</v>
      </c>
      <c r="NWI1" s="331" t="s">
        <v>10790</v>
      </c>
      <c r="NWJ1" s="331" t="s">
        <v>10791</v>
      </c>
      <c r="NWK1" s="331" t="s">
        <v>10792</v>
      </c>
      <c r="NWL1" s="331" t="s">
        <v>10793</v>
      </c>
      <c r="NWM1" s="331" t="s">
        <v>10794</v>
      </c>
      <c r="NWN1" s="331" t="s">
        <v>10795</v>
      </c>
      <c r="NWO1" s="331" t="s">
        <v>10796</v>
      </c>
      <c r="NWP1" s="331" t="s">
        <v>10797</v>
      </c>
      <c r="NWQ1" s="331" t="s">
        <v>10798</v>
      </c>
      <c r="NWR1" s="331" t="s">
        <v>10799</v>
      </c>
      <c r="NWS1" s="331" t="s">
        <v>10800</v>
      </c>
      <c r="NWT1" s="331" t="s">
        <v>10801</v>
      </c>
      <c r="NWU1" s="331" t="s">
        <v>10802</v>
      </c>
      <c r="NWV1" s="331" t="s">
        <v>10803</v>
      </c>
      <c r="NWW1" s="331" t="s">
        <v>10804</v>
      </c>
      <c r="NWX1" s="331" t="s">
        <v>10805</v>
      </c>
      <c r="NWY1" s="331" t="s">
        <v>10806</v>
      </c>
      <c r="NWZ1" s="331" t="s">
        <v>10807</v>
      </c>
      <c r="NXA1" s="331" t="s">
        <v>10808</v>
      </c>
      <c r="NXB1" s="331" t="s">
        <v>10809</v>
      </c>
      <c r="NXC1" s="331" t="s">
        <v>10810</v>
      </c>
      <c r="NXD1" s="331" t="s">
        <v>10811</v>
      </c>
      <c r="NXE1" s="331" t="s">
        <v>10812</v>
      </c>
      <c r="NXF1" s="331" t="s">
        <v>10813</v>
      </c>
      <c r="NXG1" s="331" t="s">
        <v>10814</v>
      </c>
      <c r="NXH1" s="331" t="s">
        <v>10815</v>
      </c>
      <c r="NXI1" s="331" t="s">
        <v>10816</v>
      </c>
      <c r="NXJ1" s="331" t="s">
        <v>10817</v>
      </c>
      <c r="NXK1" s="331" t="s">
        <v>10818</v>
      </c>
      <c r="NXL1" s="331" t="s">
        <v>10819</v>
      </c>
      <c r="NXM1" s="331" t="s">
        <v>10820</v>
      </c>
      <c r="NXN1" s="331" t="s">
        <v>10821</v>
      </c>
      <c r="NXO1" s="331" t="s">
        <v>10822</v>
      </c>
      <c r="NXP1" s="331" t="s">
        <v>10823</v>
      </c>
      <c r="NXQ1" s="331" t="s">
        <v>10824</v>
      </c>
      <c r="NXR1" s="331" t="s">
        <v>10825</v>
      </c>
      <c r="NXS1" s="331" t="s">
        <v>10826</v>
      </c>
      <c r="NXT1" s="331" t="s">
        <v>10827</v>
      </c>
      <c r="NXU1" s="331" t="s">
        <v>10828</v>
      </c>
      <c r="NXV1" s="331" t="s">
        <v>10829</v>
      </c>
      <c r="NXW1" s="331" t="s">
        <v>10830</v>
      </c>
      <c r="NXX1" s="331" t="s">
        <v>10831</v>
      </c>
      <c r="NXY1" s="331" t="s">
        <v>10832</v>
      </c>
      <c r="NXZ1" s="331" t="s">
        <v>10833</v>
      </c>
      <c r="NYA1" s="331" t="s">
        <v>10834</v>
      </c>
      <c r="NYB1" s="331" t="s">
        <v>10835</v>
      </c>
      <c r="NYC1" s="331" t="s">
        <v>10836</v>
      </c>
      <c r="NYD1" s="331" t="s">
        <v>10837</v>
      </c>
      <c r="NYE1" s="331" t="s">
        <v>10838</v>
      </c>
      <c r="NYF1" s="331" t="s">
        <v>10839</v>
      </c>
      <c r="NYG1" s="331" t="s">
        <v>10840</v>
      </c>
      <c r="NYH1" s="331" t="s">
        <v>10841</v>
      </c>
      <c r="NYI1" s="331" t="s">
        <v>10842</v>
      </c>
      <c r="NYJ1" s="331" t="s">
        <v>10843</v>
      </c>
      <c r="NYK1" s="331" t="s">
        <v>10844</v>
      </c>
      <c r="NYL1" s="331" t="s">
        <v>10845</v>
      </c>
      <c r="NYM1" s="331" t="s">
        <v>10846</v>
      </c>
      <c r="NYN1" s="331" t="s">
        <v>10847</v>
      </c>
      <c r="NYO1" s="331" t="s">
        <v>10848</v>
      </c>
      <c r="NYP1" s="331" t="s">
        <v>10849</v>
      </c>
      <c r="NYQ1" s="331" t="s">
        <v>10850</v>
      </c>
      <c r="NYR1" s="331" t="s">
        <v>10851</v>
      </c>
      <c r="NYS1" s="331" t="s">
        <v>10852</v>
      </c>
      <c r="NYT1" s="331" t="s">
        <v>10853</v>
      </c>
      <c r="NYU1" s="331" t="s">
        <v>10854</v>
      </c>
      <c r="NYV1" s="331" t="s">
        <v>10855</v>
      </c>
      <c r="NYW1" s="331" t="s">
        <v>10856</v>
      </c>
      <c r="NYX1" s="331" t="s">
        <v>10857</v>
      </c>
      <c r="NYY1" s="331" t="s">
        <v>10858</v>
      </c>
      <c r="NYZ1" s="331" t="s">
        <v>10859</v>
      </c>
      <c r="NZA1" s="331" t="s">
        <v>10860</v>
      </c>
      <c r="NZB1" s="331" t="s">
        <v>10861</v>
      </c>
      <c r="NZC1" s="331" t="s">
        <v>10862</v>
      </c>
      <c r="NZD1" s="331" t="s">
        <v>10863</v>
      </c>
      <c r="NZE1" s="331" t="s">
        <v>10864</v>
      </c>
      <c r="NZF1" s="331" t="s">
        <v>10865</v>
      </c>
      <c r="NZG1" s="331" t="s">
        <v>10866</v>
      </c>
      <c r="NZH1" s="331" t="s">
        <v>10867</v>
      </c>
      <c r="NZI1" s="331" t="s">
        <v>10868</v>
      </c>
      <c r="NZJ1" s="331" t="s">
        <v>10869</v>
      </c>
      <c r="NZK1" s="331" t="s">
        <v>10870</v>
      </c>
      <c r="NZL1" s="331" t="s">
        <v>10871</v>
      </c>
      <c r="NZM1" s="331" t="s">
        <v>10872</v>
      </c>
      <c r="NZN1" s="331" t="s">
        <v>10873</v>
      </c>
      <c r="NZO1" s="331" t="s">
        <v>10874</v>
      </c>
      <c r="NZP1" s="331" t="s">
        <v>10875</v>
      </c>
      <c r="NZQ1" s="331" t="s">
        <v>10876</v>
      </c>
      <c r="NZR1" s="331" t="s">
        <v>10877</v>
      </c>
      <c r="NZS1" s="331" t="s">
        <v>10878</v>
      </c>
      <c r="NZT1" s="331" t="s">
        <v>10879</v>
      </c>
      <c r="NZU1" s="331" t="s">
        <v>10880</v>
      </c>
      <c r="NZV1" s="331" t="s">
        <v>10881</v>
      </c>
      <c r="NZW1" s="331" t="s">
        <v>10882</v>
      </c>
      <c r="NZX1" s="331" t="s">
        <v>10883</v>
      </c>
      <c r="NZY1" s="331" t="s">
        <v>10884</v>
      </c>
      <c r="NZZ1" s="331" t="s">
        <v>10885</v>
      </c>
      <c r="OAA1" s="331" t="s">
        <v>10886</v>
      </c>
      <c r="OAB1" s="331" t="s">
        <v>10887</v>
      </c>
      <c r="OAC1" s="331" t="s">
        <v>10888</v>
      </c>
      <c r="OAD1" s="331" t="s">
        <v>10889</v>
      </c>
      <c r="OAE1" s="331" t="s">
        <v>10890</v>
      </c>
      <c r="OAF1" s="331" t="s">
        <v>10891</v>
      </c>
      <c r="OAG1" s="331" t="s">
        <v>10892</v>
      </c>
      <c r="OAH1" s="331" t="s">
        <v>10893</v>
      </c>
      <c r="OAI1" s="331" t="s">
        <v>10894</v>
      </c>
      <c r="OAJ1" s="331" t="s">
        <v>10895</v>
      </c>
      <c r="OAK1" s="331" t="s">
        <v>10896</v>
      </c>
      <c r="OAL1" s="331" t="s">
        <v>10897</v>
      </c>
      <c r="OAM1" s="331" t="s">
        <v>10898</v>
      </c>
      <c r="OAN1" s="331" t="s">
        <v>10899</v>
      </c>
      <c r="OAO1" s="331" t="s">
        <v>10900</v>
      </c>
      <c r="OAP1" s="331" t="s">
        <v>10901</v>
      </c>
      <c r="OAQ1" s="331" t="s">
        <v>10902</v>
      </c>
      <c r="OAR1" s="331" t="s">
        <v>10903</v>
      </c>
      <c r="OAS1" s="331" t="s">
        <v>10904</v>
      </c>
      <c r="OAT1" s="331" t="s">
        <v>10905</v>
      </c>
      <c r="OAU1" s="331" t="s">
        <v>10906</v>
      </c>
      <c r="OAV1" s="331" t="s">
        <v>10907</v>
      </c>
      <c r="OAW1" s="331" t="s">
        <v>10908</v>
      </c>
      <c r="OAX1" s="331" t="s">
        <v>10909</v>
      </c>
      <c r="OAY1" s="331" t="s">
        <v>10910</v>
      </c>
      <c r="OAZ1" s="331" t="s">
        <v>10911</v>
      </c>
      <c r="OBA1" s="331" t="s">
        <v>10912</v>
      </c>
      <c r="OBB1" s="331" t="s">
        <v>10913</v>
      </c>
      <c r="OBC1" s="331" t="s">
        <v>10914</v>
      </c>
      <c r="OBD1" s="331" t="s">
        <v>10915</v>
      </c>
      <c r="OBE1" s="331" t="s">
        <v>10916</v>
      </c>
      <c r="OBF1" s="331" t="s">
        <v>10917</v>
      </c>
      <c r="OBG1" s="331" t="s">
        <v>10918</v>
      </c>
      <c r="OBH1" s="331" t="s">
        <v>10919</v>
      </c>
      <c r="OBI1" s="331" t="s">
        <v>10920</v>
      </c>
      <c r="OBJ1" s="331" t="s">
        <v>10921</v>
      </c>
      <c r="OBK1" s="331" t="s">
        <v>10922</v>
      </c>
      <c r="OBL1" s="331" t="s">
        <v>10923</v>
      </c>
      <c r="OBM1" s="331" t="s">
        <v>10924</v>
      </c>
      <c r="OBN1" s="331" t="s">
        <v>10925</v>
      </c>
      <c r="OBO1" s="331" t="s">
        <v>10926</v>
      </c>
      <c r="OBP1" s="331" t="s">
        <v>10927</v>
      </c>
      <c r="OBQ1" s="331" t="s">
        <v>10928</v>
      </c>
      <c r="OBR1" s="331" t="s">
        <v>10929</v>
      </c>
      <c r="OBS1" s="331" t="s">
        <v>10930</v>
      </c>
      <c r="OBT1" s="331" t="s">
        <v>10931</v>
      </c>
      <c r="OBU1" s="331" t="s">
        <v>10932</v>
      </c>
      <c r="OBV1" s="331" t="s">
        <v>10933</v>
      </c>
      <c r="OBW1" s="331" t="s">
        <v>10934</v>
      </c>
      <c r="OBX1" s="331" t="s">
        <v>10935</v>
      </c>
      <c r="OBY1" s="331" t="s">
        <v>10936</v>
      </c>
      <c r="OBZ1" s="331" t="s">
        <v>10937</v>
      </c>
      <c r="OCA1" s="331" t="s">
        <v>10938</v>
      </c>
      <c r="OCB1" s="331" t="s">
        <v>10939</v>
      </c>
      <c r="OCC1" s="331" t="s">
        <v>10940</v>
      </c>
      <c r="OCD1" s="331" t="s">
        <v>10941</v>
      </c>
      <c r="OCE1" s="331" t="s">
        <v>10942</v>
      </c>
      <c r="OCF1" s="331" t="s">
        <v>10943</v>
      </c>
      <c r="OCG1" s="331" t="s">
        <v>10944</v>
      </c>
      <c r="OCH1" s="331" t="s">
        <v>10945</v>
      </c>
      <c r="OCI1" s="331" t="s">
        <v>10946</v>
      </c>
      <c r="OCJ1" s="331" t="s">
        <v>10947</v>
      </c>
      <c r="OCK1" s="331" t="s">
        <v>10948</v>
      </c>
      <c r="OCL1" s="331" t="s">
        <v>10949</v>
      </c>
      <c r="OCM1" s="331" t="s">
        <v>10950</v>
      </c>
      <c r="OCN1" s="331" t="s">
        <v>10951</v>
      </c>
      <c r="OCO1" s="331" t="s">
        <v>10952</v>
      </c>
      <c r="OCP1" s="331" t="s">
        <v>10953</v>
      </c>
      <c r="OCQ1" s="331" t="s">
        <v>10954</v>
      </c>
      <c r="OCR1" s="331" t="s">
        <v>10955</v>
      </c>
      <c r="OCS1" s="331" t="s">
        <v>10956</v>
      </c>
      <c r="OCT1" s="331" t="s">
        <v>10957</v>
      </c>
      <c r="OCU1" s="331" t="s">
        <v>10958</v>
      </c>
      <c r="OCV1" s="331" t="s">
        <v>10959</v>
      </c>
      <c r="OCW1" s="331" t="s">
        <v>10960</v>
      </c>
      <c r="OCX1" s="331" t="s">
        <v>10961</v>
      </c>
      <c r="OCY1" s="331" t="s">
        <v>10962</v>
      </c>
      <c r="OCZ1" s="331" t="s">
        <v>10963</v>
      </c>
      <c r="ODA1" s="331" t="s">
        <v>10964</v>
      </c>
      <c r="ODB1" s="331" t="s">
        <v>10965</v>
      </c>
      <c r="ODC1" s="331" t="s">
        <v>10966</v>
      </c>
      <c r="ODD1" s="331" t="s">
        <v>10967</v>
      </c>
      <c r="ODE1" s="331" t="s">
        <v>10968</v>
      </c>
      <c r="ODF1" s="331" t="s">
        <v>10969</v>
      </c>
      <c r="ODG1" s="331" t="s">
        <v>10970</v>
      </c>
      <c r="ODH1" s="331" t="s">
        <v>10971</v>
      </c>
      <c r="ODI1" s="331" t="s">
        <v>10972</v>
      </c>
      <c r="ODJ1" s="331" t="s">
        <v>10973</v>
      </c>
      <c r="ODK1" s="331" t="s">
        <v>10974</v>
      </c>
      <c r="ODL1" s="331" t="s">
        <v>10975</v>
      </c>
      <c r="ODM1" s="331" t="s">
        <v>10976</v>
      </c>
      <c r="ODN1" s="331" t="s">
        <v>10977</v>
      </c>
      <c r="ODO1" s="331" t="s">
        <v>10978</v>
      </c>
      <c r="ODP1" s="331" t="s">
        <v>10979</v>
      </c>
      <c r="ODQ1" s="331" t="s">
        <v>10980</v>
      </c>
      <c r="ODR1" s="331" t="s">
        <v>10981</v>
      </c>
      <c r="ODS1" s="331" t="s">
        <v>10982</v>
      </c>
      <c r="ODT1" s="331" t="s">
        <v>10983</v>
      </c>
      <c r="ODU1" s="331" t="s">
        <v>10984</v>
      </c>
      <c r="ODV1" s="331" t="s">
        <v>10985</v>
      </c>
      <c r="ODW1" s="331" t="s">
        <v>10986</v>
      </c>
      <c r="ODX1" s="331" t="s">
        <v>10987</v>
      </c>
      <c r="ODY1" s="331" t="s">
        <v>10988</v>
      </c>
      <c r="ODZ1" s="331" t="s">
        <v>10989</v>
      </c>
      <c r="OEA1" s="331" t="s">
        <v>10990</v>
      </c>
      <c r="OEB1" s="331" t="s">
        <v>10991</v>
      </c>
      <c r="OEC1" s="331" t="s">
        <v>10992</v>
      </c>
      <c r="OED1" s="331" t="s">
        <v>10993</v>
      </c>
      <c r="OEE1" s="331" t="s">
        <v>10994</v>
      </c>
      <c r="OEF1" s="331" t="s">
        <v>10995</v>
      </c>
      <c r="OEG1" s="331" t="s">
        <v>10996</v>
      </c>
      <c r="OEH1" s="331" t="s">
        <v>10997</v>
      </c>
      <c r="OEI1" s="331" t="s">
        <v>10998</v>
      </c>
      <c r="OEJ1" s="331" t="s">
        <v>10999</v>
      </c>
      <c r="OEK1" s="331" t="s">
        <v>11000</v>
      </c>
      <c r="OEL1" s="331" t="s">
        <v>11001</v>
      </c>
      <c r="OEM1" s="331" t="s">
        <v>11002</v>
      </c>
      <c r="OEN1" s="331" t="s">
        <v>11003</v>
      </c>
      <c r="OEO1" s="331" t="s">
        <v>11004</v>
      </c>
      <c r="OEP1" s="331" t="s">
        <v>11005</v>
      </c>
      <c r="OEQ1" s="331" t="s">
        <v>11006</v>
      </c>
      <c r="OER1" s="331" t="s">
        <v>11007</v>
      </c>
      <c r="OES1" s="331" t="s">
        <v>11008</v>
      </c>
      <c r="OET1" s="331" t="s">
        <v>11009</v>
      </c>
      <c r="OEU1" s="331" t="s">
        <v>11010</v>
      </c>
      <c r="OEV1" s="331" t="s">
        <v>11011</v>
      </c>
      <c r="OEW1" s="331" t="s">
        <v>11012</v>
      </c>
      <c r="OEX1" s="331" t="s">
        <v>11013</v>
      </c>
      <c r="OEY1" s="331" t="s">
        <v>11014</v>
      </c>
      <c r="OEZ1" s="331" t="s">
        <v>11015</v>
      </c>
      <c r="OFA1" s="331" t="s">
        <v>11016</v>
      </c>
      <c r="OFB1" s="331" t="s">
        <v>11017</v>
      </c>
      <c r="OFC1" s="331" t="s">
        <v>11018</v>
      </c>
      <c r="OFD1" s="331" t="s">
        <v>11019</v>
      </c>
      <c r="OFE1" s="331" t="s">
        <v>11020</v>
      </c>
      <c r="OFF1" s="331" t="s">
        <v>11021</v>
      </c>
      <c r="OFG1" s="331" t="s">
        <v>11022</v>
      </c>
      <c r="OFH1" s="331" t="s">
        <v>11023</v>
      </c>
      <c r="OFI1" s="331" t="s">
        <v>11024</v>
      </c>
      <c r="OFJ1" s="331" t="s">
        <v>11025</v>
      </c>
      <c r="OFK1" s="331" t="s">
        <v>11026</v>
      </c>
      <c r="OFL1" s="331" t="s">
        <v>11027</v>
      </c>
      <c r="OFM1" s="331" t="s">
        <v>11028</v>
      </c>
      <c r="OFN1" s="331" t="s">
        <v>11029</v>
      </c>
      <c r="OFO1" s="331" t="s">
        <v>11030</v>
      </c>
      <c r="OFP1" s="331" t="s">
        <v>11031</v>
      </c>
      <c r="OFQ1" s="331" t="s">
        <v>11032</v>
      </c>
      <c r="OFR1" s="331" t="s">
        <v>11033</v>
      </c>
      <c r="OFS1" s="331" t="s">
        <v>11034</v>
      </c>
      <c r="OFT1" s="331" t="s">
        <v>11035</v>
      </c>
      <c r="OFU1" s="331" t="s">
        <v>11036</v>
      </c>
      <c r="OFV1" s="331" t="s">
        <v>11037</v>
      </c>
      <c r="OFW1" s="331" t="s">
        <v>11038</v>
      </c>
      <c r="OFX1" s="331" t="s">
        <v>11039</v>
      </c>
      <c r="OFY1" s="331" t="s">
        <v>11040</v>
      </c>
      <c r="OFZ1" s="331" t="s">
        <v>11041</v>
      </c>
      <c r="OGA1" s="331" t="s">
        <v>11042</v>
      </c>
      <c r="OGB1" s="331" t="s">
        <v>11043</v>
      </c>
      <c r="OGC1" s="331" t="s">
        <v>11044</v>
      </c>
      <c r="OGD1" s="331" t="s">
        <v>11045</v>
      </c>
      <c r="OGE1" s="331" t="s">
        <v>11046</v>
      </c>
      <c r="OGF1" s="331" t="s">
        <v>11047</v>
      </c>
      <c r="OGG1" s="331" t="s">
        <v>11048</v>
      </c>
      <c r="OGH1" s="331" t="s">
        <v>11049</v>
      </c>
      <c r="OGI1" s="331" t="s">
        <v>11050</v>
      </c>
      <c r="OGJ1" s="331" t="s">
        <v>11051</v>
      </c>
      <c r="OGK1" s="331" t="s">
        <v>11052</v>
      </c>
      <c r="OGL1" s="331" t="s">
        <v>11053</v>
      </c>
      <c r="OGM1" s="331" t="s">
        <v>11054</v>
      </c>
      <c r="OGN1" s="331" t="s">
        <v>11055</v>
      </c>
      <c r="OGO1" s="331" t="s">
        <v>11056</v>
      </c>
      <c r="OGP1" s="331" t="s">
        <v>11057</v>
      </c>
      <c r="OGQ1" s="331" t="s">
        <v>11058</v>
      </c>
      <c r="OGR1" s="331" t="s">
        <v>11059</v>
      </c>
      <c r="OGS1" s="331" t="s">
        <v>11060</v>
      </c>
      <c r="OGT1" s="331" t="s">
        <v>11061</v>
      </c>
      <c r="OGU1" s="331" t="s">
        <v>11062</v>
      </c>
      <c r="OGV1" s="331" t="s">
        <v>11063</v>
      </c>
      <c r="OGW1" s="331" t="s">
        <v>11064</v>
      </c>
      <c r="OGX1" s="331" t="s">
        <v>11065</v>
      </c>
      <c r="OGY1" s="331" t="s">
        <v>11066</v>
      </c>
      <c r="OGZ1" s="331" t="s">
        <v>11067</v>
      </c>
      <c r="OHA1" s="331" t="s">
        <v>11068</v>
      </c>
      <c r="OHB1" s="331" t="s">
        <v>11069</v>
      </c>
      <c r="OHC1" s="331" t="s">
        <v>11070</v>
      </c>
      <c r="OHD1" s="331" t="s">
        <v>11071</v>
      </c>
      <c r="OHE1" s="331" t="s">
        <v>11072</v>
      </c>
      <c r="OHF1" s="331" t="s">
        <v>11073</v>
      </c>
      <c r="OHG1" s="331" t="s">
        <v>11074</v>
      </c>
      <c r="OHH1" s="331" t="s">
        <v>11075</v>
      </c>
      <c r="OHI1" s="331" t="s">
        <v>11076</v>
      </c>
      <c r="OHJ1" s="331" t="s">
        <v>11077</v>
      </c>
      <c r="OHK1" s="331" t="s">
        <v>11078</v>
      </c>
      <c r="OHL1" s="331" t="s">
        <v>11079</v>
      </c>
      <c r="OHM1" s="331" t="s">
        <v>11080</v>
      </c>
      <c r="OHN1" s="331" t="s">
        <v>11081</v>
      </c>
      <c r="OHO1" s="331" t="s">
        <v>11082</v>
      </c>
      <c r="OHP1" s="331" t="s">
        <v>11083</v>
      </c>
      <c r="OHQ1" s="331" t="s">
        <v>11084</v>
      </c>
      <c r="OHR1" s="331" t="s">
        <v>11085</v>
      </c>
      <c r="OHS1" s="331" t="s">
        <v>11086</v>
      </c>
      <c r="OHT1" s="331" t="s">
        <v>11087</v>
      </c>
      <c r="OHU1" s="331" t="s">
        <v>11088</v>
      </c>
      <c r="OHV1" s="331" t="s">
        <v>11089</v>
      </c>
      <c r="OHW1" s="331" t="s">
        <v>11090</v>
      </c>
      <c r="OHX1" s="331" t="s">
        <v>11091</v>
      </c>
      <c r="OHY1" s="331" t="s">
        <v>11092</v>
      </c>
      <c r="OHZ1" s="331" t="s">
        <v>11093</v>
      </c>
      <c r="OIA1" s="331" t="s">
        <v>11094</v>
      </c>
      <c r="OIB1" s="331" t="s">
        <v>11095</v>
      </c>
      <c r="OIC1" s="331" t="s">
        <v>11096</v>
      </c>
      <c r="OID1" s="331" t="s">
        <v>11097</v>
      </c>
      <c r="OIE1" s="331" t="s">
        <v>11098</v>
      </c>
      <c r="OIF1" s="331" t="s">
        <v>11099</v>
      </c>
      <c r="OIG1" s="331" t="s">
        <v>11100</v>
      </c>
      <c r="OIH1" s="331" t="s">
        <v>11101</v>
      </c>
      <c r="OII1" s="331" t="s">
        <v>11102</v>
      </c>
      <c r="OIJ1" s="331" t="s">
        <v>11103</v>
      </c>
      <c r="OIK1" s="331" t="s">
        <v>11104</v>
      </c>
      <c r="OIL1" s="331" t="s">
        <v>11105</v>
      </c>
      <c r="OIM1" s="331" t="s">
        <v>11106</v>
      </c>
      <c r="OIN1" s="331" t="s">
        <v>11107</v>
      </c>
      <c r="OIO1" s="331" t="s">
        <v>11108</v>
      </c>
      <c r="OIP1" s="331" t="s">
        <v>11109</v>
      </c>
      <c r="OIQ1" s="331" t="s">
        <v>11110</v>
      </c>
      <c r="OIR1" s="331" t="s">
        <v>11111</v>
      </c>
      <c r="OIS1" s="331" t="s">
        <v>11112</v>
      </c>
      <c r="OIT1" s="331" t="s">
        <v>11113</v>
      </c>
      <c r="OIU1" s="331" t="s">
        <v>11114</v>
      </c>
      <c r="OIV1" s="331" t="s">
        <v>11115</v>
      </c>
      <c r="OIW1" s="331" t="s">
        <v>11116</v>
      </c>
      <c r="OIX1" s="331" t="s">
        <v>11117</v>
      </c>
      <c r="OIY1" s="331" t="s">
        <v>11118</v>
      </c>
      <c r="OIZ1" s="331" t="s">
        <v>11119</v>
      </c>
      <c r="OJA1" s="331" t="s">
        <v>11120</v>
      </c>
      <c r="OJB1" s="331" t="s">
        <v>11121</v>
      </c>
      <c r="OJC1" s="331" t="s">
        <v>11122</v>
      </c>
      <c r="OJD1" s="331" t="s">
        <v>11123</v>
      </c>
      <c r="OJE1" s="331" t="s">
        <v>11124</v>
      </c>
      <c r="OJF1" s="331" t="s">
        <v>11125</v>
      </c>
      <c r="OJG1" s="331" t="s">
        <v>11126</v>
      </c>
      <c r="OJH1" s="331" t="s">
        <v>11127</v>
      </c>
      <c r="OJI1" s="331" t="s">
        <v>11128</v>
      </c>
      <c r="OJJ1" s="331" t="s">
        <v>11129</v>
      </c>
      <c r="OJK1" s="331" t="s">
        <v>11130</v>
      </c>
      <c r="OJL1" s="331" t="s">
        <v>11131</v>
      </c>
      <c r="OJM1" s="331" t="s">
        <v>11132</v>
      </c>
      <c r="OJN1" s="331" t="s">
        <v>11133</v>
      </c>
      <c r="OJO1" s="331" t="s">
        <v>11134</v>
      </c>
      <c r="OJP1" s="331" t="s">
        <v>11135</v>
      </c>
      <c r="OJQ1" s="331" t="s">
        <v>11136</v>
      </c>
      <c r="OJR1" s="331" t="s">
        <v>11137</v>
      </c>
      <c r="OJS1" s="331" t="s">
        <v>11138</v>
      </c>
      <c r="OJT1" s="331" t="s">
        <v>11139</v>
      </c>
      <c r="OJU1" s="331" t="s">
        <v>11140</v>
      </c>
      <c r="OJV1" s="331" t="s">
        <v>11141</v>
      </c>
      <c r="OJW1" s="331" t="s">
        <v>11142</v>
      </c>
      <c r="OJX1" s="331" t="s">
        <v>11143</v>
      </c>
      <c r="OJY1" s="331" t="s">
        <v>11144</v>
      </c>
      <c r="OJZ1" s="331" t="s">
        <v>11145</v>
      </c>
      <c r="OKA1" s="331" t="s">
        <v>11146</v>
      </c>
      <c r="OKB1" s="331" t="s">
        <v>11147</v>
      </c>
      <c r="OKC1" s="331" t="s">
        <v>11148</v>
      </c>
      <c r="OKD1" s="331" t="s">
        <v>11149</v>
      </c>
      <c r="OKE1" s="331" t="s">
        <v>11150</v>
      </c>
      <c r="OKF1" s="331" t="s">
        <v>11151</v>
      </c>
      <c r="OKG1" s="331" t="s">
        <v>11152</v>
      </c>
      <c r="OKH1" s="331" t="s">
        <v>11153</v>
      </c>
      <c r="OKI1" s="331" t="s">
        <v>11154</v>
      </c>
      <c r="OKJ1" s="331" t="s">
        <v>11155</v>
      </c>
      <c r="OKK1" s="331" t="s">
        <v>11156</v>
      </c>
      <c r="OKL1" s="331" t="s">
        <v>11157</v>
      </c>
      <c r="OKM1" s="331" t="s">
        <v>11158</v>
      </c>
      <c r="OKN1" s="331" t="s">
        <v>11159</v>
      </c>
      <c r="OKO1" s="331" t="s">
        <v>11160</v>
      </c>
      <c r="OKP1" s="331" t="s">
        <v>11161</v>
      </c>
      <c r="OKQ1" s="331" t="s">
        <v>11162</v>
      </c>
      <c r="OKR1" s="331" t="s">
        <v>11163</v>
      </c>
      <c r="OKS1" s="331" t="s">
        <v>11164</v>
      </c>
      <c r="OKT1" s="331" t="s">
        <v>11165</v>
      </c>
      <c r="OKU1" s="331" t="s">
        <v>11166</v>
      </c>
      <c r="OKV1" s="331" t="s">
        <v>11167</v>
      </c>
      <c r="OKW1" s="331" t="s">
        <v>11168</v>
      </c>
      <c r="OKX1" s="331" t="s">
        <v>11169</v>
      </c>
      <c r="OKY1" s="331" t="s">
        <v>11170</v>
      </c>
      <c r="OKZ1" s="331" t="s">
        <v>11171</v>
      </c>
      <c r="OLA1" s="331" t="s">
        <v>11172</v>
      </c>
      <c r="OLB1" s="331" t="s">
        <v>11173</v>
      </c>
      <c r="OLC1" s="331" t="s">
        <v>11174</v>
      </c>
      <c r="OLD1" s="331" t="s">
        <v>11175</v>
      </c>
      <c r="OLE1" s="331" t="s">
        <v>11176</v>
      </c>
      <c r="OLF1" s="331" t="s">
        <v>11177</v>
      </c>
      <c r="OLG1" s="331" t="s">
        <v>11178</v>
      </c>
      <c r="OLH1" s="331" t="s">
        <v>11179</v>
      </c>
      <c r="OLI1" s="331" t="s">
        <v>11180</v>
      </c>
      <c r="OLJ1" s="331" t="s">
        <v>11181</v>
      </c>
      <c r="OLK1" s="331" t="s">
        <v>11182</v>
      </c>
      <c r="OLL1" s="331" t="s">
        <v>11183</v>
      </c>
      <c r="OLM1" s="331" t="s">
        <v>11184</v>
      </c>
      <c r="OLN1" s="331" t="s">
        <v>11185</v>
      </c>
      <c r="OLO1" s="331" t="s">
        <v>11186</v>
      </c>
      <c r="OLP1" s="331" t="s">
        <v>11187</v>
      </c>
      <c r="OLQ1" s="331" t="s">
        <v>11188</v>
      </c>
      <c r="OLR1" s="331" t="s">
        <v>11189</v>
      </c>
      <c r="OLS1" s="331" t="s">
        <v>11190</v>
      </c>
      <c r="OLT1" s="331" t="s">
        <v>11191</v>
      </c>
      <c r="OLU1" s="331" t="s">
        <v>11192</v>
      </c>
      <c r="OLV1" s="331" t="s">
        <v>11193</v>
      </c>
      <c r="OLW1" s="331" t="s">
        <v>11194</v>
      </c>
      <c r="OLX1" s="331" t="s">
        <v>11195</v>
      </c>
      <c r="OLY1" s="331" t="s">
        <v>11196</v>
      </c>
      <c r="OLZ1" s="331" t="s">
        <v>11197</v>
      </c>
      <c r="OMA1" s="331" t="s">
        <v>11198</v>
      </c>
      <c r="OMB1" s="331" t="s">
        <v>11199</v>
      </c>
      <c r="OMC1" s="331" t="s">
        <v>11200</v>
      </c>
      <c r="OMD1" s="331" t="s">
        <v>11201</v>
      </c>
      <c r="OME1" s="331" t="s">
        <v>11202</v>
      </c>
      <c r="OMF1" s="331" t="s">
        <v>11203</v>
      </c>
      <c r="OMG1" s="331" t="s">
        <v>11204</v>
      </c>
      <c r="OMH1" s="331" t="s">
        <v>11205</v>
      </c>
      <c r="OMI1" s="331" t="s">
        <v>11206</v>
      </c>
      <c r="OMJ1" s="331" t="s">
        <v>11207</v>
      </c>
      <c r="OMK1" s="331" t="s">
        <v>11208</v>
      </c>
      <c r="OML1" s="331" t="s">
        <v>11209</v>
      </c>
      <c r="OMM1" s="331" t="s">
        <v>11210</v>
      </c>
      <c r="OMN1" s="331" t="s">
        <v>11211</v>
      </c>
      <c r="OMO1" s="331" t="s">
        <v>11212</v>
      </c>
      <c r="OMP1" s="331" t="s">
        <v>11213</v>
      </c>
      <c r="OMQ1" s="331" t="s">
        <v>11214</v>
      </c>
      <c r="OMR1" s="331" t="s">
        <v>11215</v>
      </c>
      <c r="OMS1" s="331" t="s">
        <v>11216</v>
      </c>
      <c r="OMT1" s="331" t="s">
        <v>11217</v>
      </c>
      <c r="OMU1" s="331" t="s">
        <v>11218</v>
      </c>
      <c r="OMV1" s="331" t="s">
        <v>11219</v>
      </c>
      <c r="OMW1" s="331" t="s">
        <v>11220</v>
      </c>
      <c r="OMX1" s="331" t="s">
        <v>11221</v>
      </c>
      <c r="OMY1" s="331" t="s">
        <v>11222</v>
      </c>
      <c r="OMZ1" s="331" t="s">
        <v>11223</v>
      </c>
      <c r="ONA1" s="331" t="s">
        <v>11224</v>
      </c>
      <c r="ONB1" s="331" t="s">
        <v>11225</v>
      </c>
      <c r="ONC1" s="331" t="s">
        <v>11226</v>
      </c>
      <c r="OND1" s="331" t="s">
        <v>11227</v>
      </c>
      <c r="ONE1" s="331" t="s">
        <v>11228</v>
      </c>
      <c r="ONF1" s="331" t="s">
        <v>11229</v>
      </c>
      <c r="ONG1" s="331" t="s">
        <v>11230</v>
      </c>
      <c r="ONH1" s="331" t="s">
        <v>11231</v>
      </c>
      <c r="ONI1" s="331" t="s">
        <v>11232</v>
      </c>
      <c r="ONJ1" s="331" t="s">
        <v>11233</v>
      </c>
      <c r="ONK1" s="331" t="s">
        <v>11234</v>
      </c>
      <c r="ONL1" s="331" t="s">
        <v>11235</v>
      </c>
      <c r="ONM1" s="331" t="s">
        <v>11236</v>
      </c>
      <c r="ONN1" s="331" t="s">
        <v>11237</v>
      </c>
      <c r="ONO1" s="331" t="s">
        <v>11238</v>
      </c>
      <c r="ONP1" s="331" t="s">
        <v>11239</v>
      </c>
      <c r="ONQ1" s="331" t="s">
        <v>11240</v>
      </c>
      <c r="ONR1" s="331" t="s">
        <v>11241</v>
      </c>
      <c r="ONS1" s="331" t="s">
        <v>11242</v>
      </c>
      <c r="ONT1" s="331" t="s">
        <v>11243</v>
      </c>
      <c r="ONU1" s="331" t="s">
        <v>11244</v>
      </c>
      <c r="ONV1" s="331" t="s">
        <v>11245</v>
      </c>
      <c r="ONW1" s="331" t="s">
        <v>11246</v>
      </c>
      <c r="ONX1" s="331" t="s">
        <v>11247</v>
      </c>
      <c r="ONY1" s="331" t="s">
        <v>11248</v>
      </c>
      <c r="ONZ1" s="331" t="s">
        <v>11249</v>
      </c>
      <c r="OOA1" s="331" t="s">
        <v>11250</v>
      </c>
      <c r="OOB1" s="331" t="s">
        <v>11251</v>
      </c>
      <c r="OOC1" s="331" t="s">
        <v>11252</v>
      </c>
      <c r="OOD1" s="331" t="s">
        <v>11253</v>
      </c>
      <c r="OOE1" s="331" t="s">
        <v>11254</v>
      </c>
      <c r="OOF1" s="331" t="s">
        <v>11255</v>
      </c>
      <c r="OOG1" s="331" t="s">
        <v>11256</v>
      </c>
      <c r="OOH1" s="331" t="s">
        <v>11257</v>
      </c>
      <c r="OOI1" s="331" t="s">
        <v>11258</v>
      </c>
      <c r="OOJ1" s="331" t="s">
        <v>11259</v>
      </c>
      <c r="OOK1" s="331" t="s">
        <v>11260</v>
      </c>
      <c r="OOL1" s="331" t="s">
        <v>11261</v>
      </c>
      <c r="OOM1" s="331" t="s">
        <v>11262</v>
      </c>
      <c r="OON1" s="331" t="s">
        <v>11263</v>
      </c>
      <c r="OOO1" s="331" t="s">
        <v>11264</v>
      </c>
      <c r="OOP1" s="331" t="s">
        <v>11265</v>
      </c>
      <c r="OOQ1" s="331" t="s">
        <v>11266</v>
      </c>
      <c r="OOR1" s="331" t="s">
        <v>11267</v>
      </c>
      <c r="OOS1" s="331" t="s">
        <v>11268</v>
      </c>
      <c r="OOT1" s="331" t="s">
        <v>11269</v>
      </c>
      <c r="OOU1" s="331" t="s">
        <v>11270</v>
      </c>
      <c r="OOV1" s="331" t="s">
        <v>11271</v>
      </c>
      <c r="OOW1" s="331" t="s">
        <v>11272</v>
      </c>
      <c r="OOX1" s="331" t="s">
        <v>11273</v>
      </c>
      <c r="OOY1" s="331" t="s">
        <v>11274</v>
      </c>
      <c r="OOZ1" s="331" t="s">
        <v>11275</v>
      </c>
      <c r="OPA1" s="331" t="s">
        <v>11276</v>
      </c>
      <c r="OPB1" s="331" t="s">
        <v>11277</v>
      </c>
      <c r="OPC1" s="331" t="s">
        <v>11278</v>
      </c>
      <c r="OPD1" s="331" t="s">
        <v>11279</v>
      </c>
      <c r="OPE1" s="331" t="s">
        <v>11280</v>
      </c>
      <c r="OPF1" s="331" t="s">
        <v>11281</v>
      </c>
      <c r="OPG1" s="331" t="s">
        <v>11282</v>
      </c>
      <c r="OPH1" s="331" t="s">
        <v>11283</v>
      </c>
      <c r="OPI1" s="331" t="s">
        <v>11284</v>
      </c>
      <c r="OPJ1" s="331" t="s">
        <v>11285</v>
      </c>
      <c r="OPK1" s="331" t="s">
        <v>11286</v>
      </c>
      <c r="OPL1" s="331" t="s">
        <v>11287</v>
      </c>
      <c r="OPM1" s="331" t="s">
        <v>11288</v>
      </c>
      <c r="OPN1" s="331" t="s">
        <v>11289</v>
      </c>
      <c r="OPO1" s="331" t="s">
        <v>11290</v>
      </c>
      <c r="OPP1" s="331" t="s">
        <v>11291</v>
      </c>
      <c r="OPQ1" s="331" t="s">
        <v>11292</v>
      </c>
      <c r="OPR1" s="331" t="s">
        <v>11293</v>
      </c>
      <c r="OPS1" s="331" t="s">
        <v>11294</v>
      </c>
      <c r="OPT1" s="331" t="s">
        <v>11295</v>
      </c>
      <c r="OPU1" s="331" t="s">
        <v>11296</v>
      </c>
      <c r="OPV1" s="331" t="s">
        <v>11297</v>
      </c>
      <c r="OPW1" s="331" t="s">
        <v>11298</v>
      </c>
      <c r="OPX1" s="331" t="s">
        <v>11299</v>
      </c>
      <c r="OPY1" s="331" t="s">
        <v>11300</v>
      </c>
      <c r="OPZ1" s="331" t="s">
        <v>11301</v>
      </c>
      <c r="OQA1" s="331" t="s">
        <v>11302</v>
      </c>
      <c r="OQB1" s="331" t="s">
        <v>11303</v>
      </c>
      <c r="OQC1" s="331" t="s">
        <v>11304</v>
      </c>
      <c r="OQD1" s="331" t="s">
        <v>11305</v>
      </c>
      <c r="OQE1" s="331" t="s">
        <v>11306</v>
      </c>
      <c r="OQF1" s="331" t="s">
        <v>11307</v>
      </c>
      <c r="OQG1" s="331" t="s">
        <v>11308</v>
      </c>
      <c r="OQH1" s="331" t="s">
        <v>11309</v>
      </c>
      <c r="OQI1" s="331" t="s">
        <v>11310</v>
      </c>
      <c r="OQJ1" s="331" t="s">
        <v>11311</v>
      </c>
      <c r="OQK1" s="331" t="s">
        <v>11312</v>
      </c>
      <c r="OQL1" s="331" t="s">
        <v>11313</v>
      </c>
      <c r="OQM1" s="331" t="s">
        <v>11314</v>
      </c>
      <c r="OQN1" s="331" t="s">
        <v>11315</v>
      </c>
      <c r="OQO1" s="331" t="s">
        <v>11316</v>
      </c>
      <c r="OQP1" s="331" t="s">
        <v>11317</v>
      </c>
      <c r="OQQ1" s="331" t="s">
        <v>11318</v>
      </c>
      <c r="OQR1" s="331" t="s">
        <v>11319</v>
      </c>
      <c r="OQS1" s="331" t="s">
        <v>11320</v>
      </c>
      <c r="OQT1" s="331" t="s">
        <v>11321</v>
      </c>
      <c r="OQU1" s="331" t="s">
        <v>11322</v>
      </c>
      <c r="OQV1" s="331" t="s">
        <v>11323</v>
      </c>
      <c r="OQW1" s="331" t="s">
        <v>11324</v>
      </c>
      <c r="OQX1" s="331" t="s">
        <v>11325</v>
      </c>
      <c r="OQY1" s="331" t="s">
        <v>11326</v>
      </c>
      <c r="OQZ1" s="331" t="s">
        <v>11327</v>
      </c>
      <c r="ORA1" s="331" t="s">
        <v>11328</v>
      </c>
      <c r="ORB1" s="331" t="s">
        <v>11329</v>
      </c>
      <c r="ORC1" s="331" t="s">
        <v>11330</v>
      </c>
      <c r="ORD1" s="331" t="s">
        <v>11331</v>
      </c>
      <c r="ORE1" s="331" t="s">
        <v>11332</v>
      </c>
      <c r="ORF1" s="331" t="s">
        <v>11333</v>
      </c>
      <c r="ORG1" s="331" t="s">
        <v>11334</v>
      </c>
      <c r="ORH1" s="331" t="s">
        <v>11335</v>
      </c>
      <c r="ORI1" s="331" t="s">
        <v>11336</v>
      </c>
      <c r="ORJ1" s="331" t="s">
        <v>11337</v>
      </c>
      <c r="ORK1" s="331" t="s">
        <v>11338</v>
      </c>
      <c r="ORL1" s="331" t="s">
        <v>11339</v>
      </c>
      <c r="ORM1" s="331" t="s">
        <v>11340</v>
      </c>
      <c r="ORN1" s="331" t="s">
        <v>11341</v>
      </c>
      <c r="ORO1" s="331" t="s">
        <v>11342</v>
      </c>
      <c r="ORP1" s="331" t="s">
        <v>11343</v>
      </c>
      <c r="ORQ1" s="331" t="s">
        <v>11344</v>
      </c>
      <c r="ORR1" s="331" t="s">
        <v>11345</v>
      </c>
      <c r="ORS1" s="331" t="s">
        <v>11346</v>
      </c>
      <c r="ORT1" s="331" t="s">
        <v>11347</v>
      </c>
      <c r="ORU1" s="331" t="s">
        <v>11348</v>
      </c>
      <c r="ORV1" s="331" t="s">
        <v>11349</v>
      </c>
      <c r="ORW1" s="331" t="s">
        <v>11350</v>
      </c>
      <c r="ORX1" s="331" t="s">
        <v>11351</v>
      </c>
      <c r="ORY1" s="331" t="s">
        <v>11352</v>
      </c>
      <c r="ORZ1" s="331" t="s">
        <v>11353</v>
      </c>
      <c r="OSA1" s="331" t="s">
        <v>11354</v>
      </c>
      <c r="OSB1" s="331" t="s">
        <v>11355</v>
      </c>
      <c r="OSC1" s="331" t="s">
        <v>11356</v>
      </c>
      <c r="OSD1" s="331" t="s">
        <v>11357</v>
      </c>
      <c r="OSE1" s="331" t="s">
        <v>11358</v>
      </c>
      <c r="OSF1" s="331" t="s">
        <v>11359</v>
      </c>
      <c r="OSG1" s="331" t="s">
        <v>11360</v>
      </c>
      <c r="OSH1" s="331" t="s">
        <v>11361</v>
      </c>
      <c r="OSI1" s="331" t="s">
        <v>11362</v>
      </c>
      <c r="OSJ1" s="331" t="s">
        <v>11363</v>
      </c>
      <c r="OSK1" s="331" t="s">
        <v>11364</v>
      </c>
      <c r="OSL1" s="331" t="s">
        <v>11365</v>
      </c>
      <c r="OSM1" s="331" t="s">
        <v>11366</v>
      </c>
      <c r="OSN1" s="331" t="s">
        <v>11367</v>
      </c>
      <c r="OSO1" s="331" t="s">
        <v>11368</v>
      </c>
      <c r="OSP1" s="331" t="s">
        <v>11369</v>
      </c>
      <c r="OSQ1" s="331" t="s">
        <v>11370</v>
      </c>
      <c r="OSR1" s="331" t="s">
        <v>11371</v>
      </c>
      <c r="OSS1" s="331" t="s">
        <v>11372</v>
      </c>
      <c r="OST1" s="331" t="s">
        <v>11373</v>
      </c>
      <c r="OSU1" s="331" t="s">
        <v>11374</v>
      </c>
      <c r="OSV1" s="331" t="s">
        <v>11375</v>
      </c>
      <c r="OSW1" s="331" t="s">
        <v>11376</v>
      </c>
      <c r="OSX1" s="331" t="s">
        <v>11377</v>
      </c>
      <c r="OSY1" s="331" t="s">
        <v>11378</v>
      </c>
      <c r="OSZ1" s="331" t="s">
        <v>11379</v>
      </c>
      <c r="OTA1" s="331" t="s">
        <v>11380</v>
      </c>
      <c r="OTB1" s="331" t="s">
        <v>11381</v>
      </c>
      <c r="OTC1" s="331" t="s">
        <v>11382</v>
      </c>
      <c r="OTD1" s="331" t="s">
        <v>11383</v>
      </c>
      <c r="OTE1" s="331" t="s">
        <v>11384</v>
      </c>
      <c r="OTF1" s="331" t="s">
        <v>11385</v>
      </c>
      <c r="OTG1" s="331" t="s">
        <v>11386</v>
      </c>
      <c r="OTH1" s="331" t="s">
        <v>11387</v>
      </c>
      <c r="OTI1" s="331" t="s">
        <v>11388</v>
      </c>
      <c r="OTJ1" s="331" t="s">
        <v>11389</v>
      </c>
      <c r="OTK1" s="331" t="s">
        <v>11390</v>
      </c>
      <c r="OTL1" s="331" t="s">
        <v>11391</v>
      </c>
      <c r="OTM1" s="331" t="s">
        <v>11392</v>
      </c>
      <c r="OTN1" s="331" t="s">
        <v>11393</v>
      </c>
      <c r="OTO1" s="331" t="s">
        <v>11394</v>
      </c>
      <c r="OTP1" s="331" t="s">
        <v>11395</v>
      </c>
      <c r="OTQ1" s="331" t="s">
        <v>11396</v>
      </c>
      <c r="OTR1" s="331" t="s">
        <v>11397</v>
      </c>
      <c r="OTS1" s="331" t="s">
        <v>11398</v>
      </c>
      <c r="OTT1" s="331" t="s">
        <v>11399</v>
      </c>
      <c r="OTU1" s="331" t="s">
        <v>11400</v>
      </c>
      <c r="OTV1" s="331" t="s">
        <v>11401</v>
      </c>
      <c r="OTW1" s="331" t="s">
        <v>11402</v>
      </c>
      <c r="OTX1" s="331" t="s">
        <v>11403</v>
      </c>
      <c r="OTY1" s="331" t="s">
        <v>11404</v>
      </c>
      <c r="OTZ1" s="331" t="s">
        <v>11405</v>
      </c>
      <c r="OUA1" s="331" t="s">
        <v>11406</v>
      </c>
      <c r="OUB1" s="331" t="s">
        <v>11407</v>
      </c>
      <c r="OUC1" s="331" t="s">
        <v>11408</v>
      </c>
      <c r="OUD1" s="331" t="s">
        <v>11409</v>
      </c>
      <c r="OUE1" s="331" t="s">
        <v>11410</v>
      </c>
      <c r="OUF1" s="331" t="s">
        <v>11411</v>
      </c>
      <c r="OUG1" s="331" t="s">
        <v>11412</v>
      </c>
      <c r="OUH1" s="331" t="s">
        <v>11413</v>
      </c>
      <c r="OUI1" s="331" t="s">
        <v>11414</v>
      </c>
      <c r="OUJ1" s="331" t="s">
        <v>11415</v>
      </c>
      <c r="OUK1" s="331" t="s">
        <v>11416</v>
      </c>
      <c r="OUL1" s="331" t="s">
        <v>11417</v>
      </c>
      <c r="OUM1" s="331" t="s">
        <v>11418</v>
      </c>
      <c r="OUN1" s="331" t="s">
        <v>11419</v>
      </c>
      <c r="OUO1" s="331" t="s">
        <v>11420</v>
      </c>
      <c r="OUP1" s="331" t="s">
        <v>11421</v>
      </c>
      <c r="OUQ1" s="331" t="s">
        <v>11422</v>
      </c>
      <c r="OUR1" s="331" t="s">
        <v>11423</v>
      </c>
      <c r="OUS1" s="331" t="s">
        <v>11424</v>
      </c>
      <c r="OUT1" s="331" t="s">
        <v>11425</v>
      </c>
      <c r="OUU1" s="331" t="s">
        <v>11426</v>
      </c>
      <c r="OUV1" s="331" t="s">
        <v>11427</v>
      </c>
      <c r="OUW1" s="331" t="s">
        <v>11428</v>
      </c>
      <c r="OUX1" s="331" t="s">
        <v>11429</v>
      </c>
      <c r="OUY1" s="331" t="s">
        <v>11430</v>
      </c>
      <c r="OUZ1" s="331" t="s">
        <v>11431</v>
      </c>
      <c r="OVA1" s="331" t="s">
        <v>11432</v>
      </c>
      <c r="OVB1" s="331" t="s">
        <v>11433</v>
      </c>
      <c r="OVC1" s="331" t="s">
        <v>11434</v>
      </c>
      <c r="OVD1" s="331" t="s">
        <v>11435</v>
      </c>
      <c r="OVE1" s="331" t="s">
        <v>11436</v>
      </c>
      <c r="OVF1" s="331" t="s">
        <v>11437</v>
      </c>
      <c r="OVG1" s="331" t="s">
        <v>11438</v>
      </c>
      <c r="OVH1" s="331" t="s">
        <v>11439</v>
      </c>
      <c r="OVI1" s="331" t="s">
        <v>11440</v>
      </c>
      <c r="OVJ1" s="331" t="s">
        <v>11441</v>
      </c>
      <c r="OVK1" s="331" t="s">
        <v>11442</v>
      </c>
      <c r="OVL1" s="331" t="s">
        <v>11443</v>
      </c>
      <c r="OVM1" s="331" t="s">
        <v>11444</v>
      </c>
      <c r="OVN1" s="331" t="s">
        <v>11445</v>
      </c>
      <c r="OVO1" s="331" t="s">
        <v>11446</v>
      </c>
      <c r="OVP1" s="331" t="s">
        <v>11447</v>
      </c>
      <c r="OVQ1" s="331" t="s">
        <v>11448</v>
      </c>
      <c r="OVR1" s="331" t="s">
        <v>11449</v>
      </c>
      <c r="OVS1" s="331" t="s">
        <v>11450</v>
      </c>
      <c r="OVT1" s="331" t="s">
        <v>11451</v>
      </c>
      <c r="OVU1" s="331" t="s">
        <v>11452</v>
      </c>
      <c r="OVV1" s="331" t="s">
        <v>11453</v>
      </c>
      <c r="OVW1" s="331" t="s">
        <v>11454</v>
      </c>
      <c r="OVX1" s="331" t="s">
        <v>11455</v>
      </c>
      <c r="OVY1" s="331" t="s">
        <v>11456</v>
      </c>
      <c r="OVZ1" s="331" t="s">
        <v>11457</v>
      </c>
      <c r="OWA1" s="331" t="s">
        <v>11458</v>
      </c>
      <c r="OWB1" s="331" t="s">
        <v>11459</v>
      </c>
      <c r="OWC1" s="331" t="s">
        <v>11460</v>
      </c>
      <c r="OWD1" s="331" t="s">
        <v>11461</v>
      </c>
      <c r="OWE1" s="331" t="s">
        <v>11462</v>
      </c>
      <c r="OWF1" s="331" t="s">
        <v>11463</v>
      </c>
      <c r="OWG1" s="331" t="s">
        <v>11464</v>
      </c>
      <c r="OWH1" s="331" t="s">
        <v>11465</v>
      </c>
      <c r="OWI1" s="331" t="s">
        <v>11466</v>
      </c>
      <c r="OWJ1" s="331" t="s">
        <v>11467</v>
      </c>
      <c r="OWK1" s="331" t="s">
        <v>11468</v>
      </c>
      <c r="OWL1" s="331" t="s">
        <v>11469</v>
      </c>
      <c r="OWM1" s="331" t="s">
        <v>11470</v>
      </c>
      <c r="OWN1" s="331" t="s">
        <v>11471</v>
      </c>
      <c r="OWO1" s="331" t="s">
        <v>11472</v>
      </c>
      <c r="OWP1" s="331" t="s">
        <v>11473</v>
      </c>
      <c r="OWQ1" s="331" t="s">
        <v>11474</v>
      </c>
      <c r="OWR1" s="331" t="s">
        <v>11475</v>
      </c>
      <c r="OWS1" s="331" t="s">
        <v>11476</v>
      </c>
      <c r="OWT1" s="331" t="s">
        <v>11477</v>
      </c>
      <c r="OWU1" s="331" t="s">
        <v>11478</v>
      </c>
      <c r="OWV1" s="331" t="s">
        <v>11479</v>
      </c>
      <c r="OWW1" s="331" t="s">
        <v>11480</v>
      </c>
      <c r="OWX1" s="331" t="s">
        <v>11481</v>
      </c>
      <c r="OWY1" s="331" t="s">
        <v>11482</v>
      </c>
      <c r="OWZ1" s="331" t="s">
        <v>11483</v>
      </c>
      <c r="OXA1" s="331" t="s">
        <v>11484</v>
      </c>
      <c r="OXB1" s="331" t="s">
        <v>11485</v>
      </c>
      <c r="OXC1" s="331" t="s">
        <v>11486</v>
      </c>
      <c r="OXD1" s="331" t="s">
        <v>11487</v>
      </c>
      <c r="OXE1" s="331" t="s">
        <v>11488</v>
      </c>
      <c r="OXF1" s="331" t="s">
        <v>11489</v>
      </c>
      <c r="OXG1" s="331" t="s">
        <v>11490</v>
      </c>
      <c r="OXH1" s="331" t="s">
        <v>11491</v>
      </c>
      <c r="OXI1" s="331" t="s">
        <v>11492</v>
      </c>
      <c r="OXJ1" s="331" t="s">
        <v>11493</v>
      </c>
      <c r="OXK1" s="331" t="s">
        <v>11494</v>
      </c>
      <c r="OXL1" s="331" t="s">
        <v>11495</v>
      </c>
      <c r="OXM1" s="331" t="s">
        <v>11496</v>
      </c>
      <c r="OXN1" s="331" t="s">
        <v>11497</v>
      </c>
      <c r="OXO1" s="331" t="s">
        <v>11498</v>
      </c>
      <c r="OXP1" s="331" t="s">
        <v>11499</v>
      </c>
      <c r="OXQ1" s="331" t="s">
        <v>11500</v>
      </c>
      <c r="OXR1" s="331" t="s">
        <v>11501</v>
      </c>
      <c r="OXS1" s="331" t="s">
        <v>11502</v>
      </c>
      <c r="OXT1" s="331" t="s">
        <v>11503</v>
      </c>
      <c r="OXU1" s="331" t="s">
        <v>11504</v>
      </c>
      <c r="OXV1" s="331" t="s">
        <v>11505</v>
      </c>
      <c r="OXW1" s="331" t="s">
        <v>11506</v>
      </c>
      <c r="OXX1" s="331" t="s">
        <v>11507</v>
      </c>
      <c r="OXY1" s="331" t="s">
        <v>11508</v>
      </c>
      <c r="OXZ1" s="331" t="s">
        <v>11509</v>
      </c>
      <c r="OYA1" s="331" t="s">
        <v>11510</v>
      </c>
      <c r="OYB1" s="331" t="s">
        <v>11511</v>
      </c>
      <c r="OYC1" s="331" t="s">
        <v>11512</v>
      </c>
      <c r="OYD1" s="331" t="s">
        <v>11513</v>
      </c>
      <c r="OYE1" s="331" t="s">
        <v>11514</v>
      </c>
      <c r="OYF1" s="331" t="s">
        <v>11515</v>
      </c>
      <c r="OYG1" s="331" t="s">
        <v>11516</v>
      </c>
      <c r="OYH1" s="331" t="s">
        <v>11517</v>
      </c>
      <c r="OYI1" s="331" t="s">
        <v>11518</v>
      </c>
      <c r="OYJ1" s="331" t="s">
        <v>11519</v>
      </c>
      <c r="OYK1" s="331" t="s">
        <v>11520</v>
      </c>
      <c r="OYL1" s="331" t="s">
        <v>11521</v>
      </c>
      <c r="OYM1" s="331" t="s">
        <v>11522</v>
      </c>
      <c r="OYN1" s="331" t="s">
        <v>11523</v>
      </c>
      <c r="OYO1" s="331" t="s">
        <v>11524</v>
      </c>
      <c r="OYP1" s="331" t="s">
        <v>11525</v>
      </c>
      <c r="OYQ1" s="331" t="s">
        <v>11526</v>
      </c>
      <c r="OYR1" s="331" t="s">
        <v>11527</v>
      </c>
      <c r="OYS1" s="331" t="s">
        <v>11528</v>
      </c>
      <c r="OYT1" s="331" t="s">
        <v>11529</v>
      </c>
      <c r="OYU1" s="331" t="s">
        <v>11530</v>
      </c>
      <c r="OYV1" s="331" t="s">
        <v>11531</v>
      </c>
      <c r="OYW1" s="331" t="s">
        <v>11532</v>
      </c>
      <c r="OYX1" s="331" t="s">
        <v>11533</v>
      </c>
      <c r="OYY1" s="331" t="s">
        <v>11534</v>
      </c>
      <c r="OYZ1" s="331" t="s">
        <v>11535</v>
      </c>
      <c r="OZA1" s="331" t="s">
        <v>11536</v>
      </c>
      <c r="OZB1" s="331" t="s">
        <v>11537</v>
      </c>
      <c r="OZC1" s="331" t="s">
        <v>11538</v>
      </c>
      <c r="OZD1" s="331" t="s">
        <v>11539</v>
      </c>
      <c r="OZE1" s="331" t="s">
        <v>11540</v>
      </c>
      <c r="OZF1" s="331" t="s">
        <v>11541</v>
      </c>
      <c r="OZG1" s="331" t="s">
        <v>11542</v>
      </c>
      <c r="OZH1" s="331" t="s">
        <v>11543</v>
      </c>
      <c r="OZI1" s="331" t="s">
        <v>11544</v>
      </c>
      <c r="OZJ1" s="331" t="s">
        <v>11545</v>
      </c>
      <c r="OZK1" s="331" t="s">
        <v>11546</v>
      </c>
      <c r="OZL1" s="331" t="s">
        <v>11547</v>
      </c>
      <c r="OZM1" s="331" t="s">
        <v>11548</v>
      </c>
      <c r="OZN1" s="331" t="s">
        <v>11549</v>
      </c>
      <c r="OZO1" s="331" t="s">
        <v>11550</v>
      </c>
      <c r="OZP1" s="331" t="s">
        <v>11551</v>
      </c>
      <c r="OZQ1" s="331" t="s">
        <v>11552</v>
      </c>
      <c r="OZR1" s="331" t="s">
        <v>11553</v>
      </c>
      <c r="OZS1" s="331" t="s">
        <v>11554</v>
      </c>
      <c r="OZT1" s="331" t="s">
        <v>11555</v>
      </c>
      <c r="OZU1" s="331" t="s">
        <v>11556</v>
      </c>
      <c r="OZV1" s="331" t="s">
        <v>11557</v>
      </c>
      <c r="OZW1" s="331" t="s">
        <v>11558</v>
      </c>
      <c r="OZX1" s="331" t="s">
        <v>11559</v>
      </c>
      <c r="OZY1" s="331" t="s">
        <v>11560</v>
      </c>
      <c r="OZZ1" s="331" t="s">
        <v>11561</v>
      </c>
      <c r="PAA1" s="331" t="s">
        <v>11562</v>
      </c>
      <c r="PAB1" s="331" t="s">
        <v>11563</v>
      </c>
      <c r="PAC1" s="331" t="s">
        <v>11564</v>
      </c>
      <c r="PAD1" s="331" t="s">
        <v>11565</v>
      </c>
      <c r="PAE1" s="331" t="s">
        <v>11566</v>
      </c>
      <c r="PAF1" s="331" t="s">
        <v>11567</v>
      </c>
      <c r="PAG1" s="331" t="s">
        <v>11568</v>
      </c>
      <c r="PAH1" s="331" t="s">
        <v>11569</v>
      </c>
      <c r="PAI1" s="331" t="s">
        <v>11570</v>
      </c>
      <c r="PAJ1" s="331" t="s">
        <v>11571</v>
      </c>
      <c r="PAK1" s="331" t="s">
        <v>11572</v>
      </c>
      <c r="PAL1" s="331" t="s">
        <v>11573</v>
      </c>
      <c r="PAM1" s="331" t="s">
        <v>11574</v>
      </c>
      <c r="PAN1" s="331" t="s">
        <v>11575</v>
      </c>
      <c r="PAO1" s="331" t="s">
        <v>11576</v>
      </c>
      <c r="PAP1" s="331" t="s">
        <v>11577</v>
      </c>
      <c r="PAQ1" s="331" t="s">
        <v>11578</v>
      </c>
      <c r="PAR1" s="331" t="s">
        <v>11579</v>
      </c>
      <c r="PAS1" s="331" t="s">
        <v>11580</v>
      </c>
      <c r="PAT1" s="331" t="s">
        <v>11581</v>
      </c>
      <c r="PAU1" s="331" t="s">
        <v>11582</v>
      </c>
      <c r="PAV1" s="331" t="s">
        <v>11583</v>
      </c>
      <c r="PAW1" s="331" t="s">
        <v>11584</v>
      </c>
      <c r="PAX1" s="331" t="s">
        <v>11585</v>
      </c>
      <c r="PAY1" s="331" t="s">
        <v>11586</v>
      </c>
      <c r="PAZ1" s="331" t="s">
        <v>11587</v>
      </c>
      <c r="PBA1" s="331" t="s">
        <v>11588</v>
      </c>
      <c r="PBB1" s="331" t="s">
        <v>11589</v>
      </c>
      <c r="PBC1" s="331" t="s">
        <v>11590</v>
      </c>
      <c r="PBD1" s="331" t="s">
        <v>11591</v>
      </c>
      <c r="PBE1" s="331" t="s">
        <v>11592</v>
      </c>
      <c r="PBF1" s="331" t="s">
        <v>11593</v>
      </c>
      <c r="PBG1" s="331" t="s">
        <v>11594</v>
      </c>
      <c r="PBH1" s="331" t="s">
        <v>11595</v>
      </c>
      <c r="PBI1" s="331" t="s">
        <v>11596</v>
      </c>
      <c r="PBJ1" s="331" t="s">
        <v>11597</v>
      </c>
      <c r="PBK1" s="331" t="s">
        <v>11598</v>
      </c>
      <c r="PBL1" s="331" t="s">
        <v>11599</v>
      </c>
      <c r="PBM1" s="331" t="s">
        <v>11600</v>
      </c>
      <c r="PBN1" s="331" t="s">
        <v>11601</v>
      </c>
      <c r="PBO1" s="331" t="s">
        <v>11602</v>
      </c>
      <c r="PBP1" s="331" t="s">
        <v>11603</v>
      </c>
      <c r="PBQ1" s="331" t="s">
        <v>11604</v>
      </c>
      <c r="PBR1" s="331" t="s">
        <v>11605</v>
      </c>
      <c r="PBS1" s="331" t="s">
        <v>11606</v>
      </c>
      <c r="PBT1" s="331" t="s">
        <v>11607</v>
      </c>
      <c r="PBU1" s="331" t="s">
        <v>11608</v>
      </c>
      <c r="PBV1" s="331" t="s">
        <v>11609</v>
      </c>
      <c r="PBW1" s="331" t="s">
        <v>11610</v>
      </c>
      <c r="PBX1" s="331" t="s">
        <v>11611</v>
      </c>
      <c r="PBY1" s="331" t="s">
        <v>11612</v>
      </c>
      <c r="PBZ1" s="331" t="s">
        <v>11613</v>
      </c>
      <c r="PCA1" s="331" t="s">
        <v>11614</v>
      </c>
      <c r="PCB1" s="331" t="s">
        <v>11615</v>
      </c>
      <c r="PCC1" s="331" t="s">
        <v>11616</v>
      </c>
      <c r="PCD1" s="331" t="s">
        <v>11617</v>
      </c>
      <c r="PCE1" s="331" t="s">
        <v>11618</v>
      </c>
      <c r="PCF1" s="331" t="s">
        <v>11619</v>
      </c>
      <c r="PCG1" s="331" t="s">
        <v>11620</v>
      </c>
      <c r="PCH1" s="331" t="s">
        <v>11621</v>
      </c>
      <c r="PCI1" s="331" t="s">
        <v>11622</v>
      </c>
      <c r="PCJ1" s="331" t="s">
        <v>11623</v>
      </c>
      <c r="PCK1" s="331" t="s">
        <v>11624</v>
      </c>
      <c r="PCL1" s="331" t="s">
        <v>11625</v>
      </c>
      <c r="PCM1" s="331" t="s">
        <v>11626</v>
      </c>
      <c r="PCN1" s="331" t="s">
        <v>11627</v>
      </c>
      <c r="PCO1" s="331" t="s">
        <v>11628</v>
      </c>
      <c r="PCP1" s="331" t="s">
        <v>11629</v>
      </c>
      <c r="PCQ1" s="331" t="s">
        <v>11630</v>
      </c>
      <c r="PCR1" s="331" t="s">
        <v>11631</v>
      </c>
      <c r="PCS1" s="331" t="s">
        <v>11632</v>
      </c>
      <c r="PCT1" s="331" t="s">
        <v>11633</v>
      </c>
      <c r="PCU1" s="331" t="s">
        <v>11634</v>
      </c>
      <c r="PCV1" s="331" t="s">
        <v>11635</v>
      </c>
      <c r="PCW1" s="331" t="s">
        <v>11636</v>
      </c>
      <c r="PCX1" s="331" t="s">
        <v>11637</v>
      </c>
      <c r="PCY1" s="331" t="s">
        <v>11638</v>
      </c>
      <c r="PCZ1" s="331" t="s">
        <v>11639</v>
      </c>
      <c r="PDA1" s="331" t="s">
        <v>11640</v>
      </c>
      <c r="PDB1" s="331" t="s">
        <v>11641</v>
      </c>
      <c r="PDC1" s="331" t="s">
        <v>11642</v>
      </c>
      <c r="PDD1" s="331" t="s">
        <v>11643</v>
      </c>
      <c r="PDE1" s="331" t="s">
        <v>11644</v>
      </c>
      <c r="PDF1" s="331" t="s">
        <v>11645</v>
      </c>
      <c r="PDG1" s="331" t="s">
        <v>11646</v>
      </c>
      <c r="PDH1" s="331" t="s">
        <v>11647</v>
      </c>
      <c r="PDI1" s="331" t="s">
        <v>11648</v>
      </c>
      <c r="PDJ1" s="331" t="s">
        <v>11649</v>
      </c>
      <c r="PDK1" s="331" t="s">
        <v>11650</v>
      </c>
      <c r="PDL1" s="331" t="s">
        <v>11651</v>
      </c>
      <c r="PDM1" s="331" t="s">
        <v>11652</v>
      </c>
      <c r="PDN1" s="331" t="s">
        <v>11653</v>
      </c>
      <c r="PDO1" s="331" t="s">
        <v>11654</v>
      </c>
      <c r="PDP1" s="331" t="s">
        <v>11655</v>
      </c>
      <c r="PDQ1" s="331" t="s">
        <v>11656</v>
      </c>
      <c r="PDR1" s="331" t="s">
        <v>11657</v>
      </c>
      <c r="PDS1" s="331" t="s">
        <v>11658</v>
      </c>
      <c r="PDT1" s="331" t="s">
        <v>11659</v>
      </c>
      <c r="PDU1" s="331" t="s">
        <v>11660</v>
      </c>
      <c r="PDV1" s="331" t="s">
        <v>11661</v>
      </c>
      <c r="PDW1" s="331" t="s">
        <v>11662</v>
      </c>
      <c r="PDX1" s="331" t="s">
        <v>11663</v>
      </c>
      <c r="PDY1" s="331" t="s">
        <v>11664</v>
      </c>
      <c r="PDZ1" s="331" t="s">
        <v>11665</v>
      </c>
      <c r="PEA1" s="331" t="s">
        <v>11666</v>
      </c>
      <c r="PEB1" s="331" t="s">
        <v>11667</v>
      </c>
      <c r="PEC1" s="331" t="s">
        <v>11668</v>
      </c>
      <c r="PED1" s="331" t="s">
        <v>11669</v>
      </c>
      <c r="PEE1" s="331" t="s">
        <v>11670</v>
      </c>
      <c r="PEF1" s="331" t="s">
        <v>11671</v>
      </c>
      <c r="PEG1" s="331" t="s">
        <v>11672</v>
      </c>
      <c r="PEH1" s="331" t="s">
        <v>11673</v>
      </c>
      <c r="PEI1" s="331" t="s">
        <v>11674</v>
      </c>
      <c r="PEJ1" s="331" t="s">
        <v>11675</v>
      </c>
      <c r="PEK1" s="331" t="s">
        <v>11676</v>
      </c>
      <c r="PEL1" s="331" t="s">
        <v>11677</v>
      </c>
      <c r="PEM1" s="331" t="s">
        <v>11678</v>
      </c>
      <c r="PEN1" s="331" t="s">
        <v>11679</v>
      </c>
      <c r="PEO1" s="331" t="s">
        <v>11680</v>
      </c>
      <c r="PEP1" s="331" t="s">
        <v>11681</v>
      </c>
      <c r="PEQ1" s="331" t="s">
        <v>11682</v>
      </c>
      <c r="PER1" s="331" t="s">
        <v>11683</v>
      </c>
      <c r="PES1" s="331" t="s">
        <v>11684</v>
      </c>
      <c r="PET1" s="331" t="s">
        <v>11685</v>
      </c>
      <c r="PEU1" s="331" t="s">
        <v>11686</v>
      </c>
      <c r="PEV1" s="331" t="s">
        <v>11687</v>
      </c>
      <c r="PEW1" s="331" t="s">
        <v>11688</v>
      </c>
      <c r="PEX1" s="331" t="s">
        <v>11689</v>
      </c>
      <c r="PEY1" s="331" t="s">
        <v>11690</v>
      </c>
      <c r="PEZ1" s="331" t="s">
        <v>11691</v>
      </c>
      <c r="PFA1" s="331" t="s">
        <v>11692</v>
      </c>
      <c r="PFB1" s="331" t="s">
        <v>11693</v>
      </c>
      <c r="PFC1" s="331" t="s">
        <v>11694</v>
      </c>
      <c r="PFD1" s="331" t="s">
        <v>11695</v>
      </c>
      <c r="PFE1" s="331" t="s">
        <v>11696</v>
      </c>
      <c r="PFF1" s="331" t="s">
        <v>11697</v>
      </c>
      <c r="PFG1" s="331" t="s">
        <v>11698</v>
      </c>
      <c r="PFH1" s="331" t="s">
        <v>11699</v>
      </c>
      <c r="PFI1" s="331" t="s">
        <v>11700</v>
      </c>
      <c r="PFJ1" s="331" t="s">
        <v>11701</v>
      </c>
      <c r="PFK1" s="331" t="s">
        <v>11702</v>
      </c>
      <c r="PFL1" s="331" t="s">
        <v>11703</v>
      </c>
      <c r="PFM1" s="331" t="s">
        <v>11704</v>
      </c>
      <c r="PFN1" s="331" t="s">
        <v>11705</v>
      </c>
      <c r="PFO1" s="331" t="s">
        <v>11706</v>
      </c>
      <c r="PFP1" s="331" t="s">
        <v>11707</v>
      </c>
      <c r="PFQ1" s="331" t="s">
        <v>11708</v>
      </c>
      <c r="PFR1" s="331" t="s">
        <v>11709</v>
      </c>
      <c r="PFS1" s="331" t="s">
        <v>11710</v>
      </c>
      <c r="PFT1" s="331" t="s">
        <v>11711</v>
      </c>
      <c r="PFU1" s="331" t="s">
        <v>11712</v>
      </c>
      <c r="PFV1" s="331" t="s">
        <v>11713</v>
      </c>
      <c r="PFW1" s="331" t="s">
        <v>11714</v>
      </c>
      <c r="PFX1" s="331" t="s">
        <v>11715</v>
      </c>
      <c r="PFY1" s="331" t="s">
        <v>11716</v>
      </c>
      <c r="PFZ1" s="331" t="s">
        <v>11717</v>
      </c>
      <c r="PGA1" s="331" t="s">
        <v>11718</v>
      </c>
      <c r="PGB1" s="331" t="s">
        <v>11719</v>
      </c>
      <c r="PGC1" s="331" t="s">
        <v>11720</v>
      </c>
      <c r="PGD1" s="331" t="s">
        <v>11721</v>
      </c>
      <c r="PGE1" s="331" t="s">
        <v>11722</v>
      </c>
      <c r="PGF1" s="331" t="s">
        <v>11723</v>
      </c>
      <c r="PGG1" s="331" t="s">
        <v>11724</v>
      </c>
      <c r="PGH1" s="331" t="s">
        <v>11725</v>
      </c>
      <c r="PGI1" s="331" t="s">
        <v>11726</v>
      </c>
      <c r="PGJ1" s="331" t="s">
        <v>11727</v>
      </c>
      <c r="PGK1" s="331" t="s">
        <v>11728</v>
      </c>
      <c r="PGL1" s="331" t="s">
        <v>11729</v>
      </c>
      <c r="PGM1" s="331" t="s">
        <v>11730</v>
      </c>
      <c r="PGN1" s="331" t="s">
        <v>11731</v>
      </c>
      <c r="PGO1" s="331" t="s">
        <v>11732</v>
      </c>
      <c r="PGP1" s="331" t="s">
        <v>11733</v>
      </c>
      <c r="PGQ1" s="331" t="s">
        <v>11734</v>
      </c>
      <c r="PGR1" s="331" t="s">
        <v>11735</v>
      </c>
      <c r="PGS1" s="331" t="s">
        <v>11736</v>
      </c>
      <c r="PGT1" s="331" t="s">
        <v>11737</v>
      </c>
      <c r="PGU1" s="331" t="s">
        <v>11738</v>
      </c>
      <c r="PGV1" s="331" t="s">
        <v>11739</v>
      </c>
      <c r="PGW1" s="331" t="s">
        <v>11740</v>
      </c>
      <c r="PGX1" s="331" t="s">
        <v>11741</v>
      </c>
      <c r="PGY1" s="331" t="s">
        <v>11742</v>
      </c>
      <c r="PGZ1" s="331" t="s">
        <v>11743</v>
      </c>
      <c r="PHA1" s="331" t="s">
        <v>11744</v>
      </c>
      <c r="PHB1" s="331" t="s">
        <v>11745</v>
      </c>
      <c r="PHC1" s="331" t="s">
        <v>11746</v>
      </c>
      <c r="PHD1" s="331" t="s">
        <v>11747</v>
      </c>
      <c r="PHE1" s="331" t="s">
        <v>11748</v>
      </c>
      <c r="PHF1" s="331" t="s">
        <v>11749</v>
      </c>
      <c r="PHG1" s="331" t="s">
        <v>11750</v>
      </c>
      <c r="PHH1" s="331" t="s">
        <v>11751</v>
      </c>
      <c r="PHI1" s="331" t="s">
        <v>11752</v>
      </c>
      <c r="PHJ1" s="331" t="s">
        <v>11753</v>
      </c>
      <c r="PHK1" s="331" t="s">
        <v>11754</v>
      </c>
      <c r="PHL1" s="331" t="s">
        <v>11755</v>
      </c>
      <c r="PHM1" s="331" t="s">
        <v>11756</v>
      </c>
      <c r="PHN1" s="331" t="s">
        <v>11757</v>
      </c>
      <c r="PHO1" s="331" t="s">
        <v>11758</v>
      </c>
      <c r="PHP1" s="331" t="s">
        <v>11759</v>
      </c>
      <c r="PHQ1" s="331" t="s">
        <v>11760</v>
      </c>
      <c r="PHR1" s="331" t="s">
        <v>11761</v>
      </c>
      <c r="PHS1" s="331" t="s">
        <v>11762</v>
      </c>
      <c r="PHT1" s="331" t="s">
        <v>11763</v>
      </c>
      <c r="PHU1" s="331" t="s">
        <v>11764</v>
      </c>
      <c r="PHV1" s="331" t="s">
        <v>11765</v>
      </c>
      <c r="PHW1" s="331" t="s">
        <v>11766</v>
      </c>
      <c r="PHX1" s="331" t="s">
        <v>11767</v>
      </c>
      <c r="PHY1" s="331" t="s">
        <v>11768</v>
      </c>
      <c r="PHZ1" s="331" t="s">
        <v>11769</v>
      </c>
      <c r="PIA1" s="331" t="s">
        <v>11770</v>
      </c>
      <c r="PIB1" s="331" t="s">
        <v>11771</v>
      </c>
      <c r="PIC1" s="331" t="s">
        <v>11772</v>
      </c>
      <c r="PID1" s="331" t="s">
        <v>11773</v>
      </c>
      <c r="PIE1" s="331" t="s">
        <v>11774</v>
      </c>
      <c r="PIF1" s="331" t="s">
        <v>11775</v>
      </c>
      <c r="PIG1" s="331" t="s">
        <v>11776</v>
      </c>
      <c r="PIH1" s="331" t="s">
        <v>11777</v>
      </c>
      <c r="PII1" s="331" t="s">
        <v>11778</v>
      </c>
      <c r="PIJ1" s="331" t="s">
        <v>11779</v>
      </c>
      <c r="PIK1" s="331" t="s">
        <v>11780</v>
      </c>
      <c r="PIL1" s="331" t="s">
        <v>11781</v>
      </c>
      <c r="PIM1" s="331" t="s">
        <v>11782</v>
      </c>
      <c r="PIN1" s="331" t="s">
        <v>11783</v>
      </c>
      <c r="PIO1" s="331" t="s">
        <v>11784</v>
      </c>
      <c r="PIP1" s="331" t="s">
        <v>11785</v>
      </c>
      <c r="PIQ1" s="331" t="s">
        <v>11786</v>
      </c>
      <c r="PIR1" s="331" t="s">
        <v>11787</v>
      </c>
      <c r="PIS1" s="331" t="s">
        <v>11788</v>
      </c>
      <c r="PIT1" s="331" t="s">
        <v>11789</v>
      </c>
      <c r="PIU1" s="331" t="s">
        <v>11790</v>
      </c>
      <c r="PIV1" s="331" t="s">
        <v>11791</v>
      </c>
      <c r="PIW1" s="331" t="s">
        <v>11792</v>
      </c>
      <c r="PIX1" s="331" t="s">
        <v>11793</v>
      </c>
      <c r="PIY1" s="331" t="s">
        <v>11794</v>
      </c>
      <c r="PIZ1" s="331" t="s">
        <v>11795</v>
      </c>
      <c r="PJA1" s="331" t="s">
        <v>11796</v>
      </c>
      <c r="PJB1" s="331" t="s">
        <v>11797</v>
      </c>
      <c r="PJC1" s="331" t="s">
        <v>11798</v>
      </c>
      <c r="PJD1" s="331" t="s">
        <v>11799</v>
      </c>
      <c r="PJE1" s="331" t="s">
        <v>11800</v>
      </c>
      <c r="PJF1" s="331" t="s">
        <v>11801</v>
      </c>
      <c r="PJG1" s="331" t="s">
        <v>11802</v>
      </c>
      <c r="PJH1" s="331" t="s">
        <v>11803</v>
      </c>
      <c r="PJI1" s="331" t="s">
        <v>11804</v>
      </c>
      <c r="PJJ1" s="331" t="s">
        <v>11805</v>
      </c>
      <c r="PJK1" s="331" t="s">
        <v>11806</v>
      </c>
      <c r="PJL1" s="331" t="s">
        <v>11807</v>
      </c>
      <c r="PJM1" s="331" t="s">
        <v>11808</v>
      </c>
      <c r="PJN1" s="331" t="s">
        <v>11809</v>
      </c>
      <c r="PJO1" s="331" t="s">
        <v>11810</v>
      </c>
      <c r="PJP1" s="331" t="s">
        <v>11811</v>
      </c>
      <c r="PJQ1" s="331" t="s">
        <v>11812</v>
      </c>
      <c r="PJR1" s="331" t="s">
        <v>11813</v>
      </c>
      <c r="PJS1" s="331" t="s">
        <v>11814</v>
      </c>
      <c r="PJT1" s="331" t="s">
        <v>11815</v>
      </c>
      <c r="PJU1" s="331" t="s">
        <v>11816</v>
      </c>
      <c r="PJV1" s="331" t="s">
        <v>11817</v>
      </c>
      <c r="PJW1" s="331" t="s">
        <v>11818</v>
      </c>
      <c r="PJX1" s="331" t="s">
        <v>11819</v>
      </c>
      <c r="PJY1" s="331" t="s">
        <v>11820</v>
      </c>
      <c r="PJZ1" s="331" t="s">
        <v>11821</v>
      </c>
      <c r="PKA1" s="331" t="s">
        <v>11822</v>
      </c>
      <c r="PKB1" s="331" t="s">
        <v>11823</v>
      </c>
      <c r="PKC1" s="331" t="s">
        <v>11824</v>
      </c>
      <c r="PKD1" s="331" t="s">
        <v>11825</v>
      </c>
      <c r="PKE1" s="331" t="s">
        <v>11826</v>
      </c>
      <c r="PKF1" s="331" t="s">
        <v>11827</v>
      </c>
      <c r="PKG1" s="331" t="s">
        <v>11828</v>
      </c>
      <c r="PKH1" s="331" t="s">
        <v>11829</v>
      </c>
      <c r="PKI1" s="331" t="s">
        <v>11830</v>
      </c>
      <c r="PKJ1" s="331" t="s">
        <v>11831</v>
      </c>
      <c r="PKK1" s="331" t="s">
        <v>11832</v>
      </c>
      <c r="PKL1" s="331" t="s">
        <v>11833</v>
      </c>
      <c r="PKM1" s="331" t="s">
        <v>11834</v>
      </c>
      <c r="PKN1" s="331" t="s">
        <v>11835</v>
      </c>
      <c r="PKO1" s="331" t="s">
        <v>11836</v>
      </c>
      <c r="PKP1" s="331" t="s">
        <v>11837</v>
      </c>
      <c r="PKQ1" s="331" t="s">
        <v>11838</v>
      </c>
      <c r="PKR1" s="331" t="s">
        <v>11839</v>
      </c>
      <c r="PKS1" s="331" t="s">
        <v>11840</v>
      </c>
      <c r="PKT1" s="331" t="s">
        <v>11841</v>
      </c>
      <c r="PKU1" s="331" t="s">
        <v>11842</v>
      </c>
      <c r="PKV1" s="331" t="s">
        <v>11843</v>
      </c>
      <c r="PKW1" s="331" t="s">
        <v>11844</v>
      </c>
      <c r="PKX1" s="331" t="s">
        <v>11845</v>
      </c>
      <c r="PKY1" s="331" t="s">
        <v>11846</v>
      </c>
      <c r="PKZ1" s="331" t="s">
        <v>11847</v>
      </c>
      <c r="PLA1" s="331" t="s">
        <v>11848</v>
      </c>
      <c r="PLB1" s="331" t="s">
        <v>11849</v>
      </c>
      <c r="PLC1" s="331" t="s">
        <v>11850</v>
      </c>
      <c r="PLD1" s="331" t="s">
        <v>11851</v>
      </c>
      <c r="PLE1" s="331" t="s">
        <v>11852</v>
      </c>
      <c r="PLF1" s="331" t="s">
        <v>11853</v>
      </c>
      <c r="PLG1" s="331" t="s">
        <v>11854</v>
      </c>
      <c r="PLH1" s="331" t="s">
        <v>11855</v>
      </c>
      <c r="PLI1" s="331" t="s">
        <v>11856</v>
      </c>
      <c r="PLJ1" s="331" t="s">
        <v>11857</v>
      </c>
      <c r="PLK1" s="331" t="s">
        <v>11858</v>
      </c>
      <c r="PLL1" s="331" t="s">
        <v>11859</v>
      </c>
      <c r="PLM1" s="331" t="s">
        <v>11860</v>
      </c>
      <c r="PLN1" s="331" t="s">
        <v>11861</v>
      </c>
      <c r="PLO1" s="331" t="s">
        <v>11862</v>
      </c>
      <c r="PLP1" s="331" t="s">
        <v>11863</v>
      </c>
      <c r="PLQ1" s="331" t="s">
        <v>11864</v>
      </c>
      <c r="PLR1" s="331" t="s">
        <v>11865</v>
      </c>
      <c r="PLS1" s="331" t="s">
        <v>11866</v>
      </c>
      <c r="PLT1" s="331" t="s">
        <v>11867</v>
      </c>
      <c r="PLU1" s="331" t="s">
        <v>11868</v>
      </c>
      <c r="PLV1" s="331" t="s">
        <v>11869</v>
      </c>
      <c r="PLW1" s="331" t="s">
        <v>11870</v>
      </c>
      <c r="PLX1" s="331" t="s">
        <v>11871</v>
      </c>
      <c r="PLY1" s="331" t="s">
        <v>11872</v>
      </c>
      <c r="PLZ1" s="331" t="s">
        <v>11873</v>
      </c>
      <c r="PMA1" s="331" t="s">
        <v>11874</v>
      </c>
      <c r="PMB1" s="331" t="s">
        <v>11875</v>
      </c>
      <c r="PMC1" s="331" t="s">
        <v>11876</v>
      </c>
      <c r="PMD1" s="331" t="s">
        <v>11877</v>
      </c>
      <c r="PME1" s="331" t="s">
        <v>11878</v>
      </c>
      <c r="PMF1" s="331" t="s">
        <v>11879</v>
      </c>
      <c r="PMG1" s="331" t="s">
        <v>11880</v>
      </c>
      <c r="PMH1" s="331" t="s">
        <v>11881</v>
      </c>
      <c r="PMI1" s="331" t="s">
        <v>11882</v>
      </c>
      <c r="PMJ1" s="331" t="s">
        <v>11883</v>
      </c>
      <c r="PMK1" s="331" t="s">
        <v>11884</v>
      </c>
      <c r="PML1" s="331" t="s">
        <v>11885</v>
      </c>
      <c r="PMM1" s="331" t="s">
        <v>11886</v>
      </c>
      <c r="PMN1" s="331" t="s">
        <v>11887</v>
      </c>
      <c r="PMO1" s="331" t="s">
        <v>11888</v>
      </c>
      <c r="PMP1" s="331" t="s">
        <v>11889</v>
      </c>
      <c r="PMQ1" s="331" t="s">
        <v>11890</v>
      </c>
      <c r="PMR1" s="331" t="s">
        <v>11891</v>
      </c>
      <c r="PMS1" s="331" t="s">
        <v>11892</v>
      </c>
      <c r="PMT1" s="331" t="s">
        <v>11893</v>
      </c>
      <c r="PMU1" s="331" t="s">
        <v>11894</v>
      </c>
      <c r="PMV1" s="331" t="s">
        <v>11895</v>
      </c>
      <c r="PMW1" s="331" t="s">
        <v>11896</v>
      </c>
      <c r="PMX1" s="331" t="s">
        <v>11897</v>
      </c>
      <c r="PMY1" s="331" t="s">
        <v>11898</v>
      </c>
      <c r="PMZ1" s="331" t="s">
        <v>11899</v>
      </c>
      <c r="PNA1" s="331" t="s">
        <v>11900</v>
      </c>
      <c r="PNB1" s="331" t="s">
        <v>11901</v>
      </c>
      <c r="PNC1" s="331" t="s">
        <v>11902</v>
      </c>
      <c r="PND1" s="331" t="s">
        <v>11903</v>
      </c>
      <c r="PNE1" s="331" t="s">
        <v>11904</v>
      </c>
      <c r="PNF1" s="331" t="s">
        <v>11905</v>
      </c>
      <c r="PNG1" s="331" t="s">
        <v>11906</v>
      </c>
      <c r="PNH1" s="331" t="s">
        <v>11907</v>
      </c>
      <c r="PNI1" s="331" t="s">
        <v>11908</v>
      </c>
      <c r="PNJ1" s="331" t="s">
        <v>11909</v>
      </c>
      <c r="PNK1" s="331" t="s">
        <v>11910</v>
      </c>
      <c r="PNL1" s="331" t="s">
        <v>11911</v>
      </c>
      <c r="PNM1" s="331" t="s">
        <v>11912</v>
      </c>
      <c r="PNN1" s="331" t="s">
        <v>11913</v>
      </c>
      <c r="PNO1" s="331" t="s">
        <v>11914</v>
      </c>
      <c r="PNP1" s="331" t="s">
        <v>11915</v>
      </c>
      <c r="PNQ1" s="331" t="s">
        <v>11916</v>
      </c>
      <c r="PNR1" s="331" t="s">
        <v>11917</v>
      </c>
      <c r="PNS1" s="331" t="s">
        <v>11918</v>
      </c>
      <c r="PNT1" s="331" t="s">
        <v>11919</v>
      </c>
      <c r="PNU1" s="331" t="s">
        <v>11920</v>
      </c>
      <c r="PNV1" s="331" t="s">
        <v>11921</v>
      </c>
      <c r="PNW1" s="331" t="s">
        <v>11922</v>
      </c>
      <c r="PNX1" s="331" t="s">
        <v>11923</v>
      </c>
      <c r="PNY1" s="331" t="s">
        <v>11924</v>
      </c>
      <c r="PNZ1" s="331" t="s">
        <v>11925</v>
      </c>
      <c r="POA1" s="331" t="s">
        <v>11926</v>
      </c>
      <c r="POB1" s="331" t="s">
        <v>11927</v>
      </c>
      <c r="POC1" s="331" t="s">
        <v>11928</v>
      </c>
      <c r="POD1" s="331" t="s">
        <v>11929</v>
      </c>
      <c r="POE1" s="331" t="s">
        <v>11930</v>
      </c>
      <c r="POF1" s="331" t="s">
        <v>11931</v>
      </c>
      <c r="POG1" s="331" t="s">
        <v>11932</v>
      </c>
      <c r="POH1" s="331" t="s">
        <v>11933</v>
      </c>
      <c r="POI1" s="331" t="s">
        <v>11934</v>
      </c>
      <c r="POJ1" s="331" t="s">
        <v>11935</v>
      </c>
      <c r="POK1" s="331" t="s">
        <v>11936</v>
      </c>
      <c r="POL1" s="331" t="s">
        <v>11937</v>
      </c>
      <c r="POM1" s="331" t="s">
        <v>11938</v>
      </c>
      <c r="PON1" s="331" t="s">
        <v>11939</v>
      </c>
      <c r="POO1" s="331" t="s">
        <v>11940</v>
      </c>
      <c r="POP1" s="331" t="s">
        <v>11941</v>
      </c>
      <c r="POQ1" s="331" t="s">
        <v>11942</v>
      </c>
      <c r="POR1" s="331" t="s">
        <v>11943</v>
      </c>
      <c r="POS1" s="331" t="s">
        <v>11944</v>
      </c>
      <c r="POT1" s="331" t="s">
        <v>11945</v>
      </c>
      <c r="POU1" s="331" t="s">
        <v>11946</v>
      </c>
      <c r="POV1" s="331" t="s">
        <v>11947</v>
      </c>
      <c r="POW1" s="331" t="s">
        <v>11948</v>
      </c>
      <c r="POX1" s="331" t="s">
        <v>11949</v>
      </c>
      <c r="POY1" s="331" t="s">
        <v>11950</v>
      </c>
      <c r="POZ1" s="331" t="s">
        <v>11951</v>
      </c>
      <c r="PPA1" s="331" t="s">
        <v>11952</v>
      </c>
      <c r="PPB1" s="331" t="s">
        <v>11953</v>
      </c>
      <c r="PPC1" s="331" t="s">
        <v>11954</v>
      </c>
      <c r="PPD1" s="331" t="s">
        <v>11955</v>
      </c>
      <c r="PPE1" s="331" t="s">
        <v>11956</v>
      </c>
      <c r="PPF1" s="331" t="s">
        <v>11957</v>
      </c>
      <c r="PPG1" s="331" t="s">
        <v>11958</v>
      </c>
      <c r="PPH1" s="331" t="s">
        <v>11959</v>
      </c>
      <c r="PPI1" s="331" t="s">
        <v>11960</v>
      </c>
      <c r="PPJ1" s="331" t="s">
        <v>11961</v>
      </c>
      <c r="PPK1" s="331" t="s">
        <v>11962</v>
      </c>
      <c r="PPL1" s="331" t="s">
        <v>11963</v>
      </c>
      <c r="PPM1" s="331" t="s">
        <v>11964</v>
      </c>
      <c r="PPN1" s="331" t="s">
        <v>11965</v>
      </c>
      <c r="PPO1" s="331" t="s">
        <v>11966</v>
      </c>
      <c r="PPP1" s="331" t="s">
        <v>11967</v>
      </c>
      <c r="PPQ1" s="331" t="s">
        <v>11968</v>
      </c>
      <c r="PPR1" s="331" t="s">
        <v>11969</v>
      </c>
      <c r="PPS1" s="331" t="s">
        <v>11970</v>
      </c>
      <c r="PPT1" s="331" t="s">
        <v>11971</v>
      </c>
      <c r="PPU1" s="331" t="s">
        <v>11972</v>
      </c>
      <c r="PPV1" s="331" t="s">
        <v>11973</v>
      </c>
      <c r="PPW1" s="331" t="s">
        <v>11974</v>
      </c>
      <c r="PPX1" s="331" t="s">
        <v>11975</v>
      </c>
      <c r="PPY1" s="331" t="s">
        <v>11976</v>
      </c>
      <c r="PPZ1" s="331" t="s">
        <v>11977</v>
      </c>
      <c r="PQA1" s="331" t="s">
        <v>11978</v>
      </c>
      <c r="PQB1" s="331" t="s">
        <v>11979</v>
      </c>
      <c r="PQC1" s="331" t="s">
        <v>11980</v>
      </c>
      <c r="PQD1" s="331" t="s">
        <v>11981</v>
      </c>
      <c r="PQE1" s="331" t="s">
        <v>11982</v>
      </c>
      <c r="PQF1" s="331" t="s">
        <v>11983</v>
      </c>
      <c r="PQG1" s="331" t="s">
        <v>11984</v>
      </c>
      <c r="PQH1" s="331" t="s">
        <v>11985</v>
      </c>
      <c r="PQI1" s="331" t="s">
        <v>11986</v>
      </c>
      <c r="PQJ1" s="331" t="s">
        <v>11987</v>
      </c>
      <c r="PQK1" s="331" t="s">
        <v>11988</v>
      </c>
      <c r="PQL1" s="331" t="s">
        <v>11989</v>
      </c>
      <c r="PQM1" s="331" t="s">
        <v>11990</v>
      </c>
      <c r="PQN1" s="331" t="s">
        <v>11991</v>
      </c>
      <c r="PQO1" s="331" t="s">
        <v>11992</v>
      </c>
      <c r="PQP1" s="331" t="s">
        <v>11993</v>
      </c>
      <c r="PQQ1" s="331" t="s">
        <v>11994</v>
      </c>
      <c r="PQR1" s="331" t="s">
        <v>11995</v>
      </c>
      <c r="PQS1" s="331" t="s">
        <v>11996</v>
      </c>
      <c r="PQT1" s="331" t="s">
        <v>11997</v>
      </c>
      <c r="PQU1" s="331" t="s">
        <v>11998</v>
      </c>
      <c r="PQV1" s="331" t="s">
        <v>11999</v>
      </c>
      <c r="PQW1" s="331" t="s">
        <v>12000</v>
      </c>
      <c r="PQX1" s="331" t="s">
        <v>12001</v>
      </c>
      <c r="PQY1" s="331" t="s">
        <v>12002</v>
      </c>
      <c r="PQZ1" s="331" t="s">
        <v>12003</v>
      </c>
      <c r="PRA1" s="331" t="s">
        <v>12004</v>
      </c>
      <c r="PRB1" s="331" t="s">
        <v>12005</v>
      </c>
      <c r="PRC1" s="331" t="s">
        <v>12006</v>
      </c>
      <c r="PRD1" s="331" t="s">
        <v>12007</v>
      </c>
      <c r="PRE1" s="331" t="s">
        <v>12008</v>
      </c>
      <c r="PRF1" s="331" t="s">
        <v>12009</v>
      </c>
      <c r="PRG1" s="331" t="s">
        <v>12010</v>
      </c>
      <c r="PRH1" s="331" t="s">
        <v>12011</v>
      </c>
      <c r="PRI1" s="331" t="s">
        <v>12012</v>
      </c>
      <c r="PRJ1" s="331" t="s">
        <v>12013</v>
      </c>
      <c r="PRK1" s="331" t="s">
        <v>12014</v>
      </c>
      <c r="PRL1" s="331" t="s">
        <v>12015</v>
      </c>
      <c r="PRM1" s="331" t="s">
        <v>12016</v>
      </c>
      <c r="PRN1" s="331" t="s">
        <v>12017</v>
      </c>
      <c r="PRO1" s="331" t="s">
        <v>12018</v>
      </c>
      <c r="PRP1" s="331" t="s">
        <v>12019</v>
      </c>
      <c r="PRQ1" s="331" t="s">
        <v>12020</v>
      </c>
      <c r="PRR1" s="331" t="s">
        <v>12021</v>
      </c>
      <c r="PRS1" s="331" t="s">
        <v>12022</v>
      </c>
      <c r="PRT1" s="331" t="s">
        <v>12023</v>
      </c>
      <c r="PRU1" s="331" t="s">
        <v>12024</v>
      </c>
      <c r="PRV1" s="331" t="s">
        <v>12025</v>
      </c>
      <c r="PRW1" s="331" t="s">
        <v>12026</v>
      </c>
      <c r="PRX1" s="331" t="s">
        <v>12027</v>
      </c>
      <c r="PRY1" s="331" t="s">
        <v>12028</v>
      </c>
      <c r="PRZ1" s="331" t="s">
        <v>12029</v>
      </c>
      <c r="PSA1" s="331" t="s">
        <v>12030</v>
      </c>
      <c r="PSB1" s="331" t="s">
        <v>12031</v>
      </c>
      <c r="PSC1" s="331" t="s">
        <v>12032</v>
      </c>
      <c r="PSD1" s="331" t="s">
        <v>12033</v>
      </c>
      <c r="PSE1" s="331" t="s">
        <v>12034</v>
      </c>
      <c r="PSF1" s="331" t="s">
        <v>12035</v>
      </c>
      <c r="PSG1" s="331" t="s">
        <v>12036</v>
      </c>
      <c r="PSH1" s="331" t="s">
        <v>12037</v>
      </c>
      <c r="PSI1" s="331" t="s">
        <v>12038</v>
      </c>
      <c r="PSJ1" s="331" t="s">
        <v>12039</v>
      </c>
      <c r="PSK1" s="331" t="s">
        <v>12040</v>
      </c>
      <c r="PSL1" s="331" t="s">
        <v>12041</v>
      </c>
      <c r="PSM1" s="331" t="s">
        <v>12042</v>
      </c>
      <c r="PSN1" s="331" t="s">
        <v>12043</v>
      </c>
      <c r="PSO1" s="331" t="s">
        <v>12044</v>
      </c>
      <c r="PSP1" s="331" t="s">
        <v>12045</v>
      </c>
      <c r="PSQ1" s="331" t="s">
        <v>12046</v>
      </c>
      <c r="PSR1" s="331" t="s">
        <v>12047</v>
      </c>
      <c r="PSS1" s="331" t="s">
        <v>12048</v>
      </c>
      <c r="PST1" s="331" t="s">
        <v>12049</v>
      </c>
      <c r="PSU1" s="331" t="s">
        <v>12050</v>
      </c>
      <c r="PSV1" s="331" t="s">
        <v>12051</v>
      </c>
      <c r="PSW1" s="331" t="s">
        <v>12052</v>
      </c>
      <c r="PSX1" s="331" t="s">
        <v>12053</v>
      </c>
      <c r="PSY1" s="331" t="s">
        <v>12054</v>
      </c>
      <c r="PSZ1" s="331" t="s">
        <v>12055</v>
      </c>
      <c r="PTA1" s="331" t="s">
        <v>12056</v>
      </c>
      <c r="PTB1" s="331" t="s">
        <v>12057</v>
      </c>
      <c r="PTC1" s="331" t="s">
        <v>12058</v>
      </c>
      <c r="PTD1" s="331" t="s">
        <v>12059</v>
      </c>
      <c r="PTE1" s="331" t="s">
        <v>12060</v>
      </c>
      <c r="PTF1" s="331" t="s">
        <v>12061</v>
      </c>
      <c r="PTG1" s="331" t="s">
        <v>12062</v>
      </c>
      <c r="PTH1" s="331" t="s">
        <v>12063</v>
      </c>
      <c r="PTI1" s="331" t="s">
        <v>12064</v>
      </c>
      <c r="PTJ1" s="331" t="s">
        <v>12065</v>
      </c>
      <c r="PTK1" s="331" t="s">
        <v>12066</v>
      </c>
      <c r="PTL1" s="331" t="s">
        <v>12067</v>
      </c>
      <c r="PTM1" s="331" t="s">
        <v>12068</v>
      </c>
      <c r="PTN1" s="331" t="s">
        <v>12069</v>
      </c>
      <c r="PTO1" s="331" t="s">
        <v>12070</v>
      </c>
      <c r="PTP1" s="331" t="s">
        <v>12071</v>
      </c>
      <c r="PTQ1" s="331" t="s">
        <v>12072</v>
      </c>
      <c r="PTR1" s="331" t="s">
        <v>12073</v>
      </c>
      <c r="PTS1" s="331" t="s">
        <v>12074</v>
      </c>
      <c r="PTT1" s="331" t="s">
        <v>12075</v>
      </c>
      <c r="PTU1" s="331" t="s">
        <v>12076</v>
      </c>
      <c r="PTV1" s="331" t="s">
        <v>12077</v>
      </c>
      <c r="PTW1" s="331" t="s">
        <v>12078</v>
      </c>
      <c r="PTX1" s="331" t="s">
        <v>12079</v>
      </c>
      <c r="PTY1" s="331" t="s">
        <v>12080</v>
      </c>
      <c r="PTZ1" s="331" t="s">
        <v>12081</v>
      </c>
      <c r="PUA1" s="331" t="s">
        <v>12082</v>
      </c>
      <c r="PUB1" s="331" t="s">
        <v>12083</v>
      </c>
      <c r="PUC1" s="331" t="s">
        <v>12084</v>
      </c>
      <c r="PUD1" s="331" t="s">
        <v>12085</v>
      </c>
      <c r="PUE1" s="331" t="s">
        <v>12086</v>
      </c>
      <c r="PUF1" s="331" t="s">
        <v>12087</v>
      </c>
      <c r="PUG1" s="331" t="s">
        <v>12088</v>
      </c>
      <c r="PUH1" s="331" t="s">
        <v>12089</v>
      </c>
      <c r="PUI1" s="331" t="s">
        <v>12090</v>
      </c>
      <c r="PUJ1" s="331" t="s">
        <v>12091</v>
      </c>
      <c r="PUK1" s="331" t="s">
        <v>12092</v>
      </c>
      <c r="PUL1" s="331" t="s">
        <v>12093</v>
      </c>
      <c r="PUM1" s="331" t="s">
        <v>12094</v>
      </c>
      <c r="PUN1" s="331" t="s">
        <v>12095</v>
      </c>
      <c r="PUO1" s="331" t="s">
        <v>12096</v>
      </c>
      <c r="PUP1" s="331" t="s">
        <v>12097</v>
      </c>
      <c r="PUQ1" s="331" t="s">
        <v>12098</v>
      </c>
      <c r="PUR1" s="331" t="s">
        <v>12099</v>
      </c>
      <c r="PUS1" s="331" t="s">
        <v>12100</v>
      </c>
      <c r="PUT1" s="331" t="s">
        <v>12101</v>
      </c>
      <c r="PUU1" s="331" t="s">
        <v>12102</v>
      </c>
      <c r="PUV1" s="331" t="s">
        <v>12103</v>
      </c>
      <c r="PUW1" s="331" t="s">
        <v>12104</v>
      </c>
      <c r="PUX1" s="331" t="s">
        <v>12105</v>
      </c>
      <c r="PUY1" s="331" t="s">
        <v>12106</v>
      </c>
      <c r="PUZ1" s="331" t="s">
        <v>12107</v>
      </c>
      <c r="PVA1" s="331" t="s">
        <v>12108</v>
      </c>
      <c r="PVB1" s="331" t="s">
        <v>12109</v>
      </c>
      <c r="PVC1" s="331" t="s">
        <v>12110</v>
      </c>
      <c r="PVD1" s="331" t="s">
        <v>12111</v>
      </c>
      <c r="PVE1" s="331" t="s">
        <v>12112</v>
      </c>
      <c r="PVF1" s="331" t="s">
        <v>12113</v>
      </c>
      <c r="PVG1" s="331" t="s">
        <v>12114</v>
      </c>
      <c r="PVH1" s="331" t="s">
        <v>12115</v>
      </c>
      <c r="PVI1" s="331" t="s">
        <v>12116</v>
      </c>
      <c r="PVJ1" s="331" t="s">
        <v>12117</v>
      </c>
      <c r="PVK1" s="331" t="s">
        <v>12118</v>
      </c>
      <c r="PVL1" s="331" t="s">
        <v>12119</v>
      </c>
      <c r="PVM1" s="331" t="s">
        <v>12120</v>
      </c>
      <c r="PVN1" s="331" t="s">
        <v>12121</v>
      </c>
      <c r="PVO1" s="331" t="s">
        <v>12122</v>
      </c>
      <c r="PVP1" s="331" t="s">
        <v>12123</v>
      </c>
      <c r="PVQ1" s="331" t="s">
        <v>12124</v>
      </c>
      <c r="PVR1" s="331" t="s">
        <v>12125</v>
      </c>
      <c r="PVS1" s="331" t="s">
        <v>12126</v>
      </c>
      <c r="PVT1" s="331" t="s">
        <v>12127</v>
      </c>
      <c r="PVU1" s="331" t="s">
        <v>12128</v>
      </c>
      <c r="PVV1" s="331" t="s">
        <v>12129</v>
      </c>
      <c r="PVW1" s="331" t="s">
        <v>12130</v>
      </c>
      <c r="PVX1" s="331" t="s">
        <v>12131</v>
      </c>
      <c r="PVY1" s="331" t="s">
        <v>12132</v>
      </c>
      <c r="PVZ1" s="331" t="s">
        <v>12133</v>
      </c>
      <c r="PWA1" s="331" t="s">
        <v>12134</v>
      </c>
      <c r="PWB1" s="331" t="s">
        <v>12135</v>
      </c>
      <c r="PWC1" s="331" t="s">
        <v>12136</v>
      </c>
      <c r="PWD1" s="331" t="s">
        <v>12137</v>
      </c>
      <c r="PWE1" s="331" t="s">
        <v>12138</v>
      </c>
      <c r="PWF1" s="331" t="s">
        <v>12139</v>
      </c>
      <c r="PWG1" s="331" t="s">
        <v>12140</v>
      </c>
      <c r="PWH1" s="331" t="s">
        <v>12141</v>
      </c>
      <c r="PWI1" s="331" t="s">
        <v>12142</v>
      </c>
      <c r="PWJ1" s="331" t="s">
        <v>12143</v>
      </c>
      <c r="PWK1" s="331" t="s">
        <v>12144</v>
      </c>
      <c r="PWL1" s="331" t="s">
        <v>12145</v>
      </c>
      <c r="PWM1" s="331" t="s">
        <v>12146</v>
      </c>
      <c r="PWN1" s="331" t="s">
        <v>12147</v>
      </c>
      <c r="PWO1" s="331" t="s">
        <v>12148</v>
      </c>
      <c r="PWP1" s="331" t="s">
        <v>12149</v>
      </c>
      <c r="PWQ1" s="331" t="s">
        <v>12150</v>
      </c>
      <c r="PWR1" s="331" t="s">
        <v>12151</v>
      </c>
      <c r="PWS1" s="331" t="s">
        <v>12152</v>
      </c>
      <c r="PWT1" s="331" t="s">
        <v>12153</v>
      </c>
      <c r="PWU1" s="331" t="s">
        <v>12154</v>
      </c>
      <c r="PWV1" s="331" t="s">
        <v>12155</v>
      </c>
      <c r="PWW1" s="331" t="s">
        <v>12156</v>
      </c>
      <c r="PWX1" s="331" t="s">
        <v>12157</v>
      </c>
      <c r="PWY1" s="331" t="s">
        <v>12158</v>
      </c>
      <c r="PWZ1" s="331" t="s">
        <v>12159</v>
      </c>
      <c r="PXA1" s="331" t="s">
        <v>12160</v>
      </c>
      <c r="PXB1" s="331" t="s">
        <v>12161</v>
      </c>
      <c r="PXC1" s="331" t="s">
        <v>12162</v>
      </c>
      <c r="PXD1" s="331" t="s">
        <v>12163</v>
      </c>
      <c r="PXE1" s="331" t="s">
        <v>12164</v>
      </c>
      <c r="PXF1" s="331" t="s">
        <v>12165</v>
      </c>
      <c r="PXG1" s="331" t="s">
        <v>12166</v>
      </c>
      <c r="PXH1" s="331" t="s">
        <v>12167</v>
      </c>
      <c r="PXI1" s="331" t="s">
        <v>12168</v>
      </c>
      <c r="PXJ1" s="331" t="s">
        <v>12169</v>
      </c>
      <c r="PXK1" s="331" t="s">
        <v>12170</v>
      </c>
      <c r="PXL1" s="331" t="s">
        <v>12171</v>
      </c>
      <c r="PXM1" s="331" t="s">
        <v>12172</v>
      </c>
      <c r="PXN1" s="331" t="s">
        <v>12173</v>
      </c>
      <c r="PXO1" s="331" t="s">
        <v>12174</v>
      </c>
      <c r="PXP1" s="331" t="s">
        <v>12175</v>
      </c>
      <c r="PXQ1" s="331" t="s">
        <v>12176</v>
      </c>
      <c r="PXR1" s="331" t="s">
        <v>12177</v>
      </c>
      <c r="PXS1" s="331" t="s">
        <v>12178</v>
      </c>
      <c r="PXT1" s="331" t="s">
        <v>12179</v>
      </c>
      <c r="PXU1" s="331" t="s">
        <v>12180</v>
      </c>
      <c r="PXV1" s="331" t="s">
        <v>12181</v>
      </c>
      <c r="PXW1" s="331" t="s">
        <v>12182</v>
      </c>
      <c r="PXX1" s="331" t="s">
        <v>12183</v>
      </c>
      <c r="PXY1" s="331" t="s">
        <v>12184</v>
      </c>
      <c r="PXZ1" s="331" t="s">
        <v>12185</v>
      </c>
      <c r="PYA1" s="331" t="s">
        <v>12186</v>
      </c>
      <c r="PYB1" s="331" t="s">
        <v>12187</v>
      </c>
      <c r="PYC1" s="331" t="s">
        <v>12188</v>
      </c>
      <c r="PYD1" s="331" t="s">
        <v>12189</v>
      </c>
      <c r="PYE1" s="331" t="s">
        <v>12190</v>
      </c>
      <c r="PYF1" s="331" t="s">
        <v>12191</v>
      </c>
      <c r="PYG1" s="331" t="s">
        <v>12192</v>
      </c>
      <c r="PYH1" s="331" t="s">
        <v>12193</v>
      </c>
      <c r="PYI1" s="331" t="s">
        <v>12194</v>
      </c>
      <c r="PYJ1" s="331" t="s">
        <v>12195</v>
      </c>
      <c r="PYK1" s="331" t="s">
        <v>12196</v>
      </c>
      <c r="PYL1" s="331" t="s">
        <v>12197</v>
      </c>
      <c r="PYM1" s="331" t="s">
        <v>12198</v>
      </c>
      <c r="PYN1" s="331" t="s">
        <v>12199</v>
      </c>
      <c r="PYO1" s="331" t="s">
        <v>12200</v>
      </c>
      <c r="PYP1" s="331" t="s">
        <v>12201</v>
      </c>
      <c r="PYQ1" s="331" t="s">
        <v>12202</v>
      </c>
      <c r="PYR1" s="331" t="s">
        <v>12203</v>
      </c>
      <c r="PYS1" s="331" t="s">
        <v>12204</v>
      </c>
      <c r="PYT1" s="331" t="s">
        <v>12205</v>
      </c>
      <c r="PYU1" s="331" t="s">
        <v>12206</v>
      </c>
      <c r="PYV1" s="331" t="s">
        <v>12207</v>
      </c>
      <c r="PYW1" s="331" t="s">
        <v>12208</v>
      </c>
      <c r="PYX1" s="331" t="s">
        <v>12209</v>
      </c>
      <c r="PYY1" s="331" t="s">
        <v>12210</v>
      </c>
      <c r="PYZ1" s="331" t="s">
        <v>12211</v>
      </c>
      <c r="PZA1" s="331" t="s">
        <v>12212</v>
      </c>
      <c r="PZB1" s="331" t="s">
        <v>12213</v>
      </c>
      <c r="PZC1" s="331" t="s">
        <v>12214</v>
      </c>
      <c r="PZD1" s="331" t="s">
        <v>12215</v>
      </c>
      <c r="PZE1" s="331" t="s">
        <v>12216</v>
      </c>
      <c r="PZF1" s="331" t="s">
        <v>12217</v>
      </c>
      <c r="PZG1" s="331" t="s">
        <v>12218</v>
      </c>
      <c r="PZH1" s="331" t="s">
        <v>12219</v>
      </c>
      <c r="PZI1" s="331" t="s">
        <v>12220</v>
      </c>
      <c r="PZJ1" s="331" t="s">
        <v>12221</v>
      </c>
      <c r="PZK1" s="331" t="s">
        <v>12222</v>
      </c>
      <c r="PZL1" s="331" t="s">
        <v>12223</v>
      </c>
      <c r="PZM1" s="331" t="s">
        <v>12224</v>
      </c>
      <c r="PZN1" s="331" t="s">
        <v>12225</v>
      </c>
      <c r="PZO1" s="331" t="s">
        <v>12226</v>
      </c>
      <c r="PZP1" s="331" t="s">
        <v>12227</v>
      </c>
      <c r="PZQ1" s="331" t="s">
        <v>12228</v>
      </c>
      <c r="PZR1" s="331" t="s">
        <v>12229</v>
      </c>
      <c r="PZS1" s="331" t="s">
        <v>12230</v>
      </c>
      <c r="PZT1" s="331" t="s">
        <v>12231</v>
      </c>
      <c r="PZU1" s="331" t="s">
        <v>12232</v>
      </c>
      <c r="PZV1" s="331" t="s">
        <v>12233</v>
      </c>
      <c r="PZW1" s="331" t="s">
        <v>12234</v>
      </c>
      <c r="PZX1" s="331" t="s">
        <v>12235</v>
      </c>
      <c r="PZY1" s="331" t="s">
        <v>12236</v>
      </c>
      <c r="PZZ1" s="331" t="s">
        <v>12237</v>
      </c>
      <c r="QAA1" s="331" t="s">
        <v>12238</v>
      </c>
      <c r="QAB1" s="331" t="s">
        <v>12239</v>
      </c>
      <c r="QAC1" s="331" t="s">
        <v>12240</v>
      </c>
      <c r="QAD1" s="331" t="s">
        <v>12241</v>
      </c>
      <c r="QAE1" s="331" t="s">
        <v>12242</v>
      </c>
      <c r="QAF1" s="331" t="s">
        <v>12243</v>
      </c>
      <c r="QAG1" s="331" t="s">
        <v>12244</v>
      </c>
      <c r="QAH1" s="331" t="s">
        <v>12245</v>
      </c>
      <c r="QAI1" s="331" t="s">
        <v>12246</v>
      </c>
      <c r="QAJ1" s="331" t="s">
        <v>12247</v>
      </c>
      <c r="QAK1" s="331" t="s">
        <v>12248</v>
      </c>
      <c r="QAL1" s="331" t="s">
        <v>12249</v>
      </c>
      <c r="QAM1" s="331" t="s">
        <v>12250</v>
      </c>
      <c r="QAN1" s="331" t="s">
        <v>12251</v>
      </c>
      <c r="QAO1" s="331" t="s">
        <v>12252</v>
      </c>
      <c r="QAP1" s="331" t="s">
        <v>12253</v>
      </c>
      <c r="QAQ1" s="331" t="s">
        <v>12254</v>
      </c>
      <c r="QAR1" s="331" t="s">
        <v>12255</v>
      </c>
      <c r="QAS1" s="331" t="s">
        <v>12256</v>
      </c>
      <c r="QAT1" s="331" t="s">
        <v>12257</v>
      </c>
      <c r="QAU1" s="331" t="s">
        <v>12258</v>
      </c>
      <c r="QAV1" s="331" t="s">
        <v>12259</v>
      </c>
      <c r="QAW1" s="331" t="s">
        <v>12260</v>
      </c>
      <c r="QAX1" s="331" t="s">
        <v>12261</v>
      </c>
      <c r="QAY1" s="331" t="s">
        <v>12262</v>
      </c>
      <c r="QAZ1" s="331" t="s">
        <v>12263</v>
      </c>
      <c r="QBA1" s="331" t="s">
        <v>12264</v>
      </c>
      <c r="QBB1" s="331" t="s">
        <v>12265</v>
      </c>
      <c r="QBC1" s="331" t="s">
        <v>12266</v>
      </c>
      <c r="QBD1" s="331" t="s">
        <v>12267</v>
      </c>
      <c r="QBE1" s="331" t="s">
        <v>12268</v>
      </c>
      <c r="QBF1" s="331" t="s">
        <v>12269</v>
      </c>
      <c r="QBG1" s="331" t="s">
        <v>12270</v>
      </c>
      <c r="QBH1" s="331" t="s">
        <v>12271</v>
      </c>
      <c r="QBI1" s="331" t="s">
        <v>12272</v>
      </c>
      <c r="QBJ1" s="331" t="s">
        <v>12273</v>
      </c>
      <c r="QBK1" s="331" t="s">
        <v>12274</v>
      </c>
      <c r="QBL1" s="331" t="s">
        <v>12275</v>
      </c>
      <c r="QBM1" s="331" t="s">
        <v>12276</v>
      </c>
      <c r="QBN1" s="331" t="s">
        <v>12277</v>
      </c>
      <c r="QBO1" s="331" t="s">
        <v>12278</v>
      </c>
      <c r="QBP1" s="331" t="s">
        <v>12279</v>
      </c>
      <c r="QBQ1" s="331" t="s">
        <v>12280</v>
      </c>
      <c r="QBR1" s="331" t="s">
        <v>12281</v>
      </c>
      <c r="QBS1" s="331" t="s">
        <v>12282</v>
      </c>
      <c r="QBT1" s="331" t="s">
        <v>12283</v>
      </c>
      <c r="QBU1" s="331" t="s">
        <v>12284</v>
      </c>
      <c r="QBV1" s="331" t="s">
        <v>12285</v>
      </c>
      <c r="QBW1" s="331" t="s">
        <v>12286</v>
      </c>
      <c r="QBX1" s="331" t="s">
        <v>12287</v>
      </c>
      <c r="QBY1" s="331" t="s">
        <v>12288</v>
      </c>
      <c r="QBZ1" s="331" t="s">
        <v>12289</v>
      </c>
      <c r="QCA1" s="331" t="s">
        <v>12290</v>
      </c>
      <c r="QCB1" s="331" t="s">
        <v>12291</v>
      </c>
      <c r="QCC1" s="331" t="s">
        <v>12292</v>
      </c>
      <c r="QCD1" s="331" t="s">
        <v>12293</v>
      </c>
      <c r="QCE1" s="331" t="s">
        <v>12294</v>
      </c>
      <c r="QCF1" s="331" t="s">
        <v>12295</v>
      </c>
      <c r="QCG1" s="331" t="s">
        <v>12296</v>
      </c>
      <c r="QCH1" s="331" t="s">
        <v>12297</v>
      </c>
      <c r="QCI1" s="331" t="s">
        <v>12298</v>
      </c>
      <c r="QCJ1" s="331" t="s">
        <v>12299</v>
      </c>
      <c r="QCK1" s="331" t="s">
        <v>12300</v>
      </c>
      <c r="QCL1" s="331" t="s">
        <v>12301</v>
      </c>
      <c r="QCM1" s="331" t="s">
        <v>12302</v>
      </c>
      <c r="QCN1" s="331" t="s">
        <v>12303</v>
      </c>
      <c r="QCO1" s="331" t="s">
        <v>12304</v>
      </c>
      <c r="QCP1" s="331" t="s">
        <v>12305</v>
      </c>
      <c r="QCQ1" s="331" t="s">
        <v>12306</v>
      </c>
      <c r="QCR1" s="331" t="s">
        <v>12307</v>
      </c>
      <c r="QCS1" s="331" t="s">
        <v>12308</v>
      </c>
      <c r="QCT1" s="331" t="s">
        <v>12309</v>
      </c>
      <c r="QCU1" s="331" t="s">
        <v>12310</v>
      </c>
      <c r="QCV1" s="331" t="s">
        <v>12311</v>
      </c>
      <c r="QCW1" s="331" t="s">
        <v>12312</v>
      </c>
      <c r="QCX1" s="331" t="s">
        <v>12313</v>
      </c>
      <c r="QCY1" s="331" t="s">
        <v>12314</v>
      </c>
      <c r="QCZ1" s="331" t="s">
        <v>12315</v>
      </c>
      <c r="QDA1" s="331" t="s">
        <v>12316</v>
      </c>
      <c r="QDB1" s="331" t="s">
        <v>12317</v>
      </c>
      <c r="QDC1" s="331" t="s">
        <v>12318</v>
      </c>
      <c r="QDD1" s="331" t="s">
        <v>12319</v>
      </c>
      <c r="QDE1" s="331" t="s">
        <v>12320</v>
      </c>
      <c r="QDF1" s="331" t="s">
        <v>12321</v>
      </c>
      <c r="QDG1" s="331" t="s">
        <v>12322</v>
      </c>
      <c r="QDH1" s="331" t="s">
        <v>12323</v>
      </c>
      <c r="QDI1" s="331" t="s">
        <v>12324</v>
      </c>
      <c r="QDJ1" s="331" t="s">
        <v>12325</v>
      </c>
      <c r="QDK1" s="331" t="s">
        <v>12326</v>
      </c>
      <c r="QDL1" s="331" t="s">
        <v>12327</v>
      </c>
      <c r="QDM1" s="331" t="s">
        <v>12328</v>
      </c>
      <c r="QDN1" s="331" t="s">
        <v>12329</v>
      </c>
      <c r="QDO1" s="331" t="s">
        <v>12330</v>
      </c>
      <c r="QDP1" s="331" t="s">
        <v>12331</v>
      </c>
      <c r="QDQ1" s="331" t="s">
        <v>12332</v>
      </c>
      <c r="QDR1" s="331" t="s">
        <v>12333</v>
      </c>
      <c r="QDS1" s="331" t="s">
        <v>12334</v>
      </c>
      <c r="QDT1" s="331" t="s">
        <v>12335</v>
      </c>
      <c r="QDU1" s="331" t="s">
        <v>12336</v>
      </c>
      <c r="QDV1" s="331" t="s">
        <v>12337</v>
      </c>
      <c r="QDW1" s="331" t="s">
        <v>12338</v>
      </c>
      <c r="QDX1" s="331" t="s">
        <v>12339</v>
      </c>
      <c r="QDY1" s="331" t="s">
        <v>12340</v>
      </c>
      <c r="QDZ1" s="331" t="s">
        <v>12341</v>
      </c>
      <c r="QEA1" s="331" t="s">
        <v>12342</v>
      </c>
      <c r="QEB1" s="331" t="s">
        <v>12343</v>
      </c>
      <c r="QEC1" s="331" t="s">
        <v>12344</v>
      </c>
      <c r="QED1" s="331" t="s">
        <v>12345</v>
      </c>
      <c r="QEE1" s="331" t="s">
        <v>12346</v>
      </c>
      <c r="QEF1" s="331" t="s">
        <v>12347</v>
      </c>
      <c r="QEG1" s="331" t="s">
        <v>12348</v>
      </c>
      <c r="QEH1" s="331" t="s">
        <v>12349</v>
      </c>
      <c r="QEI1" s="331" t="s">
        <v>12350</v>
      </c>
      <c r="QEJ1" s="331" t="s">
        <v>12351</v>
      </c>
      <c r="QEK1" s="331" t="s">
        <v>12352</v>
      </c>
      <c r="QEL1" s="331" t="s">
        <v>12353</v>
      </c>
      <c r="QEM1" s="331" t="s">
        <v>12354</v>
      </c>
      <c r="QEN1" s="331" t="s">
        <v>12355</v>
      </c>
      <c r="QEO1" s="331" t="s">
        <v>12356</v>
      </c>
      <c r="QEP1" s="331" t="s">
        <v>12357</v>
      </c>
      <c r="QEQ1" s="331" t="s">
        <v>12358</v>
      </c>
      <c r="QER1" s="331" t="s">
        <v>12359</v>
      </c>
      <c r="QES1" s="331" t="s">
        <v>12360</v>
      </c>
      <c r="QET1" s="331" t="s">
        <v>12361</v>
      </c>
      <c r="QEU1" s="331" t="s">
        <v>12362</v>
      </c>
      <c r="QEV1" s="331" t="s">
        <v>12363</v>
      </c>
      <c r="QEW1" s="331" t="s">
        <v>12364</v>
      </c>
      <c r="QEX1" s="331" t="s">
        <v>12365</v>
      </c>
      <c r="QEY1" s="331" t="s">
        <v>12366</v>
      </c>
      <c r="QEZ1" s="331" t="s">
        <v>12367</v>
      </c>
      <c r="QFA1" s="331" t="s">
        <v>12368</v>
      </c>
      <c r="QFB1" s="331" t="s">
        <v>12369</v>
      </c>
      <c r="QFC1" s="331" t="s">
        <v>12370</v>
      </c>
      <c r="QFD1" s="331" t="s">
        <v>12371</v>
      </c>
      <c r="QFE1" s="331" t="s">
        <v>12372</v>
      </c>
      <c r="QFF1" s="331" t="s">
        <v>12373</v>
      </c>
      <c r="QFG1" s="331" t="s">
        <v>12374</v>
      </c>
      <c r="QFH1" s="331" t="s">
        <v>12375</v>
      </c>
      <c r="QFI1" s="331" t="s">
        <v>12376</v>
      </c>
      <c r="QFJ1" s="331" t="s">
        <v>12377</v>
      </c>
      <c r="QFK1" s="331" t="s">
        <v>12378</v>
      </c>
      <c r="QFL1" s="331" t="s">
        <v>12379</v>
      </c>
      <c r="QFM1" s="331" t="s">
        <v>12380</v>
      </c>
      <c r="QFN1" s="331" t="s">
        <v>12381</v>
      </c>
      <c r="QFO1" s="331" t="s">
        <v>12382</v>
      </c>
      <c r="QFP1" s="331" t="s">
        <v>12383</v>
      </c>
      <c r="QFQ1" s="331" t="s">
        <v>12384</v>
      </c>
      <c r="QFR1" s="331" t="s">
        <v>12385</v>
      </c>
      <c r="QFS1" s="331" t="s">
        <v>12386</v>
      </c>
      <c r="QFT1" s="331" t="s">
        <v>12387</v>
      </c>
      <c r="QFU1" s="331" t="s">
        <v>12388</v>
      </c>
      <c r="QFV1" s="331" t="s">
        <v>12389</v>
      </c>
      <c r="QFW1" s="331" t="s">
        <v>12390</v>
      </c>
      <c r="QFX1" s="331" t="s">
        <v>12391</v>
      </c>
      <c r="QFY1" s="331" t="s">
        <v>12392</v>
      </c>
      <c r="QFZ1" s="331" t="s">
        <v>12393</v>
      </c>
      <c r="QGA1" s="331" t="s">
        <v>12394</v>
      </c>
      <c r="QGB1" s="331" t="s">
        <v>12395</v>
      </c>
      <c r="QGC1" s="331" t="s">
        <v>12396</v>
      </c>
      <c r="QGD1" s="331" t="s">
        <v>12397</v>
      </c>
      <c r="QGE1" s="331" t="s">
        <v>12398</v>
      </c>
      <c r="QGF1" s="331" t="s">
        <v>12399</v>
      </c>
      <c r="QGG1" s="331" t="s">
        <v>12400</v>
      </c>
      <c r="QGH1" s="331" t="s">
        <v>12401</v>
      </c>
      <c r="QGI1" s="331" t="s">
        <v>12402</v>
      </c>
      <c r="QGJ1" s="331" t="s">
        <v>12403</v>
      </c>
      <c r="QGK1" s="331" t="s">
        <v>12404</v>
      </c>
      <c r="QGL1" s="331" t="s">
        <v>12405</v>
      </c>
      <c r="QGM1" s="331" t="s">
        <v>12406</v>
      </c>
      <c r="QGN1" s="331" t="s">
        <v>12407</v>
      </c>
      <c r="QGO1" s="331" t="s">
        <v>12408</v>
      </c>
      <c r="QGP1" s="331" t="s">
        <v>12409</v>
      </c>
      <c r="QGQ1" s="331" t="s">
        <v>12410</v>
      </c>
      <c r="QGR1" s="331" t="s">
        <v>12411</v>
      </c>
      <c r="QGS1" s="331" t="s">
        <v>12412</v>
      </c>
      <c r="QGT1" s="331" t="s">
        <v>12413</v>
      </c>
      <c r="QGU1" s="331" t="s">
        <v>12414</v>
      </c>
      <c r="QGV1" s="331" t="s">
        <v>12415</v>
      </c>
      <c r="QGW1" s="331" t="s">
        <v>12416</v>
      </c>
      <c r="QGX1" s="331" t="s">
        <v>12417</v>
      </c>
      <c r="QGY1" s="331" t="s">
        <v>12418</v>
      </c>
      <c r="QGZ1" s="331" t="s">
        <v>12419</v>
      </c>
      <c r="QHA1" s="331" t="s">
        <v>12420</v>
      </c>
      <c r="QHB1" s="331" t="s">
        <v>12421</v>
      </c>
      <c r="QHC1" s="331" t="s">
        <v>12422</v>
      </c>
      <c r="QHD1" s="331" t="s">
        <v>12423</v>
      </c>
      <c r="QHE1" s="331" t="s">
        <v>12424</v>
      </c>
      <c r="QHF1" s="331" t="s">
        <v>12425</v>
      </c>
      <c r="QHG1" s="331" t="s">
        <v>12426</v>
      </c>
      <c r="QHH1" s="331" t="s">
        <v>12427</v>
      </c>
      <c r="QHI1" s="331" t="s">
        <v>12428</v>
      </c>
      <c r="QHJ1" s="331" t="s">
        <v>12429</v>
      </c>
      <c r="QHK1" s="331" t="s">
        <v>12430</v>
      </c>
      <c r="QHL1" s="331" t="s">
        <v>12431</v>
      </c>
      <c r="QHM1" s="331" t="s">
        <v>12432</v>
      </c>
      <c r="QHN1" s="331" t="s">
        <v>12433</v>
      </c>
      <c r="QHO1" s="331" t="s">
        <v>12434</v>
      </c>
      <c r="QHP1" s="331" t="s">
        <v>12435</v>
      </c>
      <c r="QHQ1" s="331" t="s">
        <v>12436</v>
      </c>
      <c r="QHR1" s="331" t="s">
        <v>12437</v>
      </c>
      <c r="QHS1" s="331" t="s">
        <v>12438</v>
      </c>
      <c r="QHT1" s="331" t="s">
        <v>12439</v>
      </c>
      <c r="QHU1" s="331" t="s">
        <v>12440</v>
      </c>
      <c r="QHV1" s="331" t="s">
        <v>12441</v>
      </c>
      <c r="QHW1" s="331" t="s">
        <v>12442</v>
      </c>
      <c r="QHX1" s="331" t="s">
        <v>12443</v>
      </c>
      <c r="QHY1" s="331" t="s">
        <v>12444</v>
      </c>
      <c r="QHZ1" s="331" t="s">
        <v>12445</v>
      </c>
      <c r="QIA1" s="331" t="s">
        <v>12446</v>
      </c>
      <c r="QIB1" s="331" t="s">
        <v>12447</v>
      </c>
      <c r="QIC1" s="331" t="s">
        <v>12448</v>
      </c>
      <c r="QID1" s="331" t="s">
        <v>12449</v>
      </c>
      <c r="QIE1" s="331" t="s">
        <v>12450</v>
      </c>
      <c r="QIF1" s="331" t="s">
        <v>12451</v>
      </c>
      <c r="QIG1" s="331" t="s">
        <v>12452</v>
      </c>
      <c r="QIH1" s="331" t="s">
        <v>12453</v>
      </c>
      <c r="QII1" s="331" t="s">
        <v>12454</v>
      </c>
      <c r="QIJ1" s="331" t="s">
        <v>12455</v>
      </c>
      <c r="QIK1" s="331" t="s">
        <v>12456</v>
      </c>
      <c r="QIL1" s="331" t="s">
        <v>12457</v>
      </c>
      <c r="QIM1" s="331" t="s">
        <v>12458</v>
      </c>
      <c r="QIN1" s="331" t="s">
        <v>12459</v>
      </c>
      <c r="QIO1" s="331" t="s">
        <v>12460</v>
      </c>
      <c r="QIP1" s="331" t="s">
        <v>12461</v>
      </c>
      <c r="QIQ1" s="331" t="s">
        <v>12462</v>
      </c>
      <c r="QIR1" s="331" t="s">
        <v>12463</v>
      </c>
      <c r="QIS1" s="331" t="s">
        <v>12464</v>
      </c>
      <c r="QIT1" s="331" t="s">
        <v>12465</v>
      </c>
      <c r="QIU1" s="331" t="s">
        <v>12466</v>
      </c>
      <c r="QIV1" s="331" t="s">
        <v>12467</v>
      </c>
      <c r="QIW1" s="331" t="s">
        <v>12468</v>
      </c>
      <c r="QIX1" s="331" t="s">
        <v>12469</v>
      </c>
      <c r="QIY1" s="331" t="s">
        <v>12470</v>
      </c>
      <c r="QIZ1" s="331" t="s">
        <v>12471</v>
      </c>
      <c r="QJA1" s="331" t="s">
        <v>12472</v>
      </c>
      <c r="QJB1" s="331" t="s">
        <v>12473</v>
      </c>
      <c r="QJC1" s="331" t="s">
        <v>12474</v>
      </c>
      <c r="QJD1" s="331" t="s">
        <v>12475</v>
      </c>
      <c r="QJE1" s="331" t="s">
        <v>12476</v>
      </c>
      <c r="QJF1" s="331" t="s">
        <v>12477</v>
      </c>
      <c r="QJG1" s="331" t="s">
        <v>12478</v>
      </c>
      <c r="QJH1" s="331" t="s">
        <v>12479</v>
      </c>
      <c r="QJI1" s="331" t="s">
        <v>12480</v>
      </c>
      <c r="QJJ1" s="331" t="s">
        <v>12481</v>
      </c>
      <c r="QJK1" s="331" t="s">
        <v>12482</v>
      </c>
      <c r="QJL1" s="331" t="s">
        <v>12483</v>
      </c>
      <c r="QJM1" s="331" t="s">
        <v>12484</v>
      </c>
      <c r="QJN1" s="331" t="s">
        <v>12485</v>
      </c>
      <c r="QJO1" s="331" t="s">
        <v>12486</v>
      </c>
      <c r="QJP1" s="331" t="s">
        <v>12487</v>
      </c>
      <c r="QJQ1" s="331" t="s">
        <v>12488</v>
      </c>
      <c r="QJR1" s="331" t="s">
        <v>12489</v>
      </c>
      <c r="QJS1" s="331" t="s">
        <v>12490</v>
      </c>
      <c r="QJT1" s="331" t="s">
        <v>12491</v>
      </c>
      <c r="QJU1" s="331" t="s">
        <v>12492</v>
      </c>
      <c r="QJV1" s="331" t="s">
        <v>12493</v>
      </c>
      <c r="QJW1" s="331" t="s">
        <v>12494</v>
      </c>
      <c r="QJX1" s="331" t="s">
        <v>12495</v>
      </c>
      <c r="QJY1" s="331" t="s">
        <v>12496</v>
      </c>
      <c r="QJZ1" s="331" t="s">
        <v>12497</v>
      </c>
      <c r="QKA1" s="331" t="s">
        <v>12498</v>
      </c>
      <c r="QKB1" s="331" t="s">
        <v>12499</v>
      </c>
      <c r="QKC1" s="331" t="s">
        <v>12500</v>
      </c>
      <c r="QKD1" s="331" t="s">
        <v>12501</v>
      </c>
      <c r="QKE1" s="331" t="s">
        <v>12502</v>
      </c>
      <c r="QKF1" s="331" t="s">
        <v>12503</v>
      </c>
      <c r="QKG1" s="331" t="s">
        <v>12504</v>
      </c>
      <c r="QKH1" s="331" t="s">
        <v>12505</v>
      </c>
      <c r="QKI1" s="331" t="s">
        <v>12506</v>
      </c>
      <c r="QKJ1" s="331" t="s">
        <v>12507</v>
      </c>
      <c r="QKK1" s="331" t="s">
        <v>12508</v>
      </c>
      <c r="QKL1" s="331" t="s">
        <v>12509</v>
      </c>
      <c r="QKM1" s="331" t="s">
        <v>12510</v>
      </c>
      <c r="QKN1" s="331" t="s">
        <v>12511</v>
      </c>
      <c r="QKO1" s="331" t="s">
        <v>12512</v>
      </c>
      <c r="QKP1" s="331" t="s">
        <v>12513</v>
      </c>
      <c r="QKQ1" s="331" t="s">
        <v>12514</v>
      </c>
      <c r="QKR1" s="331" t="s">
        <v>12515</v>
      </c>
      <c r="QKS1" s="331" t="s">
        <v>12516</v>
      </c>
      <c r="QKT1" s="331" t="s">
        <v>12517</v>
      </c>
      <c r="QKU1" s="331" t="s">
        <v>12518</v>
      </c>
      <c r="QKV1" s="331" t="s">
        <v>12519</v>
      </c>
      <c r="QKW1" s="331" t="s">
        <v>12520</v>
      </c>
      <c r="QKX1" s="331" t="s">
        <v>12521</v>
      </c>
      <c r="QKY1" s="331" t="s">
        <v>12522</v>
      </c>
      <c r="QKZ1" s="331" t="s">
        <v>12523</v>
      </c>
      <c r="QLA1" s="331" t="s">
        <v>12524</v>
      </c>
      <c r="QLB1" s="331" t="s">
        <v>12525</v>
      </c>
      <c r="QLC1" s="331" t="s">
        <v>12526</v>
      </c>
      <c r="QLD1" s="331" t="s">
        <v>12527</v>
      </c>
      <c r="QLE1" s="331" t="s">
        <v>12528</v>
      </c>
      <c r="QLF1" s="331" t="s">
        <v>12529</v>
      </c>
      <c r="QLG1" s="331" t="s">
        <v>12530</v>
      </c>
      <c r="QLH1" s="331" t="s">
        <v>12531</v>
      </c>
      <c r="QLI1" s="331" t="s">
        <v>12532</v>
      </c>
      <c r="QLJ1" s="331" t="s">
        <v>12533</v>
      </c>
      <c r="QLK1" s="331" t="s">
        <v>12534</v>
      </c>
      <c r="QLL1" s="331" t="s">
        <v>12535</v>
      </c>
      <c r="QLM1" s="331" t="s">
        <v>12536</v>
      </c>
      <c r="QLN1" s="331" t="s">
        <v>12537</v>
      </c>
      <c r="QLO1" s="331" t="s">
        <v>12538</v>
      </c>
      <c r="QLP1" s="331" t="s">
        <v>12539</v>
      </c>
      <c r="QLQ1" s="331" t="s">
        <v>12540</v>
      </c>
      <c r="QLR1" s="331" t="s">
        <v>12541</v>
      </c>
      <c r="QLS1" s="331" t="s">
        <v>12542</v>
      </c>
      <c r="QLT1" s="331" t="s">
        <v>12543</v>
      </c>
      <c r="QLU1" s="331" t="s">
        <v>12544</v>
      </c>
      <c r="QLV1" s="331" t="s">
        <v>12545</v>
      </c>
      <c r="QLW1" s="331" t="s">
        <v>12546</v>
      </c>
      <c r="QLX1" s="331" t="s">
        <v>12547</v>
      </c>
      <c r="QLY1" s="331" t="s">
        <v>12548</v>
      </c>
      <c r="QLZ1" s="331" t="s">
        <v>12549</v>
      </c>
      <c r="QMA1" s="331" t="s">
        <v>12550</v>
      </c>
      <c r="QMB1" s="331" t="s">
        <v>12551</v>
      </c>
      <c r="QMC1" s="331" t="s">
        <v>12552</v>
      </c>
      <c r="QMD1" s="331" t="s">
        <v>12553</v>
      </c>
      <c r="QME1" s="331" t="s">
        <v>12554</v>
      </c>
      <c r="QMF1" s="331" t="s">
        <v>12555</v>
      </c>
      <c r="QMG1" s="331" t="s">
        <v>12556</v>
      </c>
      <c r="QMH1" s="331" t="s">
        <v>12557</v>
      </c>
      <c r="QMI1" s="331" t="s">
        <v>12558</v>
      </c>
      <c r="QMJ1" s="331" t="s">
        <v>12559</v>
      </c>
      <c r="QMK1" s="331" t="s">
        <v>12560</v>
      </c>
      <c r="QML1" s="331" t="s">
        <v>12561</v>
      </c>
      <c r="QMM1" s="331" t="s">
        <v>12562</v>
      </c>
      <c r="QMN1" s="331" t="s">
        <v>12563</v>
      </c>
      <c r="QMO1" s="331" t="s">
        <v>12564</v>
      </c>
      <c r="QMP1" s="331" t="s">
        <v>12565</v>
      </c>
      <c r="QMQ1" s="331" t="s">
        <v>12566</v>
      </c>
      <c r="QMR1" s="331" t="s">
        <v>12567</v>
      </c>
      <c r="QMS1" s="331" t="s">
        <v>12568</v>
      </c>
      <c r="QMT1" s="331" t="s">
        <v>12569</v>
      </c>
      <c r="QMU1" s="331" t="s">
        <v>12570</v>
      </c>
      <c r="QMV1" s="331" t="s">
        <v>12571</v>
      </c>
      <c r="QMW1" s="331" t="s">
        <v>12572</v>
      </c>
      <c r="QMX1" s="331" t="s">
        <v>12573</v>
      </c>
      <c r="QMY1" s="331" t="s">
        <v>12574</v>
      </c>
      <c r="QMZ1" s="331" t="s">
        <v>12575</v>
      </c>
      <c r="QNA1" s="331" t="s">
        <v>12576</v>
      </c>
      <c r="QNB1" s="331" t="s">
        <v>12577</v>
      </c>
      <c r="QNC1" s="331" t="s">
        <v>12578</v>
      </c>
      <c r="QND1" s="331" t="s">
        <v>12579</v>
      </c>
      <c r="QNE1" s="331" t="s">
        <v>12580</v>
      </c>
      <c r="QNF1" s="331" t="s">
        <v>12581</v>
      </c>
      <c r="QNG1" s="331" t="s">
        <v>12582</v>
      </c>
      <c r="QNH1" s="331" t="s">
        <v>12583</v>
      </c>
      <c r="QNI1" s="331" t="s">
        <v>12584</v>
      </c>
      <c r="QNJ1" s="331" t="s">
        <v>12585</v>
      </c>
      <c r="QNK1" s="331" t="s">
        <v>12586</v>
      </c>
      <c r="QNL1" s="331" t="s">
        <v>12587</v>
      </c>
      <c r="QNM1" s="331" t="s">
        <v>12588</v>
      </c>
      <c r="QNN1" s="331" t="s">
        <v>12589</v>
      </c>
      <c r="QNO1" s="331" t="s">
        <v>12590</v>
      </c>
      <c r="QNP1" s="331" t="s">
        <v>12591</v>
      </c>
      <c r="QNQ1" s="331" t="s">
        <v>12592</v>
      </c>
      <c r="QNR1" s="331" t="s">
        <v>12593</v>
      </c>
      <c r="QNS1" s="331" t="s">
        <v>12594</v>
      </c>
      <c r="QNT1" s="331" t="s">
        <v>12595</v>
      </c>
      <c r="QNU1" s="331" t="s">
        <v>12596</v>
      </c>
      <c r="QNV1" s="331" t="s">
        <v>12597</v>
      </c>
      <c r="QNW1" s="331" t="s">
        <v>12598</v>
      </c>
      <c r="QNX1" s="331" t="s">
        <v>12599</v>
      </c>
      <c r="QNY1" s="331" t="s">
        <v>12600</v>
      </c>
      <c r="QNZ1" s="331" t="s">
        <v>12601</v>
      </c>
      <c r="QOA1" s="331" t="s">
        <v>12602</v>
      </c>
      <c r="QOB1" s="331" t="s">
        <v>12603</v>
      </c>
      <c r="QOC1" s="331" t="s">
        <v>12604</v>
      </c>
      <c r="QOD1" s="331" t="s">
        <v>12605</v>
      </c>
      <c r="QOE1" s="331" t="s">
        <v>12606</v>
      </c>
      <c r="QOF1" s="331" t="s">
        <v>12607</v>
      </c>
      <c r="QOG1" s="331" t="s">
        <v>12608</v>
      </c>
      <c r="QOH1" s="331" t="s">
        <v>12609</v>
      </c>
      <c r="QOI1" s="331" t="s">
        <v>12610</v>
      </c>
      <c r="QOJ1" s="331" t="s">
        <v>12611</v>
      </c>
      <c r="QOK1" s="331" t="s">
        <v>12612</v>
      </c>
      <c r="QOL1" s="331" t="s">
        <v>12613</v>
      </c>
      <c r="QOM1" s="331" t="s">
        <v>12614</v>
      </c>
      <c r="QON1" s="331" t="s">
        <v>12615</v>
      </c>
      <c r="QOO1" s="331" t="s">
        <v>12616</v>
      </c>
      <c r="QOP1" s="331" t="s">
        <v>12617</v>
      </c>
      <c r="QOQ1" s="331" t="s">
        <v>12618</v>
      </c>
      <c r="QOR1" s="331" t="s">
        <v>12619</v>
      </c>
      <c r="QOS1" s="331" t="s">
        <v>12620</v>
      </c>
      <c r="QOT1" s="331" t="s">
        <v>12621</v>
      </c>
      <c r="QOU1" s="331" t="s">
        <v>12622</v>
      </c>
      <c r="QOV1" s="331" t="s">
        <v>12623</v>
      </c>
      <c r="QOW1" s="331" t="s">
        <v>12624</v>
      </c>
      <c r="QOX1" s="331" t="s">
        <v>12625</v>
      </c>
      <c r="QOY1" s="331" t="s">
        <v>12626</v>
      </c>
      <c r="QOZ1" s="331" t="s">
        <v>12627</v>
      </c>
      <c r="QPA1" s="331" t="s">
        <v>12628</v>
      </c>
      <c r="QPB1" s="331" t="s">
        <v>12629</v>
      </c>
      <c r="QPC1" s="331" t="s">
        <v>12630</v>
      </c>
      <c r="QPD1" s="331" t="s">
        <v>12631</v>
      </c>
      <c r="QPE1" s="331" t="s">
        <v>12632</v>
      </c>
      <c r="QPF1" s="331" t="s">
        <v>12633</v>
      </c>
      <c r="QPG1" s="331" t="s">
        <v>12634</v>
      </c>
      <c r="QPH1" s="331" t="s">
        <v>12635</v>
      </c>
      <c r="QPI1" s="331" t="s">
        <v>12636</v>
      </c>
      <c r="QPJ1" s="331" t="s">
        <v>12637</v>
      </c>
      <c r="QPK1" s="331" t="s">
        <v>12638</v>
      </c>
      <c r="QPL1" s="331" t="s">
        <v>12639</v>
      </c>
      <c r="QPM1" s="331" t="s">
        <v>12640</v>
      </c>
      <c r="QPN1" s="331" t="s">
        <v>12641</v>
      </c>
      <c r="QPO1" s="331" t="s">
        <v>12642</v>
      </c>
      <c r="QPP1" s="331" t="s">
        <v>12643</v>
      </c>
      <c r="QPQ1" s="331" t="s">
        <v>12644</v>
      </c>
      <c r="QPR1" s="331" t="s">
        <v>12645</v>
      </c>
      <c r="QPS1" s="331" t="s">
        <v>12646</v>
      </c>
      <c r="QPT1" s="331" t="s">
        <v>12647</v>
      </c>
      <c r="QPU1" s="331" t="s">
        <v>12648</v>
      </c>
      <c r="QPV1" s="331" t="s">
        <v>12649</v>
      </c>
      <c r="QPW1" s="331" t="s">
        <v>12650</v>
      </c>
      <c r="QPX1" s="331" t="s">
        <v>12651</v>
      </c>
      <c r="QPY1" s="331" t="s">
        <v>12652</v>
      </c>
      <c r="QPZ1" s="331" t="s">
        <v>12653</v>
      </c>
      <c r="QQA1" s="331" t="s">
        <v>12654</v>
      </c>
      <c r="QQB1" s="331" t="s">
        <v>12655</v>
      </c>
      <c r="QQC1" s="331" t="s">
        <v>12656</v>
      </c>
      <c r="QQD1" s="331" t="s">
        <v>12657</v>
      </c>
      <c r="QQE1" s="331" t="s">
        <v>12658</v>
      </c>
      <c r="QQF1" s="331" t="s">
        <v>12659</v>
      </c>
      <c r="QQG1" s="331" t="s">
        <v>12660</v>
      </c>
      <c r="QQH1" s="331" t="s">
        <v>12661</v>
      </c>
      <c r="QQI1" s="331" t="s">
        <v>12662</v>
      </c>
      <c r="QQJ1" s="331" t="s">
        <v>12663</v>
      </c>
      <c r="QQK1" s="331" t="s">
        <v>12664</v>
      </c>
      <c r="QQL1" s="331" t="s">
        <v>12665</v>
      </c>
      <c r="QQM1" s="331" t="s">
        <v>12666</v>
      </c>
      <c r="QQN1" s="331" t="s">
        <v>12667</v>
      </c>
      <c r="QQO1" s="331" t="s">
        <v>12668</v>
      </c>
      <c r="QQP1" s="331" t="s">
        <v>12669</v>
      </c>
      <c r="QQQ1" s="331" t="s">
        <v>12670</v>
      </c>
      <c r="QQR1" s="331" t="s">
        <v>12671</v>
      </c>
      <c r="QQS1" s="331" t="s">
        <v>12672</v>
      </c>
      <c r="QQT1" s="331" t="s">
        <v>12673</v>
      </c>
      <c r="QQU1" s="331" t="s">
        <v>12674</v>
      </c>
      <c r="QQV1" s="331" t="s">
        <v>12675</v>
      </c>
      <c r="QQW1" s="331" t="s">
        <v>12676</v>
      </c>
      <c r="QQX1" s="331" t="s">
        <v>12677</v>
      </c>
      <c r="QQY1" s="331" t="s">
        <v>12678</v>
      </c>
      <c r="QQZ1" s="331" t="s">
        <v>12679</v>
      </c>
      <c r="QRA1" s="331" t="s">
        <v>12680</v>
      </c>
      <c r="QRB1" s="331" t="s">
        <v>12681</v>
      </c>
      <c r="QRC1" s="331" t="s">
        <v>12682</v>
      </c>
      <c r="QRD1" s="331" t="s">
        <v>12683</v>
      </c>
      <c r="QRE1" s="331" t="s">
        <v>12684</v>
      </c>
      <c r="QRF1" s="331" t="s">
        <v>12685</v>
      </c>
      <c r="QRG1" s="331" t="s">
        <v>12686</v>
      </c>
      <c r="QRH1" s="331" t="s">
        <v>12687</v>
      </c>
      <c r="QRI1" s="331" t="s">
        <v>12688</v>
      </c>
      <c r="QRJ1" s="331" t="s">
        <v>12689</v>
      </c>
      <c r="QRK1" s="331" t="s">
        <v>12690</v>
      </c>
      <c r="QRL1" s="331" t="s">
        <v>12691</v>
      </c>
      <c r="QRM1" s="331" t="s">
        <v>12692</v>
      </c>
      <c r="QRN1" s="331" t="s">
        <v>12693</v>
      </c>
      <c r="QRO1" s="331" t="s">
        <v>12694</v>
      </c>
      <c r="QRP1" s="331" t="s">
        <v>12695</v>
      </c>
      <c r="QRQ1" s="331" t="s">
        <v>12696</v>
      </c>
      <c r="QRR1" s="331" t="s">
        <v>12697</v>
      </c>
      <c r="QRS1" s="331" t="s">
        <v>12698</v>
      </c>
      <c r="QRT1" s="331" t="s">
        <v>12699</v>
      </c>
      <c r="QRU1" s="331" t="s">
        <v>12700</v>
      </c>
      <c r="QRV1" s="331" t="s">
        <v>12701</v>
      </c>
      <c r="QRW1" s="331" t="s">
        <v>12702</v>
      </c>
      <c r="QRX1" s="331" t="s">
        <v>12703</v>
      </c>
      <c r="QRY1" s="331" t="s">
        <v>12704</v>
      </c>
      <c r="QRZ1" s="331" t="s">
        <v>12705</v>
      </c>
      <c r="QSA1" s="331" t="s">
        <v>12706</v>
      </c>
      <c r="QSB1" s="331" t="s">
        <v>12707</v>
      </c>
      <c r="QSC1" s="331" t="s">
        <v>12708</v>
      </c>
      <c r="QSD1" s="331" t="s">
        <v>12709</v>
      </c>
      <c r="QSE1" s="331" t="s">
        <v>12710</v>
      </c>
      <c r="QSF1" s="331" t="s">
        <v>12711</v>
      </c>
      <c r="QSG1" s="331" t="s">
        <v>12712</v>
      </c>
      <c r="QSH1" s="331" t="s">
        <v>12713</v>
      </c>
      <c r="QSI1" s="331" t="s">
        <v>12714</v>
      </c>
      <c r="QSJ1" s="331" t="s">
        <v>12715</v>
      </c>
      <c r="QSK1" s="331" t="s">
        <v>12716</v>
      </c>
      <c r="QSL1" s="331" t="s">
        <v>12717</v>
      </c>
      <c r="QSM1" s="331" t="s">
        <v>12718</v>
      </c>
      <c r="QSN1" s="331" t="s">
        <v>12719</v>
      </c>
      <c r="QSO1" s="331" t="s">
        <v>12720</v>
      </c>
      <c r="QSP1" s="331" t="s">
        <v>12721</v>
      </c>
      <c r="QSQ1" s="331" t="s">
        <v>12722</v>
      </c>
      <c r="QSR1" s="331" t="s">
        <v>12723</v>
      </c>
      <c r="QSS1" s="331" t="s">
        <v>12724</v>
      </c>
      <c r="QST1" s="331" t="s">
        <v>12725</v>
      </c>
      <c r="QSU1" s="331" t="s">
        <v>12726</v>
      </c>
      <c r="QSV1" s="331" t="s">
        <v>12727</v>
      </c>
      <c r="QSW1" s="331" t="s">
        <v>12728</v>
      </c>
      <c r="QSX1" s="331" t="s">
        <v>12729</v>
      </c>
      <c r="QSY1" s="331" t="s">
        <v>12730</v>
      </c>
      <c r="QSZ1" s="331" t="s">
        <v>12731</v>
      </c>
      <c r="QTA1" s="331" t="s">
        <v>12732</v>
      </c>
      <c r="QTB1" s="331" t="s">
        <v>12733</v>
      </c>
      <c r="QTC1" s="331" t="s">
        <v>12734</v>
      </c>
      <c r="QTD1" s="331" t="s">
        <v>12735</v>
      </c>
      <c r="QTE1" s="331" t="s">
        <v>12736</v>
      </c>
      <c r="QTF1" s="331" t="s">
        <v>12737</v>
      </c>
      <c r="QTG1" s="331" t="s">
        <v>12738</v>
      </c>
      <c r="QTH1" s="331" t="s">
        <v>12739</v>
      </c>
      <c r="QTI1" s="331" t="s">
        <v>12740</v>
      </c>
      <c r="QTJ1" s="331" t="s">
        <v>12741</v>
      </c>
      <c r="QTK1" s="331" t="s">
        <v>12742</v>
      </c>
      <c r="QTL1" s="331" t="s">
        <v>12743</v>
      </c>
      <c r="QTM1" s="331" t="s">
        <v>12744</v>
      </c>
      <c r="QTN1" s="331" t="s">
        <v>12745</v>
      </c>
      <c r="QTO1" s="331" t="s">
        <v>12746</v>
      </c>
      <c r="QTP1" s="331" t="s">
        <v>12747</v>
      </c>
      <c r="QTQ1" s="331" t="s">
        <v>12748</v>
      </c>
      <c r="QTR1" s="331" t="s">
        <v>12749</v>
      </c>
      <c r="QTS1" s="331" t="s">
        <v>12750</v>
      </c>
      <c r="QTT1" s="331" t="s">
        <v>12751</v>
      </c>
      <c r="QTU1" s="331" t="s">
        <v>12752</v>
      </c>
      <c r="QTV1" s="331" t="s">
        <v>12753</v>
      </c>
      <c r="QTW1" s="331" t="s">
        <v>12754</v>
      </c>
      <c r="QTX1" s="331" t="s">
        <v>12755</v>
      </c>
      <c r="QTY1" s="331" t="s">
        <v>12756</v>
      </c>
      <c r="QTZ1" s="331" t="s">
        <v>12757</v>
      </c>
      <c r="QUA1" s="331" t="s">
        <v>12758</v>
      </c>
      <c r="QUB1" s="331" t="s">
        <v>12759</v>
      </c>
      <c r="QUC1" s="331" t="s">
        <v>12760</v>
      </c>
      <c r="QUD1" s="331" t="s">
        <v>12761</v>
      </c>
      <c r="QUE1" s="331" t="s">
        <v>12762</v>
      </c>
      <c r="QUF1" s="331" t="s">
        <v>12763</v>
      </c>
      <c r="QUG1" s="331" t="s">
        <v>12764</v>
      </c>
      <c r="QUH1" s="331" t="s">
        <v>12765</v>
      </c>
      <c r="QUI1" s="331" t="s">
        <v>12766</v>
      </c>
      <c r="QUJ1" s="331" t="s">
        <v>12767</v>
      </c>
      <c r="QUK1" s="331" t="s">
        <v>12768</v>
      </c>
      <c r="QUL1" s="331" t="s">
        <v>12769</v>
      </c>
      <c r="QUM1" s="331" t="s">
        <v>12770</v>
      </c>
      <c r="QUN1" s="331" t="s">
        <v>12771</v>
      </c>
      <c r="QUO1" s="331" t="s">
        <v>12772</v>
      </c>
      <c r="QUP1" s="331" t="s">
        <v>12773</v>
      </c>
      <c r="QUQ1" s="331" t="s">
        <v>12774</v>
      </c>
      <c r="QUR1" s="331" t="s">
        <v>12775</v>
      </c>
      <c r="QUS1" s="331" t="s">
        <v>12776</v>
      </c>
      <c r="QUT1" s="331" t="s">
        <v>12777</v>
      </c>
      <c r="QUU1" s="331" t="s">
        <v>12778</v>
      </c>
      <c r="QUV1" s="331" t="s">
        <v>12779</v>
      </c>
      <c r="QUW1" s="331" t="s">
        <v>12780</v>
      </c>
      <c r="QUX1" s="331" t="s">
        <v>12781</v>
      </c>
      <c r="QUY1" s="331" t="s">
        <v>12782</v>
      </c>
      <c r="QUZ1" s="331" t="s">
        <v>12783</v>
      </c>
      <c r="QVA1" s="331" t="s">
        <v>12784</v>
      </c>
      <c r="QVB1" s="331" t="s">
        <v>12785</v>
      </c>
      <c r="QVC1" s="331" t="s">
        <v>12786</v>
      </c>
      <c r="QVD1" s="331" t="s">
        <v>12787</v>
      </c>
      <c r="QVE1" s="331" t="s">
        <v>12788</v>
      </c>
      <c r="QVF1" s="331" t="s">
        <v>12789</v>
      </c>
      <c r="QVG1" s="331" t="s">
        <v>12790</v>
      </c>
      <c r="QVH1" s="331" t="s">
        <v>12791</v>
      </c>
      <c r="QVI1" s="331" t="s">
        <v>12792</v>
      </c>
      <c r="QVJ1" s="331" t="s">
        <v>12793</v>
      </c>
      <c r="QVK1" s="331" t="s">
        <v>12794</v>
      </c>
      <c r="QVL1" s="331" t="s">
        <v>12795</v>
      </c>
      <c r="QVM1" s="331" t="s">
        <v>12796</v>
      </c>
      <c r="QVN1" s="331" t="s">
        <v>12797</v>
      </c>
      <c r="QVO1" s="331" t="s">
        <v>12798</v>
      </c>
      <c r="QVP1" s="331" t="s">
        <v>12799</v>
      </c>
      <c r="QVQ1" s="331" t="s">
        <v>12800</v>
      </c>
      <c r="QVR1" s="331" t="s">
        <v>12801</v>
      </c>
      <c r="QVS1" s="331" t="s">
        <v>12802</v>
      </c>
      <c r="QVT1" s="331" t="s">
        <v>12803</v>
      </c>
      <c r="QVU1" s="331" t="s">
        <v>12804</v>
      </c>
      <c r="QVV1" s="331" t="s">
        <v>12805</v>
      </c>
      <c r="QVW1" s="331" t="s">
        <v>12806</v>
      </c>
      <c r="QVX1" s="331" t="s">
        <v>12807</v>
      </c>
      <c r="QVY1" s="331" t="s">
        <v>12808</v>
      </c>
      <c r="QVZ1" s="331" t="s">
        <v>12809</v>
      </c>
      <c r="QWA1" s="331" t="s">
        <v>12810</v>
      </c>
      <c r="QWB1" s="331" t="s">
        <v>12811</v>
      </c>
      <c r="QWC1" s="331" t="s">
        <v>12812</v>
      </c>
      <c r="QWD1" s="331" t="s">
        <v>12813</v>
      </c>
      <c r="QWE1" s="331" t="s">
        <v>12814</v>
      </c>
      <c r="QWF1" s="331" t="s">
        <v>12815</v>
      </c>
      <c r="QWG1" s="331" t="s">
        <v>12816</v>
      </c>
      <c r="QWH1" s="331" t="s">
        <v>12817</v>
      </c>
      <c r="QWI1" s="331" t="s">
        <v>12818</v>
      </c>
      <c r="QWJ1" s="331" t="s">
        <v>12819</v>
      </c>
      <c r="QWK1" s="331" t="s">
        <v>12820</v>
      </c>
      <c r="QWL1" s="331" t="s">
        <v>12821</v>
      </c>
      <c r="QWM1" s="331" t="s">
        <v>12822</v>
      </c>
      <c r="QWN1" s="331" t="s">
        <v>12823</v>
      </c>
      <c r="QWO1" s="331" t="s">
        <v>12824</v>
      </c>
      <c r="QWP1" s="331" t="s">
        <v>12825</v>
      </c>
      <c r="QWQ1" s="331" t="s">
        <v>12826</v>
      </c>
      <c r="QWR1" s="331" t="s">
        <v>12827</v>
      </c>
      <c r="QWS1" s="331" t="s">
        <v>12828</v>
      </c>
      <c r="QWT1" s="331" t="s">
        <v>12829</v>
      </c>
      <c r="QWU1" s="331" t="s">
        <v>12830</v>
      </c>
      <c r="QWV1" s="331" t="s">
        <v>12831</v>
      </c>
      <c r="QWW1" s="331" t="s">
        <v>12832</v>
      </c>
      <c r="QWX1" s="331" t="s">
        <v>12833</v>
      </c>
      <c r="QWY1" s="331" t="s">
        <v>12834</v>
      </c>
      <c r="QWZ1" s="331" t="s">
        <v>12835</v>
      </c>
      <c r="QXA1" s="331" t="s">
        <v>12836</v>
      </c>
      <c r="QXB1" s="331" t="s">
        <v>12837</v>
      </c>
      <c r="QXC1" s="331" t="s">
        <v>12838</v>
      </c>
      <c r="QXD1" s="331" t="s">
        <v>12839</v>
      </c>
      <c r="QXE1" s="331" t="s">
        <v>12840</v>
      </c>
      <c r="QXF1" s="331" t="s">
        <v>12841</v>
      </c>
      <c r="QXG1" s="331" t="s">
        <v>12842</v>
      </c>
      <c r="QXH1" s="331" t="s">
        <v>12843</v>
      </c>
      <c r="QXI1" s="331" t="s">
        <v>12844</v>
      </c>
      <c r="QXJ1" s="331" t="s">
        <v>12845</v>
      </c>
      <c r="QXK1" s="331" t="s">
        <v>12846</v>
      </c>
      <c r="QXL1" s="331" t="s">
        <v>12847</v>
      </c>
      <c r="QXM1" s="331" t="s">
        <v>12848</v>
      </c>
      <c r="QXN1" s="331" t="s">
        <v>12849</v>
      </c>
      <c r="QXO1" s="331" t="s">
        <v>12850</v>
      </c>
      <c r="QXP1" s="331" t="s">
        <v>12851</v>
      </c>
      <c r="QXQ1" s="331" t="s">
        <v>12852</v>
      </c>
      <c r="QXR1" s="331" t="s">
        <v>12853</v>
      </c>
      <c r="QXS1" s="331" t="s">
        <v>12854</v>
      </c>
      <c r="QXT1" s="331" t="s">
        <v>12855</v>
      </c>
      <c r="QXU1" s="331" t="s">
        <v>12856</v>
      </c>
      <c r="QXV1" s="331" t="s">
        <v>12857</v>
      </c>
      <c r="QXW1" s="331" t="s">
        <v>12858</v>
      </c>
      <c r="QXX1" s="331" t="s">
        <v>12859</v>
      </c>
      <c r="QXY1" s="331" t="s">
        <v>12860</v>
      </c>
      <c r="QXZ1" s="331" t="s">
        <v>12861</v>
      </c>
      <c r="QYA1" s="331" t="s">
        <v>12862</v>
      </c>
      <c r="QYB1" s="331" t="s">
        <v>12863</v>
      </c>
      <c r="QYC1" s="331" t="s">
        <v>12864</v>
      </c>
      <c r="QYD1" s="331" t="s">
        <v>12865</v>
      </c>
      <c r="QYE1" s="331" t="s">
        <v>12866</v>
      </c>
      <c r="QYF1" s="331" t="s">
        <v>12867</v>
      </c>
      <c r="QYG1" s="331" t="s">
        <v>12868</v>
      </c>
      <c r="QYH1" s="331" t="s">
        <v>12869</v>
      </c>
      <c r="QYI1" s="331" t="s">
        <v>12870</v>
      </c>
      <c r="QYJ1" s="331" t="s">
        <v>12871</v>
      </c>
      <c r="QYK1" s="331" t="s">
        <v>12872</v>
      </c>
      <c r="QYL1" s="331" t="s">
        <v>12873</v>
      </c>
      <c r="QYM1" s="331" t="s">
        <v>12874</v>
      </c>
      <c r="QYN1" s="331" t="s">
        <v>12875</v>
      </c>
      <c r="QYO1" s="331" t="s">
        <v>12876</v>
      </c>
      <c r="QYP1" s="331" t="s">
        <v>12877</v>
      </c>
      <c r="QYQ1" s="331" t="s">
        <v>12878</v>
      </c>
      <c r="QYR1" s="331" t="s">
        <v>12879</v>
      </c>
      <c r="QYS1" s="331" t="s">
        <v>12880</v>
      </c>
      <c r="QYT1" s="331" t="s">
        <v>12881</v>
      </c>
      <c r="QYU1" s="331" t="s">
        <v>12882</v>
      </c>
      <c r="QYV1" s="331" t="s">
        <v>12883</v>
      </c>
      <c r="QYW1" s="331" t="s">
        <v>12884</v>
      </c>
      <c r="QYX1" s="331" t="s">
        <v>12885</v>
      </c>
      <c r="QYY1" s="331" t="s">
        <v>12886</v>
      </c>
      <c r="QYZ1" s="331" t="s">
        <v>12887</v>
      </c>
      <c r="QZA1" s="331" t="s">
        <v>12888</v>
      </c>
      <c r="QZB1" s="331" t="s">
        <v>12889</v>
      </c>
      <c r="QZC1" s="331" t="s">
        <v>12890</v>
      </c>
      <c r="QZD1" s="331" t="s">
        <v>12891</v>
      </c>
      <c r="QZE1" s="331" t="s">
        <v>12892</v>
      </c>
      <c r="QZF1" s="331" t="s">
        <v>12893</v>
      </c>
      <c r="QZG1" s="331" t="s">
        <v>12894</v>
      </c>
      <c r="QZH1" s="331" t="s">
        <v>12895</v>
      </c>
      <c r="QZI1" s="331" t="s">
        <v>12896</v>
      </c>
      <c r="QZJ1" s="331" t="s">
        <v>12897</v>
      </c>
      <c r="QZK1" s="331" t="s">
        <v>12898</v>
      </c>
      <c r="QZL1" s="331" t="s">
        <v>12899</v>
      </c>
      <c r="QZM1" s="331" t="s">
        <v>12900</v>
      </c>
      <c r="QZN1" s="331" t="s">
        <v>12901</v>
      </c>
      <c r="QZO1" s="331" t="s">
        <v>12902</v>
      </c>
      <c r="QZP1" s="331" t="s">
        <v>12903</v>
      </c>
      <c r="QZQ1" s="331" t="s">
        <v>12904</v>
      </c>
      <c r="QZR1" s="331" t="s">
        <v>12905</v>
      </c>
      <c r="QZS1" s="331" t="s">
        <v>12906</v>
      </c>
      <c r="QZT1" s="331" t="s">
        <v>12907</v>
      </c>
      <c r="QZU1" s="331" t="s">
        <v>12908</v>
      </c>
      <c r="QZV1" s="331" t="s">
        <v>12909</v>
      </c>
      <c r="QZW1" s="331" t="s">
        <v>12910</v>
      </c>
      <c r="QZX1" s="331" t="s">
        <v>12911</v>
      </c>
      <c r="QZY1" s="331" t="s">
        <v>12912</v>
      </c>
      <c r="QZZ1" s="331" t="s">
        <v>12913</v>
      </c>
      <c r="RAA1" s="331" t="s">
        <v>12914</v>
      </c>
      <c r="RAB1" s="331" t="s">
        <v>12915</v>
      </c>
      <c r="RAC1" s="331" t="s">
        <v>12916</v>
      </c>
      <c r="RAD1" s="331" t="s">
        <v>12917</v>
      </c>
      <c r="RAE1" s="331" t="s">
        <v>12918</v>
      </c>
      <c r="RAF1" s="331" t="s">
        <v>12919</v>
      </c>
      <c r="RAG1" s="331" t="s">
        <v>12920</v>
      </c>
      <c r="RAH1" s="331" t="s">
        <v>12921</v>
      </c>
      <c r="RAI1" s="331" t="s">
        <v>12922</v>
      </c>
      <c r="RAJ1" s="331" t="s">
        <v>12923</v>
      </c>
      <c r="RAK1" s="331" t="s">
        <v>12924</v>
      </c>
      <c r="RAL1" s="331" t="s">
        <v>12925</v>
      </c>
      <c r="RAM1" s="331" t="s">
        <v>12926</v>
      </c>
      <c r="RAN1" s="331" t="s">
        <v>12927</v>
      </c>
      <c r="RAO1" s="331" t="s">
        <v>12928</v>
      </c>
      <c r="RAP1" s="331" t="s">
        <v>12929</v>
      </c>
      <c r="RAQ1" s="331" t="s">
        <v>12930</v>
      </c>
      <c r="RAR1" s="331" t="s">
        <v>12931</v>
      </c>
      <c r="RAS1" s="331" t="s">
        <v>12932</v>
      </c>
      <c r="RAT1" s="331" t="s">
        <v>12933</v>
      </c>
      <c r="RAU1" s="331" t="s">
        <v>12934</v>
      </c>
      <c r="RAV1" s="331" t="s">
        <v>12935</v>
      </c>
      <c r="RAW1" s="331" t="s">
        <v>12936</v>
      </c>
      <c r="RAX1" s="331" t="s">
        <v>12937</v>
      </c>
      <c r="RAY1" s="331" t="s">
        <v>12938</v>
      </c>
      <c r="RAZ1" s="331" t="s">
        <v>12939</v>
      </c>
      <c r="RBA1" s="331" t="s">
        <v>12940</v>
      </c>
      <c r="RBB1" s="331" t="s">
        <v>12941</v>
      </c>
      <c r="RBC1" s="331" t="s">
        <v>12942</v>
      </c>
      <c r="RBD1" s="331" t="s">
        <v>12943</v>
      </c>
      <c r="RBE1" s="331" t="s">
        <v>12944</v>
      </c>
      <c r="RBF1" s="331" t="s">
        <v>12945</v>
      </c>
      <c r="RBG1" s="331" t="s">
        <v>12946</v>
      </c>
      <c r="RBH1" s="331" t="s">
        <v>12947</v>
      </c>
      <c r="RBI1" s="331" t="s">
        <v>12948</v>
      </c>
      <c r="RBJ1" s="331" t="s">
        <v>12949</v>
      </c>
      <c r="RBK1" s="331" t="s">
        <v>12950</v>
      </c>
      <c r="RBL1" s="331" t="s">
        <v>12951</v>
      </c>
      <c r="RBM1" s="331" t="s">
        <v>12952</v>
      </c>
      <c r="RBN1" s="331" t="s">
        <v>12953</v>
      </c>
      <c r="RBO1" s="331" t="s">
        <v>12954</v>
      </c>
      <c r="RBP1" s="331" t="s">
        <v>12955</v>
      </c>
      <c r="RBQ1" s="331" t="s">
        <v>12956</v>
      </c>
      <c r="RBR1" s="331" t="s">
        <v>12957</v>
      </c>
      <c r="RBS1" s="331" t="s">
        <v>12958</v>
      </c>
      <c r="RBT1" s="331" t="s">
        <v>12959</v>
      </c>
      <c r="RBU1" s="331" t="s">
        <v>12960</v>
      </c>
      <c r="RBV1" s="331" t="s">
        <v>12961</v>
      </c>
      <c r="RBW1" s="331" t="s">
        <v>12962</v>
      </c>
      <c r="RBX1" s="331" t="s">
        <v>12963</v>
      </c>
      <c r="RBY1" s="331" t="s">
        <v>12964</v>
      </c>
      <c r="RBZ1" s="331" t="s">
        <v>12965</v>
      </c>
      <c r="RCA1" s="331" t="s">
        <v>12966</v>
      </c>
      <c r="RCB1" s="331" t="s">
        <v>12967</v>
      </c>
      <c r="RCC1" s="331" t="s">
        <v>12968</v>
      </c>
      <c r="RCD1" s="331" t="s">
        <v>12969</v>
      </c>
      <c r="RCE1" s="331" t="s">
        <v>12970</v>
      </c>
      <c r="RCF1" s="331" t="s">
        <v>12971</v>
      </c>
      <c r="RCG1" s="331" t="s">
        <v>12972</v>
      </c>
      <c r="RCH1" s="331" t="s">
        <v>12973</v>
      </c>
      <c r="RCI1" s="331" t="s">
        <v>12974</v>
      </c>
      <c r="RCJ1" s="331" t="s">
        <v>12975</v>
      </c>
      <c r="RCK1" s="331" t="s">
        <v>12976</v>
      </c>
      <c r="RCL1" s="331" t="s">
        <v>12977</v>
      </c>
      <c r="RCM1" s="331" t="s">
        <v>12978</v>
      </c>
      <c r="RCN1" s="331" t="s">
        <v>12979</v>
      </c>
      <c r="RCO1" s="331" t="s">
        <v>12980</v>
      </c>
      <c r="RCP1" s="331" t="s">
        <v>12981</v>
      </c>
      <c r="RCQ1" s="331" t="s">
        <v>12982</v>
      </c>
      <c r="RCR1" s="331" t="s">
        <v>12983</v>
      </c>
      <c r="RCS1" s="331" t="s">
        <v>12984</v>
      </c>
      <c r="RCT1" s="331" t="s">
        <v>12985</v>
      </c>
      <c r="RCU1" s="331" t="s">
        <v>12986</v>
      </c>
      <c r="RCV1" s="331" t="s">
        <v>12987</v>
      </c>
      <c r="RCW1" s="331" t="s">
        <v>12988</v>
      </c>
      <c r="RCX1" s="331" t="s">
        <v>12989</v>
      </c>
      <c r="RCY1" s="331" t="s">
        <v>12990</v>
      </c>
      <c r="RCZ1" s="331" t="s">
        <v>12991</v>
      </c>
      <c r="RDA1" s="331" t="s">
        <v>12992</v>
      </c>
      <c r="RDB1" s="331" t="s">
        <v>12993</v>
      </c>
      <c r="RDC1" s="331" t="s">
        <v>12994</v>
      </c>
      <c r="RDD1" s="331" t="s">
        <v>12995</v>
      </c>
      <c r="RDE1" s="331" t="s">
        <v>12996</v>
      </c>
      <c r="RDF1" s="331" t="s">
        <v>12997</v>
      </c>
      <c r="RDG1" s="331" t="s">
        <v>12998</v>
      </c>
      <c r="RDH1" s="331" t="s">
        <v>12999</v>
      </c>
      <c r="RDI1" s="331" t="s">
        <v>13000</v>
      </c>
      <c r="RDJ1" s="331" t="s">
        <v>13001</v>
      </c>
      <c r="RDK1" s="331" t="s">
        <v>13002</v>
      </c>
      <c r="RDL1" s="331" t="s">
        <v>13003</v>
      </c>
      <c r="RDM1" s="331" t="s">
        <v>13004</v>
      </c>
      <c r="RDN1" s="331" t="s">
        <v>13005</v>
      </c>
      <c r="RDO1" s="331" t="s">
        <v>13006</v>
      </c>
      <c r="RDP1" s="331" t="s">
        <v>13007</v>
      </c>
      <c r="RDQ1" s="331" t="s">
        <v>13008</v>
      </c>
      <c r="RDR1" s="331" t="s">
        <v>13009</v>
      </c>
      <c r="RDS1" s="331" t="s">
        <v>13010</v>
      </c>
      <c r="RDT1" s="331" t="s">
        <v>13011</v>
      </c>
      <c r="RDU1" s="331" t="s">
        <v>13012</v>
      </c>
      <c r="RDV1" s="331" t="s">
        <v>13013</v>
      </c>
      <c r="RDW1" s="331" t="s">
        <v>13014</v>
      </c>
      <c r="RDX1" s="331" t="s">
        <v>13015</v>
      </c>
      <c r="RDY1" s="331" t="s">
        <v>13016</v>
      </c>
      <c r="RDZ1" s="331" t="s">
        <v>13017</v>
      </c>
      <c r="REA1" s="331" t="s">
        <v>13018</v>
      </c>
      <c r="REB1" s="331" t="s">
        <v>13019</v>
      </c>
      <c r="REC1" s="331" t="s">
        <v>13020</v>
      </c>
      <c r="RED1" s="331" t="s">
        <v>13021</v>
      </c>
      <c r="REE1" s="331" t="s">
        <v>13022</v>
      </c>
      <c r="REF1" s="331" t="s">
        <v>13023</v>
      </c>
      <c r="REG1" s="331" t="s">
        <v>13024</v>
      </c>
      <c r="REH1" s="331" t="s">
        <v>13025</v>
      </c>
      <c r="REI1" s="331" t="s">
        <v>13026</v>
      </c>
      <c r="REJ1" s="331" t="s">
        <v>13027</v>
      </c>
      <c r="REK1" s="331" t="s">
        <v>13028</v>
      </c>
      <c r="REL1" s="331" t="s">
        <v>13029</v>
      </c>
      <c r="REM1" s="331" t="s">
        <v>13030</v>
      </c>
      <c r="REN1" s="331" t="s">
        <v>13031</v>
      </c>
      <c r="REO1" s="331" t="s">
        <v>13032</v>
      </c>
      <c r="REP1" s="331" t="s">
        <v>13033</v>
      </c>
      <c r="REQ1" s="331" t="s">
        <v>13034</v>
      </c>
      <c r="RER1" s="331" t="s">
        <v>13035</v>
      </c>
      <c r="RES1" s="331" t="s">
        <v>13036</v>
      </c>
      <c r="RET1" s="331" t="s">
        <v>13037</v>
      </c>
      <c r="REU1" s="331" t="s">
        <v>13038</v>
      </c>
      <c r="REV1" s="331" t="s">
        <v>13039</v>
      </c>
      <c r="REW1" s="331" t="s">
        <v>13040</v>
      </c>
      <c r="REX1" s="331" t="s">
        <v>13041</v>
      </c>
      <c r="REY1" s="331" t="s">
        <v>13042</v>
      </c>
      <c r="REZ1" s="331" t="s">
        <v>13043</v>
      </c>
      <c r="RFA1" s="331" t="s">
        <v>13044</v>
      </c>
      <c r="RFB1" s="331" t="s">
        <v>13045</v>
      </c>
      <c r="RFC1" s="331" t="s">
        <v>13046</v>
      </c>
      <c r="RFD1" s="331" t="s">
        <v>13047</v>
      </c>
      <c r="RFE1" s="331" t="s">
        <v>13048</v>
      </c>
      <c r="RFF1" s="331" t="s">
        <v>13049</v>
      </c>
      <c r="RFG1" s="331" t="s">
        <v>13050</v>
      </c>
      <c r="RFH1" s="331" t="s">
        <v>13051</v>
      </c>
      <c r="RFI1" s="331" t="s">
        <v>13052</v>
      </c>
      <c r="RFJ1" s="331" t="s">
        <v>13053</v>
      </c>
      <c r="RFK1" s="331" t="s">
        <v>13054</v>
      </c>
      <c r="RFL1" s="331" t="s">
        <v>13055</v>
      </c>
      <c r="RFM1" s="331" t="s">
        <v>13056</v>
      </c>
      <c r="RFN1" s="331" t="s">
        <v>13057</v>
      </c>
      <c r="RFO1" s="331" t="s">
        <v>13058</v>
      </c>
      <c r="RFP1" s="331" t="s">
        <v>13059</v>
      </c>
      <c r="RFQ1" s="331" t="s">
        <v>13060</v>
      </c>
      <c r="RFR1" s="331" t="s">
        <v>13061</v>
      </c>
      <c r="RFS1" s="331" t="s">
        <v>13062</v>
      </c>
      <c r="RFT1" s="331" t="s">
        <v>13063</v>
      </c>
      <c r="RFU1" s="331" t="s">
        <v>13064</v>
      </c>
      <c r="RFV1" s="331" t="s">
        <v>13065</v>
      </c>
      <c r="RFW1" s="331" t="s">
        <v>13066</v>
      </c>
      <c r="RFX1" s="331" t="s">
        <v>13067</v>
      </c>
      <c r="RFY1" s="331" t="s">
        <v>13068</v>
      </c>
      <c r="RFZ1" s="331" t="s">
        <v>13069</v>
      </c>
      <c r="RGA1" s="331" t="s">
        <v>13070</v>
      </c>
      <c r="RGB1" s="331" t="s">
        <v>13071</v>
      </c>
      <c r="RGC1" s="331" t="s">
        <v>13072</v>
      </c>
      <c r="RGD1" s="331" t="s">
        <v>13073</v>
      </c>
      <c r="RGE1" s="331" t="s">
        <v>13074</v>
      </c>
      <c r="RGF1" s="331" t="s">
        <v>13075</v>
      </c>
      <c r="RGG1" s="331" t="s">
        <v>13076</v>
      </c>
      <c r="RGH1" s="331" t="s">
        <v>13077</v>
      </c>
      <c r="RGI1" s="331" t="s">
        <v>13078</v>
      </c>
      <c r="RGJ1" s="331" t="s">
        <v>13079</v>
      </c>
      <c r="RGK1" s="331" t="s">
        <v>13080</v>
      </c>
      <c r="RGL1" s="331" t="s">
        <v>13081</v>
      </c>
      <c r="RGM1" s="331" t="s">
        <v>13082</v>
      </c>
      <c r="RGN1" s="331" t="s">
        <v>13083</v>
      </c>
      <c r="RGO1" s="331" t="s">
        <v>13084</v>
      </c>
      <c r="RGP1" s="331" t="s">
        <v>13085</v>
      </c>
      <c r="RGQ1" s="331" t="s">
        <v>13086</v>
      </c>
      <c r="RGR1" s="331" t="s">
        <v>13087</v>
      </c>
      <c r="RGS1" s="331" t="s">
        <v>13088</v>
      </c>
      <c r="RGT1" s="331" t="s">
        <v>13089</v>
      </c>
      <c r="RGU1" s="331" t="s">
        <v>13090</v>
      </c>
      <c r="RGV1" s="331" t="s">
        <v>13091</v>
      </c>
      <c r="RGW1" s="331" t="s">
        <v>13092</v>
      </c>
      <c r="RGX1" s="331" t="s">
        <v>13093</v>
      </c>
      <c r="RGY1" s="331" t="s">
        <v>13094</v>
      </c>
      <c r="RGZ1" s="331" t="s">
        <v>13095</v>
      </c>
      <c r="RHA1" s="331" t="s">
        <v>13096</v>
      </c>
      <c r="RHB1" s="331" t="s">
        <v>13097</v>
      </c>
      <c r="RHC1" s="331" t="s">
        <v>13098</v>
      </c>
      <c r="RHD1" s="331" t="s">
        <v>13099</v>
      </c>
      <c r="RHE1" s="331" t="s">
        <v>13100</v>
      </c>
      <c r="RHF1" s="331" t="s">
        <v>13101</v>
      </c>
      <c r="RHG1" s="331" t="s">
        <v>13102</v>
      </c>
      <c r="RHH1" s="331" t="s">
        <v>13103</v>
      </c>
      <c r="RHI1" s="331" t="s">
        <v>13104</v>
      </c>
      <c r="RHJ1" s="331" t="s">
        <v>13105</v>
      </c>
      <c r="RHK1" s="331" t="s">
        <v>13106</v>
      </c>
      <c r="RHL1" s="331" t="s">
        <v>13107</v>
      </c>
      <c r="RHM1" s="331" t="s">
        <v>13108</v>
      </c>
      <c r="RHN1" s="331" t="s">
        <v>13109</v>
      </c>
      <c r="RHO1" s="331" t="s">
        <v>13110</v>
      </c>
      <c r="RHP1" s="331" t="s">
        <v>13111</v>
      </c>
      <c r="RHQ1" s="331" t="s">
        <v>13112</v>
      </c>
      <c r="RHR1" s="331" t="s">
        <v>13113</v>
      </c>
      <c r="RHS1" s="331" t="s">
        <v>13114</v>
      </c>
      <c r="RHT1" s="331" t="s">
        <v>13115</v>
      </c>
      <c r="RHU1" s="331" t="s">
        <v>13116</v>
      </c>
      <c r="RHV1" s="331" t="s">
        <v>13117</v>
      </c>
      <c r="RHW1" s="331" t="s">
        <v>13118</v>
      </c>
      <c r="RHX1" s="331" t="s">
        <v>13119</v>
      </c>
      <c r="RHY1" s="331" t="s">
        <v>13120</v>
      </c>
      <c r="RHZ1" s="331" t="s">
        <v>13121</v>
      </c>
      <c r="RIA1" s="331" t="s">
        <v>13122</v>
      </c>
      <c r="RIB1" s="331" t="s">
        <v>13123</v>
      </c>
      <c r="RIC1" s="331" t="s">
        <v>13124</v>
      </c>
      <c r="RID1" s="331" t="s">
        <v>13125</v>
      </c>
      <c r="RIE1" s="331" t="s">
        <v>13126</v>
      </c>
      <c r="RIF1" s="331" t="s">
        <v>13127</v>
      </c>
      <c r="RIG1" s="331" t="s">
        <v>13128</v>
      </c>
      <c r="RIH1" s="331" t="s">
        <v>13129</v>
      </c>
      <c r="RII1" s="331" t="s">
        <v>13130</v>
      </c>
      <c r="RIJ1" s="331" t="s">
        <v>13131</v>
      </c>
      <c r="RIK1" s="331" t="s">
        <v>13132</v>
      </c>
      <c r="RIL1" s="331" t="s">
        <v>13133</v>
      </c>
      <c r="RIM1" s="331" t="s">
        <v>13134</v>
      </c>
      <c r="RIN1" s="331" t="s">
        <v>13135</v>
      </c>
      <c r="RIO1" s="331" t="s">
        <v>13136</v>
      </c>
      <c r="RIP1" s="331" t="s">
        <v>13137</v>
      </c>
      <c r="RIQ1" s="331" t="s">
        <v>13138</v>
      </c>
      <c r="RIR1" s="331" t="s">
        <v>13139</v>
      </c>
      <c r="RIS1" s="331" t="s">
        <v>13140</v>
      </c>
      <c r="RIT1" s="331" t="s">
        <v>13141</v>
      </c>
      <c r="RIU1" s="331" t="s">
        <v>13142</v>
      </c>
      <c r="RIV1" s="331" t="s">
        <v>13143</v>
      </c>
      <c r="RIW1" s="331" t="s">
        <v>13144</v>
      </c>
      <c r="RIX1" s="331" t="s">
        <v>13145</v>
      </c>
      <c r="RIY1" s="331" t="s">
        <v>13146</v>
      </c>
      <c r="RIZ1" s="331" t="s">
        <v>13147</v>
      </c>
      <c r="RJA1" s="331" t="s">
        <v>13148</v>
      </c>
      <c r="RJB1" s="331" t="s">
        <v>13149</v>
      </c>
      <c r="RJC1" s="331" t="s">
        <v>13150</v>
      </c>
      <c r="RJD1" s="331" t="s">
        <v>13151</v>
      </c>
      <c r="RJE1" s="331" t="s">
        <v>13152</v>
      </c>
      <c r="RJF1" s="331" t="s">
        <v>13153</v>
      </c>
      <c r="RJG1" s="331" t="s">
        <v>13154</v>
      </c>
      <c r="RJH1" s="331" t="s">
        <v>13155</v>
      </c>
      <c r="RJI1" s="331" t="s">
        <v>13156</v>
      </c>
      <c r="RJJ1" s="331" t="s">
        <v>13157</v>
      </c>
      <c r="RJK1" s="331" t="s">
        <v>13158</v>
      </c>
      <c r="RJL1" s="331" t="s">
        <v>13159</v>
      </c>
      <c r="RJM1" s="331" t="s">
        <v>13160</v>
      </c>
      <c r="RJN1" s="331" t="s">
        <v>13161</v>
      </c>
      <c r="RJO1" s="331" t="s">
        <v>13162</v>
      </c>
      <c r="RJP1" s="331" t="s">
        <v>13163</v>
      </c>
      <c r="RJQ1" s="331" t="s">
        <v>13164</v>
      </c>
      <c r="RJR1" s="331" t="s">
        <v>13165</v>
      </c>
      <c r="RJS1" s="331" t="s">
        <v>13166</v>
      </c>
      <c r="RJT1" s="331" t="s">
        <v>13167</v>
      </c>
      <c r="RJU1" s="331" t="s">
        <v>13168</v>
      </c>
      <c r="RJV1" s="331" t="s">
        <v>13169</v>
      </c>
      <c r="RJW1" s="331" t="s">
        <v>13170</v>
      </c>
      <c r="RJX1" s="331" t="s">
        <v>13171</v>
      </c>
      <c r="RJY1" s="331" t="s">
        <v>13172</v>
      </c>
      <c r="RJZ1" s="331" t="s">
        <v>13173</v>
      </c>
      <c r="RKA1" s="331" t="s">
        <v>13174</v>
      </c>
      <c r="RKB1" s="331" t="s">
        <v>13175</v>
      </c>
      <c r="RKC1" s="331" t="s">
        <v>13176</v>
      </c>
      <c r="RKD1" s="331" t="s">
        <v>13177</v>
      </c>
      <c r="RKE1" s="331" t="s">
        <v>13178</v>
      </c>
      <c r="RKF1" s="331" t="s">
        <v>13179</v>
      </c>
      <c r="RKG1" s="331" t="s">
        <v>13180</v>
      </c>
      <c r="RKH1" s="331" t="s">
        <v>13181</v>
      </c>
      <c r="RKI1" s="331" t="s">
        <v>13182</v>
      </c>
      <c r="RKJ1" s="331" t="s">
        <v>13183</v>
      </c>
      <c r="RKK1" s="331" t="s">
        <v>13184</v>
      </c>
      <c r="RKL1" s="331" t="s">
        <v>13185</v>
      </c>
      <c r="RKM1" s="331" t="s">
        <v>13186</v>
      </c>
      <c r="RKN1" s="331" t="s">
        <v>13187</v>
      </c>
      <c r="RKO1" s="331" t="s">
        <v>13188</v>
      </c>
      <c r="RKP1" s="331" t="s">
        <v>13189</v>
      </c>
      <c r="RKQ1" s="331" t="s">
        <v>13190</v>
      </c>
      <c r="RKR1" s="331" t="s">
        <v>13191</v>
      </c>
      <c r="RKS1" s="331" t="s">
        <v>13192</v>
      </c>
      <c r="RKT1" s="331" t="s">
        <v>13193</v>
      </c>
      <c r="RKU1" s="331" t="s">
        <v>13194</v>
      </c>
      <c r="RKV1" s="331" t="s">
        <v>13195</v>
      </c>
      <c r="RKW1" s="331" t="s">
        <v>13196</v>
      </c>
      <c r="RKX1" s="331" t="s">
        <v>13197</v>
      </c>
      <c r="RKY1" s="331" t="s">
        <v>13198</v>
      </c>
      <c r="RKZ1" s="331" t="s">
        <v>13199</v>
      </c>
      <c r="RLA1" s="331" t="s">
        <v>13200</v>
      </c>
      <c r="RLB1" s="331" t="s">
        <v>13201</v>
      </c>
      <c r="RLC1" s="331" t="s">
        <v>13202</v>
      </c>
      <c r="RLD1" s="331" t="s">
        <v>13203</v>
      </c>
      <c r="RLE1" s="331" t="s">
        <v>13204</v>
      </c>
      <c r="RLF1" s="331" t="s">
        <v>13205</v>
      </c>
      <c r="RLG1" s="331" t="s">
        <v>13206</v>
      </c>
      <c r="RLH1" s="331" t="s">
        <v>13207</v>
      </c>
      <c r="RLI1" s="331" t="s">
        <v>13208</v>
      </c>
      <c r="RLJ1" s="331" t="s">
        <v>13209</v>
      </c>
      <c r="RLK1" s="331" t="s">
        <v>13210</v>
      </c>
      <c r="RLL1" s="331" t="s">
        <v>13211</v>
      </c>
      <c r="RLM1" s="331" t="s">
        <v>13212</v>
      </c>
      <c r="RLN1" s="331" t="s">
        <v>13213</v>
      </c>
      <c r="RLO1" s="331" t="s">
        <v>13214</v>
      </c>
      <c r="RLP1" s="331" t="s">
        <v>13215</v>
      </c>
      <c r="RLQ1" s="331" t="s">
        <v>13216</v>
      </c>
      <c r="RLR1" s="331" t="s">
        <v>13217</v>
      </c>
      <c r="RLS1" s="331" t="s">
        <v>13218</v>
      </c>
      <c r="RLT1" s="331" t="s">
        <v>13219</v>
      </c>
      <c r="RLU1" s="331" t="s">
        <v>13220</v>
      </c>
      <c r="RLV1" s="331" t="s">
        <v>13221</v>
      </c>
      <c r="RLW1" s="331" t="s">
        <v>13222</v>
      </c>
      <c r="RLX1" s="331" t="s">
        <v>13223</v>
      </c>
      <c r="RLY1" s="331" t="s">
        <v>13224</v>
      </c>
      <c r="RLZ1" s="331" t="s">
        <v>13225</v>
      </c>
      <c r="RMA1" s="331" t="s">
        <v>13226</v>
      </c>
      <c r="RMB1" s="331" t="s">
        <v>13227</v>
      </c>
      <c r="RMC1" s="331" t="s">
        <v>13228</v>
      </c>
      <c r="RMD1" s="331" t="s">
        <v>13229</v>
      </c>
      <c r="RME1" s="331" t="s">
        <v>13230</v>
      </c>
      <c r="RMF1" s="331" t="s">
        <v>13231</v>
      </c>
      <c r="RMG1" s="331" t="s">
        <v>13232</v>
      </c>
      <c r="RMH1" s="331" t="s">
        <v>13233</v>
      </c>
      <c r="RMI1" s="331" t="s">
        <v>13234</v>
      </c>
      <c r="RMJ1" s="331" t="s">
        <v>13235</v>
      </c>
      <c r="RMK1" s="331" t="s">
        <v>13236</v>
      </c>
      <c r="RML1" s="331" t="s">
        <v>13237</v>
      </c>
      <c r="RMM1" s="331" t="s">
        <v>13238</v>
      </c>
      <c r="RMN1" s="331" t="s">
        <v>13239</v>
      </c>
      <c r="RMO1" s="331" t="s">
        <v>13240</v>
      </c>
      <c r="RMP1" s="331" t="s">
        <v>13241</v>
      </c>
      <c r="RMQ1" s="331" t="s">
        <v>13242</v>
      </c>
      <c r="RMR1" s="331" t="s">
        <v>13243</v>
      </c>
      <c r="RMS1" s="331" t="s">
        <v>13244</v>
      </c>
      <c r="RMT1" s="331" t="s">
        <v>13245</v>
      </c>
      <c r="RMU1" s="331" t="s">
        <v>13246</v>
      </c>
      <c r="RMV1" s="331" t="s">
        <v>13247</v>
      </c>
      <c r="RMW1" s="331" t="s">
        <v>13248</v>
      </c>
      <c r="RMX1" s="331" t="s">
        <v>13249</v>
      </c>
      <c r="RMY1" s="331" t="s">
        <v>13250</v>
      </c>
      <c r="RMZ1" s="331" t="s">
        <v>13251</v>
      </c>
      <c r="RNA1" s="331" t="s">
        <v>13252</v>
      </c>
      <c r="RNB1" s="331" t="s">
        <v>13253</v>
      </c>
      <c r="RNC1" s="331" t="s">
        <v>13254</v>
      </c>
      <c r="RND1" s="331" t="s">
        <v>13255</v>
      </c>
      <c r="RNE1" s="331" t="s">
        <v>13256</v>
      </c>
      <c r="RNF1" s="331" t="s">
        <v>13257</v>
      </c>
      <c r="RNG1" s="331" t="s">
        <v>13258</v>
      </c>
      <c r="RNH1" s="331" t="s">
        <v>13259</v>
      </c>
      <c r="RNI1" s="331" t="s">
        <v>13260</v>
      </c>
      <c r="RNJ1" s="331" t="s">
        <v>13261</v>
      </c>
      <c r="RNK1" s="331" t="s">
        <v>13262</v>
      </c>
      <c r="RNL1" s="331" t="s">
        <v>13263</v>
      </c>
      <c r="RNM1" s="331" t="s">
        <v>13264</v>
      </c>
      <c r="RNN1" s="331" t="s">
        <v>13265</v>
      </c>
      <c r="RNO1" s="331" t="s">
        <v>13266</v>
      </c>
      <c r="RNP1" s="331" t="s">
        <v>13267</v>
      </c>
      <c r="RNQ1" s="331" t="s">
        <v>13268</v>
      </c>
      <c r="RNR1" s="331" t="s">
        <v>13269</v>
      </c>
      <c r="RNS1" s="331" t="s">
        <v>13270</v>
      </c>
      <c r="RNT1" s="331" t="s">
        <v>13271</v>
      </c>
      <c r="RNU1" s="331" t="s">
        <v>13272</v>
      </c>
      <c r="RNV1" s="331" t="s">
        <v>13273</v>
      </c>
      <c r="RNW1" s="331" t="s">
        <v>13274</v>
      </c>
      <c r="RNX1" s="331" t="s">
        <v>13275</v>
      </c>
      <c r="RNY1" s="331" t="s">
        <v>13276</v>
      </c>
      <c r="RNZ1" s="331" t="s">
        <v>13277</v>
      </c>
      <c r="ROA1" s="331" t="s">
        <v>13278</v>
      </c>
      <c r="ROB1" s="331" t="s">
        <v>13279</v>
      </c>
      <c r="ROC1" s="331" t="s">
        <v>13280</v>
      </c>
      <c r="ROD1" s="331" t="s">
        <v>13281</v>
      </c>
      <c r="ROE1" s="331" t="s">
        <v>13282</v>
      </c>
      <c r="ROF1" s="331" t="s">
        <v>13283</v>
      </c>
      <c r="ROG1" s="331" t="s">
        <v>13284</v>
      </c>
      <c r="ROH1" s="331" t="s">
        <v>13285</v>
      </c>
      <c r="ROI1" s="331" t="s">
        <v>13286</v>
      </c>
      <c r="ROJ1" s="331" t="s">
        <v>13287</v>
      </c>
      <c r="ROK1" s="331" t="s">
        <v>13288</v>
      </c>
      <c r="ROL1" s="331" t="s">
        <v>13289</v>
      </c>
      <c r="ROM1" s="331" t="s">
        <v>13290</v>
      </c>
      <c r="RON1" s="331" t="s">
        <v>13291</v>
      </c>
      <c r="ROO1" s="331" t="s">
        <v>13292</v>
      </c>
      <c r="ROP1" s="331" t="s">
        <v>13293</v>
      </c>
      <c r="ROQ1" s="331" t="s">
        <v>13294</v>
      </c>
      <c r="ROR1" s="331" t="s">
        <v>13295</v>
      </c>
      <c r="ROS1" s="331" t="s">
        <v>13296</v>
      </c>
      <c r="ROT1" s="331" t="s">
        <v>13297</v>
      </c>
      <c r="ROU1" s="331" t="s">
        <v>13298</v>
      </c>
      <c r="ROV1" s="331" t="s">
        <v>13299</v>
      </c>
      <c r="ROW1" s="331" t="s">
        <v>13300</v>
      </c>
      <c r="ROX1" s="331" t="s">
        <v>13301</v>
      </c>
      <c r="ROY1" s="331" t="s">
        <v>13302</v>
      </c>
      <c r="ROZ1" s="331" t="s">
        <v>13303</v>
      </c>
      <c r="RPA1" s="331" t="s">
        <v>13304</v>
      </c>
      <c r="RPB1" s="331" t="s">
        <v>13305</v>
      </c>
      <c r="RPC1" s="331" t="s">
        <v>13306</v>
      </c>
      <c r="RPD1" s="331" t="s">
        <v>13307</v>
      </c>
      <c r="RPE1" s="331" t="s">
        <v>13308</v>
      </c>
      <c r="RPF1" s="331" t="s">
        <v>13309</v>
      </c>
      <c r="RPG1" s="331" t="s">
        <v>13310</v>
      </c>
      <c r="RPH1" s="331" t="s">
        <v>13311</v>
      </c>
      <c r="RPI1" s="331" t="s">
        <v>13312</v>
      </c>
      <c r="RPJ1" s="331" t="s">
        <v>13313</v>
      </c>
      <c r="RPK1" s="331" t="s">
        <v>13314</v>
      </c>
      <c r="RPL1" s="331" t="s">
        <v>13315</v>
      </c>
      <c r="RPM1" s="331" t="s">
        <v>13316</v>
      </c>
      <c r="RPN1" s="331" t="s">
        <v>13317</v>
      </c>
      <c r="RPO1" s="331" t="s">
        <v>13318</v>
      </c>
      <c r="RPP1" s="331" t="s">
        <v>13319</v>
      </c>
      <c r="RPQ1" s="331" t="s">
        <v>13320</v>
      </c>
      <c r="RPR1" s="331" t="s">
        <v>13321</v>
      </c>
      <c r="RPS1" s="331" t="s">
        <v>13322</v>
      </c>
      <c r="RPT1" s="331" t="s">
        <v>13323</v>
      </c>
      <c r="RPU1" s="331" t="s">
        <v>13324</v>
      </c>
      <c r="RPV1" s="331" t="s">
        <v>13325</v>
      </c>
      <c r="RPW1" s="331" t="s">
        <v>13326</v>
      </c>
      <c r="RPX1" s="331" t="s">
        <v>13327</v>
      </c>
      <c r="RPY1" s="331" t="s">
        <v>13328</v>
      </c>
      <c r="RPZ1" s="331" t="s">
        <v>13329</v>
      </c>
      <c r="RQA1" s="331" t="s">
        <v>13330</v>
      </c>
      <c r="RQB1" s="331" t="s">
        <v>13331</v>
      </c>
      <c r="RQC1" s="331" t="s">
        <v>13332</v>
      </c>
      <c r="RQD1" s="331" t="s">
        <v>13333</v>
      </c>
      <c r="RQE1" s="331" t="s">
        <v>13334</v>
      </c>
      <c r="RQF1" s="331" t="s">
        <v>13335</v>
      </c>
      <c r="RQG1" s="331" t="s">
        <v>13336</v>
      </c>
      <c r="RQH1" s="331" t="s">
        <v>13337</v>
      </c>
      <c r="RQI1" s="331" t="s">
        <v>13338</v>
      </c>
      <c r="RQJ1" s="331" t="s">
        <v>13339</v>
      </c>
      <c r="RQK1" s="331" t="s">
        <v>13340</v>
      </c>
      <c r="RQL1" s="331" t="s">
        <v>13341</v>
      </c>
      <c r="RQM1" s="331" t="s">
        <v>13342</v>
      </c>
      <c r="RQN1" s="331" t="s">
        <v>13343</v>
      </c>
      <c r="RQO1" s="331" t="s">
        <v>13344</v>
      </c>
      <c r="RQP1" s="331" t="s">
        <v>13345</v>
      </c>
      <c r="RQQ1" s="331" t="s">
        <v>13346</v>
      </c>
      <c r="RQR1" s="331" t="s">
        <v>13347</v>
      </c>
      <c r="RQS1" s="331" t="s">
        <v>13348</v>
      </c>
      <c r="RQT1" s="331" t="s">
        <v>13349</v>
      </c>
      <c r="RQU1" s="331" t="s">
        <v>13350</v>
      </c>
      <c r="RQV1" s="331" t="s">
        <v>13351</v>
      </c>
      <c r="RQW1" s="331" t="s">
        <v>13352</v>
      </c>
      <c r="RQX1" s="331" t="s">
        <v>13353</v>
      </c>
      <c r="RQY1" s="331" t="s">
        <v>13354</v>
      </c>
      <c r="RQZ1" s="331" t="s">
        <v>13355</v>
      </c>
      <c r="RRA1" s="331" t="s">
        <v>13356</v>
      </c>
      <c r="RRB1" s="331" t="s">
        <v>13357</v>
      </c>
      <c r="RRC1" s="331" t="s">
        <v>13358</v>
      </c>
      <c r="RRD1" s="331" t="s">
        <v>13359</v>
      </c>
      <c r="RRE1" s="331" t="s">
        <v>13360</v>
      </c>
      <c r="RRF1" s="331" t="s">
        <v>13361</v>
      </c>
      <c r="RRG1" s="331" t="s">
        <v>13362</v>
      </c>
      <c r="RRH1" s="331" t="s">
        <v>13363</v>
      </c>
      <c r="RRI1" s="331" t="s">
        <v>13364</v>
      </c>
      <c r="RRJ1" s="331" t="s">
        <v>13365</v>
      </c>
      <c r="RRK1" s="331" t="s">
        <v>13366</v>
      </c>
      <c r="RRL1" s="331" t="s">
        <v>13367</v>
      </c>
      <c r="RRM1" s="331" t="s">
        <v>13368</v>
      </c>
      <c r="RRN1" s="331" t="s">
        <v>13369</v>
      </c>
      <c r="RRO1" s="331" t="s">
        <v>13370</v>
      </c>
      <c r="RRP1" s="331" t="s">
        <v>13371</v>
      </c>
      <c r="RRQ1" s="331" t="s">
        <v>13372</v>
      </c>
      <c r="RRR1" s="331" t="s">
        <v>13373</v>
      </c>
      <c r="RRS1" s="331" t="s">
        <v>13374</v>
      </c>
      <c r="RRT1" s="331" t="s">
        <v>13375</v>
      </c>
      <c r="RRU1" s="331" t="s">
        <v>13376</v>
      </c>
      <c r="RRV1" s="331" t="s">
        <v>13377</v>
      </c>
      <c r="RRW1" s="331" t="s">
        <v>13378</v>
      </c>
      <c r="RRX1" s="331" t="s">
        <v>13379</v>
      </c>
      <c r="RRY1" s="331" t="s">
        <v>13380</v>
      </c>
      <c r="RRZ1" s="331" t="s">
        <v>13381</v>
      </c>
      <c r="RSA1" s="331" t="s">
        <v>13382</v>
      </c>
      <c r="RSB1" s="331" t="s">
        <v>13383</v>
      </c>
      <c r="RSC1" s="331" t="s">
        <v>13384</v>
      </c>
      <c r="RSD1" s="331" t="s">
        <v>13385</v>
      </c>
      <c r="RSE1" s="331" t="s">
        <v>13386</v>
      </c>
      <c r="RSF1" s="331" t="s">
        <v>13387</v>
      </c>
      <c r="RSG1" s="331" t="s">
        <v>13388</v>
      </c>
      <c r="RSH1" s="331" t="s">
        <v>13389</v>
      </c>
      <c r="RSI1" s="331" t="s">
        <v>13390</v>
      </c>
      <c r="RSJ1" s="331" t="s">
        <v>13391</v>
      </c>
      <c r="RSK1" s="331" t="s">
        <v>13392</v>
      </c>
      <c r="RSL1" s="331" t="s">
        <v>13393</v>
      </c>
      <c r="RSM1" s="331" t="s">
        <v>13394</v>
      </c>
      <c r="RSN1" s="331" t="s">
        <v>13395</v>
      </c>
      <c r="RSO1" s="331" t="s">
        <v>13396</v>
      </c>
      <c r="RSP1" s="331" t="s">
        <v>13397</v>
      </c>
      <c r="RSQ1" s="331" t="s">
        <v>13398</v>
      </c>
      <c r="RSR1" s="331" t="s">
        <v>13399</v>
      </c>
      <c r="RSS1" s="331" t="s">
        <v>13400</v>
      </c>
      <c r="RST1" s="331" t="s">
        <v>13401</v>
      </c>
      <c r="RSU1" s="331" t="s">
        <v>13402</v>
      </c>
      <c r="RSV1" s="331" t="s">
        <v>13403</v>
      </c>
      <c r="RSW1" s="331" t="s">
        <v>13404</v>
      </c>
      <c r="RSX1" s="331" t="s">
        <v>13405</v>
      </c>
      <c r="RSY1" s="331" t="s">
        <v>13406</v>
      </c>
      <c r="RSZ1" s="331" t="s">
        <v>13407</v>
      </c>
      <c r="RTA1" s="331" t="s">
        <v>13408</v>
      </c>
      <c r="RTB1" s="331" t="s">
        <v>13409</v>
      </c>
      <c r="RTC1" s="331" t="s">
        <v>13410</v>
      </c>
      <c r="RTD1" s="331" t="s">
        <v>13411</v>
      </c>
      <c r="RTE1" s="331" t="s">
        <v>13412</v>
      </c>
      <c r="RTF1" s="331" t="s">
        <v>13413</v>
      </c>
      <c r="RTG1" s="331" t="s">
        <v>13414</v>
      </c>
      <c r="RTH1" s="331" t="s">
        <v>13415</v>
      </c>
      <c r="RTI1" s="331" t="s">
        <v>13416</v>
      </c>
      <c r="RTJ1" s="331" t="s">
        <v>13417</v>
      </c>
      <c r="RTK1" s="331" t="s">
        <v>13418</v>
      </c>
      <c r="RTL1" s="331" t="s">
        <v>13419</v>
      </c>
      <c r="RTM1" s="331" t="s">
        <v>13420</v>
      </c>
      <c r="RTN1" s="331" t="s">
        <v>13421</v>
      </c>
      <c r="RTO1" s="331" t="s">
        <v>13422</v>
      </c>
      <c r="RTP1" s="331" t="s">
        <v>13423</v>
      </c>
      <c r="RTQ1" s="331" t="s">
        <v>13424</v>
      </c>
      <c r="RTR1" s="331" t="s">
        <v>13425</v>
      </c>
      <c r="RTS1" s="331" t="s">
        <v>13426</v>
      </c>
      <c r="RTT1" s="331" t="s">
        <v>13427</v>
      </c>
      <c r="RTU1" s="331" t="s">
        <v>13428</v>
      </c>
      <c r="RTV1" s="331" t="s">
        <v>13429</v>
      </c>
      <c r="RTW1" s="331" t="s">
        <v>13430</v>
      </c>
      <c r="RTX1" s="331" t="s">
        <v>13431</v>
      </c>
      <c r="RTY1" s="331" t="s">
        <v>13432</v>
      </c>
      <c r="RTZ1" s="331" t="s">
        <v>13433</v>
      </c>
      <c r="RUA1" s="331" t="s">
        <v>13434</v>
      </c>
      <c r="RUB1" s="331" t="s">
        <v>13435</v>
      </c>
      <c r="RUC1" s="331" t="s">
        <v>13436</v>
      </c>
      <c r="RUD1" s="331" t="s">
        <v>13437</v>
      </c>
      <c r="RUE1" s="331" t="s">
        <v>13438</v>
      </c>
      <c r="RUF1" s="331" t="s">
        <v>13439</v>
      </c>
      <c r="RUG1" s="331" t="s">
        <v>13440</v>
      </c>
      <c r="RUH1" s="331" t="s">
        <v>13441</v>
      </c>
      <c r="RUI1" s="331" t="s">
        <v>13442</v>
      </c>
      <c r="RUJ1" s="331" t="s">
        <v>13443</v>
      </c>
      <c r="RUK1" s="331" t="s">
        <v>13444</v>
      </c>
      <c r="RUL1" s="331" t="s">
        <v>13445</v>
      </c>
      <c r="RUM1" s="331" t="s">
        <v>13446</v>
      </c>
      <c r="RUN1" s="331" t="s">
        <v>13447</v>
      </c>
      <c r="RUO1" s="331" t="s">
        <v>13448</v>
      </c>
      <c r="RUP1" s="331" t="s">
        <v>13449</v>
      </c>
      <c r="RUQ1" s="331" t="s">
        <v>13450</v>
      </c>
      <c r="RUR1" s="331" t="s">
        <v>13451</v>
      </c>
      <c r="RUS1" s="331" t="s">
        <v>13452</v>
      </c>
      <c r="RUT1" s="331" t="s">
        <v>13453</v>
      </c>
      <c r="RUU1" s="331" t="s">
        <v>13454</v>
      </c>
      <c r="RUV1" s="331" t="s">
        <v>13455</v>
      </c>
      <c r="RUW1" s="331" t="s">
        <v>13456</v>
      </c>
      <c r="RUX1" s="331" t="s">
        <v>13457</v>
      </c>
      <c r="RUY1" s="331" t="s">
        <v>13458</v>
      </c>
      <c r="RUZ1" s="331" t="s">
        <v>13459</v>
      </c>
      <c r="RVA1" s="331" t="s">
        <v>13460</v>
      </c>
      <c r="RVB1" s="331" t="s">
        <v>13461</v>
      </c>
      <c r="RVC1" s="331" t="s">
        <v>13462</v>
      </c>
      <c r="RVD1" s="331" t="s">
        <v>13463</v>
      </c>
      <c r="RVE1" s="331" t="s">
        <v>13464</v>
      </c>
      <c r="RVF1" s="331" t="s">
        <v>13465</v>
      </c>
      <c r="RVG1" s="331" t="s">
        <v>13466</v>
      </c>
      <c r="RVH1" s="331" t="s">
        <v>13467</v>
      </c>
      <c r="RVI1" s="331" t="s">
        <v>13468</v>
      </c>
      <c r="RVJ1" s="331" t="s">
        <v>13469</v>
      </c>
      <c r="RVK1" s="331" t="s">
        <v>13470</v>
      </c>
      <c r="RVL1" s="331" t="s">
        <v>13471</v>
      </c>
      <c r="RVM1" s="331" t="s">
        <v>13472</v>
      </c>
      <c r="RVN1" s="331" t="s">
        <v>13473</v>
      </c>
      <c r="RVO1" s="331" t="s">
        <v>13474</v>
      </c>
      <c r="RVP1" s="331" t="s">
        <v>13475</v>
      </c>
      <c r="RVQ1" s="331" t="s">
        <v>13476</v>
      </c>
      <c r="RVR1" s="331" t="s">
        <v>13477</v>
      </c>
      <c r="RVS1" s="331" t="s">
        <v>13478</v>
      </c>
      <c r="RVT1" s="331" t="s">
        <v>13479</v>
      </c>
      <c r="RVU1" s="331" t="s">
        <v>13480</v>
      </c>
      <c r="RVV1" s="331" t="s">
        <v>13481</v>
      </c>
      <c r="RVW1" s="331" t="s">
        <v>13482</v>
      </c>
      <c r="RVX1" s="331" t="s">
        <v>13483</v>
      </c>
      <c r="RVY1" s="331" t="s">
        <v>13484</v>
      </c>
      <c r="RVZ1" s="331" t="s">
        <v>13485</v>
      </c>
      <c r="RWA1" s="331" t="s">
        <v>13486</v>
      </c>
      <c r="RWB1" s="331" t="s">
        <v>13487</v>
      </c>
      <c r="RWC1" s="331" t="s">
        <v>13488</v>
      </c>
      <c r="RWD1" s="331" t="s">
        <v>13489</v>
      </c>
      <c r="RWE1" s="331" t="s">
        <v>13490</v>
      </c>
      <c r="RWF1" s="331" t="s">
        <v>13491</v>
      </c>
      <c r="RWG1" s="331" t="s">
        <v>13492</v>
      </c>
      <c r="RWH1" s="331" t="s">
        <v>13493</v>
      </c>
      <c r="RWI1" s="331" t="s">
        <v>13494</v>
      </c>
      <c r="RWJ1" s="331" t="s">
        <v>13495</v>
      </c>
      <c r="RWK1" s="331" t="s">
        <v>13496</v>
      </c>
      <c r="RWL1" s="331" t="s">
        <v>13497</v>
      </c>
      <c r="RWM1" s="331" t="s">
        <v>13498</v>
      </c>
      <c r="RWN1" s="331" t="s">
        <v>13499</v>
      </c>
      <c r="RWO1" s="331" t="s">
        <v>13500</v>
      </c>
      <c r="RWP1" s="331" t="s">
        <v>13501</v>
      </c>
      <c r="RWQ1" s="331" t="s">
        <v>13502</v>
      </c>
      <c r="RWR1" s="331" t="s">
        <v>13503</v>
      </c>
      <c r="RWS1" s="331" t="s">
        <v>13504</v>
      </c>
      <c r="RWT1" s="331" t="s">
        <v>13505</v>
      </c>
      <c r="RWU1" s="331" t="s">
        <v>13506</v>
      </c>
      <c r="RWV1" s="331" t="s">
        <v>13507</v>
      </c>
      <c r="RWW1" s="331" t="s">
        <v>13508</v>
      </c>
      <c r="RWX1" s="331" t="s">
        <v>13509</v>
      </c>
      <c r="RWY1" s="331" t="s">
        <v>13510</v>
      </c>
      <c r="RWZ1" s="331" t="s">
        <v>13511</v>
      </c>
      <c r="RXA1" s="331" t="s">
        <v>13512</v>
      </c>
      <c r="RXB1" s="331" t="s">
        <v>13513</v>
      </c>
      <c r="RXC1" s="331" t="s">
        <v>13514</v>
      </c>
      <c r="RXD1" s="331" t="s">
        <v>13515</v>
      </c>
      <c r="RXE1" s="331" t="s">
        <v>13516</v>
      </c>
      <c r="RXF1" s="331" t="s">
        <v>13517</v>
      </c>
      <c r="RXG1" s="331" t="s">
        <v>13518</v>
      </c>
      <c r="RXH1" s="331" t="s">
        <v>13519</v>
      </c>
      <c r="RXI1" s="331" t="s">
        <v>13520</v>
      </c>
      <c r="RXJ1" s="331" t="s">
        <v>13521</v>
      </c>
      <c r="RXK1" s="331" t="s">
        <v>13522</v>
      </c>
      <c r="RXL1" s="331" t="s">
        <v>13523</v>
      </c>
      <c r="RXM1" s="331" t="s">
        <v>13524</v>
      </c>
      <c r="RXN1" s="331" t="s">
        <v>13525</v>
      </c>
      <c r="RXO1" s="331" t="s">
        <v>13526</v>
      </c>
      <c r="RXP1" s="331" t="s">
        <v>13527</v>
      </c>
      <c r="RXQ1" s="331" t="s">
        <v>13528</v>
      </c>
      <c r="RXR1" s="331" t="s">
        <v>13529</v>
      </c>
      <c r="RXS1" s="331" t="s">
        <v>13530</v>
      </c>
      <c r="RXT1" s="331" t="s">
        <v>13531</v>
      </c>
      <c r="RXU1" s="331" t="s">
        <v>13532</v>
      </c>
      <c r="RXV1" s="331" t="s">
        <v>13533</v>
      </c>
      <c r="RXW1" s="331" t="s">
        <v>13534</v>
      </c>
      <c r="RXX1" s="331" t="s">
        <v>13535</v>
      </c>
      <c r="RXY1" s="331" t="s">
        <v>13536</v>
      </c>
      <c r="RXZ1" s="331" t="s">
        <v>13537</v>
      </c>
      <c r="RYA1" s="331" t="s">
        <v>13538</v>
      </c>
      <c r="RYB1" s="331" t="s">
        <v>13539</v>
      </c>
      <c r="RYC1" s="331" t="s">
        <v>13540</v>
      </c>
      <c r="RYD1" s="331" t="s">
        <v>13541</v>
      </c>
      <c r="RYE1" s="331" t="s">
        <v>13542</v>
      </c>
      <c r="RYF1" s="331" t="s">
        <v>13543</v>
      </c>
      <c r="RYG1" s="331" t="s">
        <v>13544</v>
      </c>
      <c r="RYH1" s="331" t="s">
        <v>13545</v>
      </c>
      <c r="RYI1" s="331" t="s">
        <v>13546</v>
      </c>
      <c r="RYJ1" s="331" t="s">
        <v>13547</v>
      </c>
      <c r="RYK1" s="331" t="s">
        <v>13548</v>
      </c>
      <c r="RYL1" s="331" t="s">
        <v>13549</v>
      </c>
      <c r="RYM1" s="331" t="s">
        <v>13550</v>
      </c>
      <c r="RYN1" s="331" t="s">
        <v>13551</v>
      </c>
      <c r="RYO1" s="331" t="s">
        <v>13552</v>
      </c>
      <c r="RYP1" s="331" t="s">
        <v>13553</v>
      </c>
      <c r="RYQ1" s="331" t="s">
        <v>13554</v>
      </c>
      <c r="RYR1" s="331" t="s">
        <v>13555</v>
      </c>
      <c r="RYS1" s="331" t="s">
        <v>13556</v>
      </c>
      <c r="RYT1" s="331" t="s">
        <v>13557</v>
      </c>
      <c r="RYU1" s="331" t="s">
        <v>13558</v>
      </c>
      <c r="RYV1" s="331" t="s">
        <v>13559</v>
      </c>
      <c r="RYW1" s="331" t="s">
        <v>13560</v>
      </c>
      <c r="RYX1" s="331" t="s">
        <v>13561</v>
      </c>
      <c r="RYY1" s="331" t="s">
        <v>13562</v>
      </c>
      <c r="RYZ1" s="331" t="s">
        <v>13563</v>
      </c>
      <c r="RZA1" s="331" t="s">
        <v>13564</v>
      </c>
      <c r="RZB1" s="331" t="s">
        <v>13565</v>
      </c>
      <c r="RZC1" s="331" t="s">
        <v>13566</v>
      </c>
      <c r="RZD1" s="331" t="s">
        <v>13567</v>
      </c>
      <c r="RZE1" s="331" t="s">
        <v>13568</v>
      </c>
      <c r="RZF1" s="331" t="s">
        <v>13569</v>
      </c>
      <c r="RZG1" s="331" t="s">
        <v>13570</v>
      </c>
      <c r="RZH1" s="331" t="s">
        <v>13571</v>
      </c>
      <c r="RZI1" s="331" t="s">
        <v>13572</v>
      </c>
      <c r="RZJ1" s="331" t="s">
        <v>13573</v>
      </c>
      <c r="RZK1" s="331" t="s">
        <v>13574</v>
      </c>
      <c r="RZL1" s="331" t="s">
        <v>13575</v>
      </c>
      <c r="RZM1" s="331" t="s">
        <v>13576</v>
      </c>
      <c r="RZN1" s="331" t="s">
        <v>13577</v>
      </c>
      <c r="RZO1" s="331" t="s">
        <v>13578</v>
      </c>
      <c r="RZP1" s="331" t="s">
        <v>13579</v>
      </c>
      <c r="RZQ1" s="331" t="s">
        <v>13580</v>
      </c>
      <c r="RZR1" s="331" t="s">
        <v>13581</v>
      </c>
      <c r="RZS1" s="331" t="s">
        <v>13582</v>
      </c>
      <c r="RZT1" s="331" t="s">
        <v>13583</v>
      </c>
      <c r="RZU1" s="331" t="s">
        <v>13584</v>
      </c>
      <c r="RZV1" s="331" t="s">
        <v>13585</v>
      </c>
      <c r="RZW1" s="331" t="s">
        <v>13586</v>
      </c>
      <c r="RZX1" s="331" t="s">
        <v>13587</v>
      </c>
      <c r="RZY1" s="331" t="s">
        <v>13588</v>
      </c>
      <c r="RZZ1" s="331" t="s">
        <v>13589</v>
      </c>
      <c r="SAA1" s="331" t="s">
        <v>13590</v>
      </c>
      <c r="SAB1" s="331" t="s">
        <v>13591</v>
      </c>
      <c r="SAC1" s="331" t="s">
        <v>13592</v>
      </c>
      <c r="SAD1" s="331" t="s">
        <v>13593</v>
      </c>
      <c r="SAE1" s="331" t="s">
        <v>13594</v>
      </c>
      <c r="SAF1" s="331" t="s">
        <v>13595</v>
      </c>
      <c r="SAG1" s="331" t="s">
        <v>13596</v>
      </c>
      <c r="SAH1" s="331" t="s">
        <v>13597</v>
      </c>
      <c r="SAI1" s="331" t="s">
        <v>13598</v>
      </c>
      <c r="SAJ1" s="331" t="s">
        <v>13599</v>
      </c>
      <c r="SAK1" s="331" t="s">
        <v>13600</v>
      </c>
      <c r="SAL1" s="331" t="s">
        <v>13601</v>
      </c>
      <c r="SAM1" s="331" t="s">
        <v>13602</v>
      </c>
      <c r="SAN1" s="331" t="s">
        <v>13603</v>
      </c>
      <c r="SAO1" s="331" t="s">
        <v>13604</v>
      </c>
      <c r="SAP1" s="331" t="s">
        <v>13605</v>
      </c>
      <c r="SAQ1" s="331" t="s">
        <v>13606</v>
      </c>
      <c r="SAR1" s="331" t="s">
        <v>13607</v>
      </c>
      <c r="SAS1" s="331" t="s">
        <v>13608</v>
      </c>
      <c r="SAT1" s="331" t="s">
        <v>13609</v>
      </c>
      <c r="SAU1" s="331" t="s">
        <v>13610</v>
      </c>
      <c r="SAV1" s="331" t="s">
        <v>13611</v>
      </c>
      <c r="SAW1" s="331" t="s">
        <v>13612</v>
      </c>
      <c r="SAX1" s="331" t="s">
        <v>13613</v>
      </c>
      <c r="SAY1" s="331" t="s">
        <v>13614</v>
      </c>
      <c r="SAZ1" s="331" t="s">
        <v>13615</v>
      </c>
      <c r="SBA1" s="331" t="s">
        <v>13616</v>
      </c>
      <c r="SBB1" s="331" t="s">
        <v>13617</v>
      </c>
      <c r="SBC1" s="331" t="s">
        <v>13618</v>
      </c>
      <c r="SBD1" s="331" t="s">
        <v>13619</v>
      </c>
      <c r="SBE1" s="331" t="s">
        <v>13620</v>
      </c>
      <c r="SBF1" s="331" t="s">
        <v>13621</v>
      </c>
      <c r="SBG1" s="331" t="s">
        <v>13622</v>
      </c>
      <c r="SBH1" s="331" t="s">
        <v>13623</v>
      </c>
      <c r="SBI1" s="331" t="s">
        <v>13624</v>
      </c>
      <c r="SBJ1" s="331" t="s">
        <v>13625</v>
      </c>
      <c r="SBK1" s="331" t="s">
        <v>13626</v>
      </c>
      <c r="SBL1" s="331" t="s">
        <v>13627</v>
      </c>
      <c r="SBM1" s="331" t="s">
        <v>13628</v>
      </c>
      <c r="SBN1" s="331" t="s">
        <v>13629</v>
      </c>
      <c r="SBO1" s="331" t="s">
        <v>13630</v>
      </c>
      <c r="SBP1" s="331" t="s">
        <v>13631</v>
      </c>
      <c r="SBQ1" s="331" t="s">
        <v>13632</v>
      </c>
      <c r="SBR1" s="331" t="s">
        <v>13633</v>
      </c>
      <c r="SBS1" s="331" t="s">
        <v>13634</v>
      </c>
      <c r="SBT1" s="331" t="s">
        <v>13635</v>
      </c>
      <c r="SBU1" s="331" t="s">
        <v>13636</v>
      </c>
      <c r="SBV1" s="331" t="s">
        <v>13637</v>
      </c>
      <c r="SBW1" s="331" t="s">
        <v>13638</v>
      </c>
      <c r="SBX1" s="331" t="s">
        <v>13639</v>
      </c>
      <c r="SBY1" s="331" t="s">
        <v>13640</v>
      </c>
      <c r="SBZ1" s="331" t="s">
        <v>13641</v>
      </c>
      <c r="SCA1" s="331" t="s">
        <v>13642</v>
      </c>
      <c r="SCB1" s="331" t="s">
        <v>13643</v>
      </c>
      <c r="SCC1" s="331" t="s">
        <v>13644</v>
      </c>
      <c r="SCD1" s="331" t="s">
        <v>13645</v>
      </c>
      <c r="SCE1" s="331" t="s">
        <v>13646</v>
      </c>
      <c r="SCF1" s="331" t="s">
        <v>13647</v>
      </c>
      <c r="SCG1" s="331" t="s">
        <v>13648</v>
      </c>
      <c r="SCH1" s="331" t="s">
        <v>13649</v>
      </c>
      <c r="SCI1" s="331" t="s">
        <v>13650</v>
      </c>
      <c r="SCJ1" s="331" t="s">
        <v>13651</v>
      </c>
      <c r="SCK1" s="331" t="s">
        <v>13652</v>
      </c>
      <c r="SCL1" s="331" t="s">
        <v>13653</v>
      </c>
      <c r="SCM1" s="331" t="s">
        <v>13654</v>
      </c>
      <c r="SCN1" s="331" t="s">
        <v>13655</v>
      </c>
      <c r="SCO1" s="331" t="s">
        <v>13656</v>
      </c>
      <c r="SCP1" s="331" t="s">
        <v>13657</v>
      </c>
      <c r="SCQ1" s="331" t="s">
        <v>13658</v>
      </c>
      <c r="SCR1" s="331" t="s">
        <v>13659</v>
      </c>
      <c r="SCS1" s="331" t="s">
        <v>13660</v>
      </c>
      <c r="SCT1" s="331" t="s">
        <v>13661</v>
      </c>
      <c r="SCU1" s="331" t="s">
        <v>13662</v>
      </c>
      <c r="SCV1" s="331" t="s">
        <v>13663</v>
      </c>
      <c r="SCW1" s="331" t="s">
        <v>13664</v>
      </c>
      <c r="SCX1" s="331" t="s">
        <v>13665</v>
      </c>
      <c r="SCY1" s="331" t="s">
        <v>13666</v>
      </c>
      <c r="SCZ1" s="331" t="s">
        <v>13667</v>
      </c>
      <c r="SDA1" s="331" t="s">
        <v>13668</v>
      </c>
      <c r="SDB1" s="331" t="s">
        <v>13669</v>
      </c>
      <c r="SDC1" s="331" t="s">
        <v>13670</v>
      </c>
      <c r="SDD1" s="331" t="s">
        <v>13671</v>
      </c>
      <c r="SDE1" s="331" t="s">
        <v>13672</v>
      </c>
      <c r="SDF1" s="331" t="s">
        <v>13673</v>
      </c>
      <c r="SDG1" s="331" t="s">
        <v>13674</v>
      </c>
      <c r="SDH1" s="331" t="s">
        <v>13675</v>
      </c>
      <c r="SDI1" s="331" t="s">
        <v>13676</v>
      </c>
      <c r="SDJ1" s="331" t="s">
        <v>13677</v>
      </c>
      <c r="SDK1" s="331" t="s">
        <v>13678</v>
      </c>
      <c r="SDL1" s="331" t="s">
        <v>13679</v>
      </c>
      <c r="SDM1" s="331" t="s">
        <v>13680</v>
      </c>
      <c r="SDN1" s="331" t="s">
        <v>13681</v>
      </c>
      <c r="SDO1" s="331" t="s">
        <v>13682</v>
      </c>
      <c r="SDP1" s="331" t="s">
        <v>13683</v>
      </c>
      <c r="SDQ1" s="331" t="s">
        <v>13684</v>
      </c>
      <c r="SDR1" s="331" t="s">
        <v>13685</v>
      </c>
      <c r="SDS1" s="331" t="s">
        <v>13686</v>
      </c>
      <c r="SDT1" s="331" t="s">
        <v>13687</v>
      </c>
      <c r="SDU1" s="331" t="s">
        <v>13688</v>
      </c>
      <c r="SDV1" s="331" t="s">
        <v>13689</v>
      </c>
      <c r="SDW1" s="331" t="s">
        <v>13690</v>
      </c>
      <c r="SDX1" s="331" t="s">
        <v>13691</v>
      </c>
      <c r="SDY1" s="331" t="s">
        <v>13692</v>
      </c>
      <c r="SDZ1" s="331" t="s">
        <v>13693</v>
      </c>
      <c r="SEA1" s="331" t="s">
        <v>13694</v>
      </c>
      <c r="SEB1" s="331" t="s">
        <v>13695</v>
      </c>
      <c r="SEC1" s="331" t="s">
        <v>13696</v>
      </c>
      <c r="SED1" s="331" t="s">
        <v>13697</v>
      </c>
      <c r="SEE1" s="331" t="s">
        <v>13698</v>
      </c>
      <c r="SEF1" s="331" t="s">
        <v>13699</v>
      </c>
      <c r="SEG1" s="331" t="s">
        <v>13700</v>
      </c>
      <c r="SEH1" s="331" t="s">
        <v>13701</v>
      </c>
      <c r="SEI1" s="331" t="s">
        <v>13702</v>
      </c>
      <c r="SEJ1" s="331" t="s">
        <v>13703</v>
      </c>
      <c r="SEK1" s="331" t="s">
        <v>13704</v>
      </c>
      <c r="SEL1" s="331" t="s">
        <v>13705</v>
      </c>
      <c r="SEM1" s="331" t="s">
        <v>13706</v>
      </c>
      <c r="SEN1" s="331" t="s">
        <v>13707</v>
      </c>
      <c r="SEO1" s="331" t="s">
        <v>13708</v>
      </c>
      <c r="SEP1" s="331" t="s">
        <v>13709</v>
      </c>
      <c r="SEQ1" s="331" t="s">
        <v>13710</v>
      </c>
      <c r="SER1" s="331" t="s">
        <v>13711</v>
      </c>
      <c r="SES1" s="331" t="s">
        <v>13712</v>
      </c>
      <c r="SET1" s="331" t="s">
        <v>13713</v>
      </c>
      <c r="SEU1" s="331" t="s">
        <v>13714</v>
      </c>
      <c r="SEV1" s="331" t="s">
        <v>13715</v>
      </c>
      <c r="SEW1" s="331" t="s">
        <v>13716</v>
      </c>
      <c r="SEX1" s="331" t="s">
        <v>13717</v>
      </c>
      <c r="SEY1" s="331" t="s">
        <v>13718</v>
      </c>
      <c r="SEZ1" s="331" t="s">
        <v>13719</v>
      </c>
      <c r="SFA1" s="331" t="s">
        <v>13720</v>
      </c>
      <c r="SFB1" s="331" t="s">
        <v>13721</v>
      </c>
      <c r="SFC1" s="331" t="s">
        <v>13722</v>
      </c>
      <c r="SFD1" s="331" t="s">
        <v>13723</v>
      </c>
      <c r="SFE1" s="331" t="s">
        <v>13724</v>
      </c>
      <c r="SFF1" s="331" t="s">
        <v>13725</v>
      </c>
      <c r="SFG1" s="331" t="s">
        <v>13726</v>
      </c>
      <c r="SFH1" s="331" t="s">
        <v>13727</v>
      </c>
      <c r="SFI1" s="331" t="s">
        <v>13728</v>
      </c>
      <c r="SFJ1" s="331" t="s">
        <v>13729</v>
      </c>
      <c r="SFK1" s="331" t="s">
        <v>13730</v>
      </c>
      <c r="SFL1" s="331" t="s">
        <v>13731</v>
      </c>
      <c r="SFM1" s="331" t="s">
        <v>13732</v>
      </c>
      <c r="SFN1" s="331" t="s">
        <v>13733</v>
      </c>
      <c r="SFO1" s="331" t="s">
        <v>13734</v>
      </c>
      <c r="SFP1" s="331" t="s">
        <v>13735</v>
      </c>
      <c r="SFQ1" s="331" t="s">
        <v>13736</v>
      </c>
      <c r="SFR1" s="331" t="s">
        <v>13737</v>
      </c>
      <c r="SFS1" s="331" t="s">
        <v>13738</v>
      </c>
      <c r="SFT1" s="331" t="s">
        <v>13739</v>
      </c>
      <c r="SFU1" s="331" t="s">
        <v>13740</v>
      </c>
      <c r="SFV1" s="331" t="s">
        <v>13741</v>
      </c>
      <c r="SFW1" s="331" t="s">
        <v>13742</v>
      </c>
      <c r="SFX1" s="331" t="s">
        <v>13743</v>
      </c>
      <c r="SFY1" s="331" t="s">
        <v>13744</v>
      </c>
      <c r="SFZ1" s="331" t="s">
        <v>13745</v>
      </c>
      <c r="SGA1" s="331" t="s">
        <v>13746</v>
      </c>
      <c r="SGB1" s="331" t="s">
        <v>13747</v>
      </c>
      <c r="SGC1" s="331" t="s">
        <v>13748</v>
      </c>
      <c r="SGD1" s="331" t="s">
        <v>13749</v>
      </c>
      <c r="SGE1" s="331" t="s">
        <v>13750</v>
      </c>
      <c r="SGF1" s="331" t="s">
        <v>13751</v>
      </c>
      <c r="SGG1" s="331" t="s">
        <v>13752</v>
      </c>
      <c r="SGH1" s="331" t="s">
        <v>13753</v>
      </c>
      <c r="SGI1" s="331" t="s">
        <v>13754</v>
      </c>
      <c r="SGJ1" s="331" t="s">
        <v>13755</v>
      </c>
      <c r="SGK1" s="331" t="s">
        <v>13756</v>
      </c>
      <c r="SGL1" s="331" t="s">
        <v>13757</v>
      </c>
      <c r="SGM1" s="331" t="s">
        <v>13758</v>
      </c>
      <c r="SGN1" s="331" t="s">
        <v>13759</v>
      </c>
      <c r="SGO1" s="331" t="s">
        <v>13760</v>
      </c>
      <c r="SGP1" s="331" t="s">
        <v>13761</v>
      </c>
      <c r="SGQ1" s="331" t="s">
        <v>13762</v>
      </c>
      <c r="SGR1" s="331" t="s">
        <v>13763</v>
      </c>
      <c r="SGS1" s="331" t="s">
        <v>13764</v>
      </c>
      <c r="SGT1" s="331" t="s">
        <v>13765</v>
      </c>
      <c r="SGU1" s="331" t="s">
        <v>13766</v>
      </c>
      <c r="SGV1" s="331" t="s">
        <v>13767</v>
      </c>
      <c r="SGW1" s="331" t="s">
        <v>13768</v>
      </c>
      <c r="SGX1" s="331" t="s">
        <v>13769</v>
      </c>
      <c r="SGY1" s="331" t="s">
        <v>13770</v>
      </c>
      <c r="SGZ1" s="331" t="s">
        <v>13771</v>
      </c>
      <c r="SHA1" s="331" t="s">
        <v>13772</v>
      </c>
      <c r="SHB1" s="331" t="s">
        <v>13773</v>
      </c>
      <c r="SHC1" s="331" t="s">
        <v>13774</v>
      </c>
      <c r="SHD1" s="331" t="s">
        <v>13775</v>
      </c>
      <c r="SHE1" s="331" t="s">
        <v>13776</v>
      </c>
      <c r="SHF1" s="331" t="s">
        <v>13777</v>
      </c>
      <c r="SHG1" s="331" t="s">
        <v>13778</v>
      </c>
      <c r="SHH1" s="331" t="s">
        <v>13779</v>
      </c>
      <c r="SHI1" s="331" t="s">
        <v>13780</v>
      </c>
      <c r="SHJ1" s="331" t="s">
        <v>13781</v>
      </c>
      <c r="SHK1" s="331" t="s">
        <v>13782</v>
      </c>
      <c r="SHL1" s="331" t="s">
        <v>13783</v>
      </c>
      <c r="SHM1" s="331" t="s">
        <v>13784</v>
      </c>
      <c r="SHN1" s="331" t="s">
        <v>13785</v>
      </c>
      <c r="SHO1" s="331" t="s">
        <v>13786</v>
      </c>
      <c r="SHP1" s="331" t="s">
        <v>13787</v>
      </c>
      <c r="SHQ1" s="331" t="s">
        <v>13788</v>
      </c>
      <c r="SHR1" s="331" t="s">
        <v>13789</v>
      </c>
      <c r="SHS1" s="331" t="s">
        <v>13790</v>
      </c>
      <c r="SHT1" s="331" t="s">
        <v>13791</v>
      </c>
      <c r="SHU1" s="331" t="s">
        <v>13792</v>
      </c>
      <c r="SHV1" s="331" t="s">
        <v>13793</v>
      </c>
      <c r="SHW1" s="331" t="s">
        <v>13794</v>
      </c>
      <c r="SHX1" s="331" t="s">
        <v>13795</v>
      </c>
      <c r="SHY1" s="331" t="s">
        <v>13796</v>
      </c>
      <c r="SHZ1" s="331" t="s">
        <v>13797</v>
      </c>
      <c r="SIA1" s="331" t="s">
        <v>13798</v>
      </c>
      <c r="SIB1" s="331" t="s">
        <v>13799</v>
      </c>
      <c r="SIC1" s="331" t="s">
        <v>13800</v>
      </c>
      <c r="SID1" s="331" t="s">
        <v>13801</v>
      </c>
      <c r="SIE1" s="331" t="s">
        <v>13802</v>
      </c>
      <c r="SIF1" s="331" t="s">
        <v>13803</v>
      </c>
      <c r="SIG1" s="331" t="s">
        <v>13804</v>
      </c>
      <c r="SIH1" s="331" t="s">
        <v>13805</v>
      </c>
      <c r="SII1" s="331" t="s">
        <v>13806</v>
      </c>
      <c r="SIJ1" s="331" t="s">
        <v>13807</v>
      </c>
      <c r="SIK1" s="331" t="s">
        <v>13808</v>
      </c>
      <c r="SIL1" s="331" t="s">
        <v>13809</v>
      </c>
      <c r="SIM1" s="331" t="s">
        <v>13810</v>
      </c>
      <c r="SIN1" s="331" t="s">
        <v>13811</v>
      </c>
      <c r="SIO1" s="331" t="s">
        <v>13812</v>
      </c>
      <c r="SIP1" s="331" t="s">
        <v>13813</v>
      </c>
      <c r="SIQ1" s="331" t="s">
        <v>13814</v>
      </c>
      <c r="SIR1" s="331" t="s">
        <v>13815</v>
      </c>
      <c r="SIS1" s="331" t="s">
        <v>13816</v>
      </c>
      <c r="SIT1" s="331" t="s">
        <v>13817</v>
      </c>
      <c r="SIU1" s="331" t="s">
        <v>13818</v>
      </c>
      <c r="SIV1" s="331" t="s">
        <v>13819</v>
      </c>
      <c r="SIW1" s="331" t="s">
        <v>13820</v>
      </c>
      <c r="SIX1" s="331" t="s">
        <v>13821</v>
      </c>
      <c r="SIY1" s="331" t="s">
        <v>13822</v>
      </c>
      <c r="SIZ1" s="331" t="s">
        <v>13823</v>
      </c>
      <c r="SJA1" s="331" t="s">
        <v>13824</v>
      </c>
      <c r="SJB1" s="331" t="s">
        <v>13825</v>
      </c>
      <c r="SJC1" s="331" t="s">
        <v>13826</v>
      </c>
      <c r="SJD1" s="331" t="s">
        <v>13827</v>
      </c>
      <c r="SJE1" s="331" t="s">
        <v>13828</v>
      </c>
      <c r="SJF1" s="331" t="s">
        <v>13829</v>
      </c>
      <c r="SJG1" s="331" t="s">
        <v>13830</v>
      </c>
      <c r="SJH1" s="331" t="s">
        <v>13831</v>
      </c>
      <c r="SJI1" s="331" t="s">
        <v>13832</v>
      </c>
      <c r="SJJ1" s="331" t="s">
        <v>13833</v>
      </c>
      <c r="SJK1" s="331" t="s">
        <v>13834</v>
      </c>
      <c r="SJL1" s="331" t="s">
        <v>13835</v>
      </c>
      <c r="SJM1" s="331" t="s">
        <v>13836</v>
      </c>
      <c r="SJN1" s="331" t="s">
        <v>13837</v>
      </c>
      <c r="SJO1" s="331" t="s">
        <v>13838</v>
      </c>
      <c r="SJP1" s="331" t="s">
        <v>13839</v>
      </c>
      <c r="SJQ1" s="331" t="s">
        <v>13840</v>
      </c>
      <c r="SJR1" s="331" t="s">
        <v>13841</v>
      </c>
      <c r="SJS1" s="331" t="s">
        <v>13842</v>
      </c>
      <c r="SJT1" s="331" t="s">
        <v>13843</v>
      </c>
      <c r="SJU1" s="331" t="s">
        <v>13844</v>
      </c>
      <c r="SJV1" s="331" t="s">
        <v>13845</v>
      </c>
      <c r="SJW1" s="331" t="s">
        <v>13846</v>
      </c>
      <c r="SJX1" s="331" t="s">
        <v>13847</v>
      </c>
      <c r="SJY1" s="331" t="s">
        <v>13848</v>
      </c>
      <c r="SJZ1" s="331" t="s">
        <v>13849</v>
      </c>
      <c r="SKA1" s="331" t="s">
        <v>13850</v>
      </c>
      <c r="SKB1" s="331" t="s">
        <v>13851</v>
      </c>
      <c r="SKC1" s="331" t="s">
        <v>13852</v>
      </c>
      <c r="SKD1" s="331" t="s">
        <v>13853</v>
      </c>
      <c r="SKE1" s="331" t="s">
        <v>13854</v>
      </c>
      <c r="SKF1" s="331" t="s">
        <v>13855</v>
      </c>
      <c r="SKG1" s="331" t="s">
        <v>13856</v>
      </c>
      <c r="SKH1" s="331" t="s">
        <v>13857</v>
      </c>
      <c r="SKI1" s="331" t="s">
        <v>13858</v>
      </c>
      <c r="SKJ1" s="331" t="s">
        <v>13859</v>
      </c>
      <c r="SKK1" s="331" t="s">
        <v>13860</v>
      </c>
      <c r="SKL1" s="331" t="s">
        <v>13861</v>
      </c>
      <c r="SKM1" s="331" t="s">
        <v>13862</v>
      </c>
      <c r="SKN1" s="331" t="s">
        <v>13863</v>
      </c>
      <c r="SKO1" s="331" t="s">
        <v>13864</v>
      </c>
      <c r="SKP1" s="331" t="s">
        <v>13865</v>
      </c>
      <c r="SKQ1" s="331" t="s">
        <v>13866</v>
      </c>
      <c r="SKR1" s="331" t="s">
        <v>13867</v>
      </c>
      <c r="SKS1" s="331" t="s">
        <v>13868</v>
      </c>
      <c r="SKT1" s="331" t="s">
        <v>13869</v>
      </c>
      <c r="SKU1" s="331" t="s">
        <v>13870</v>
      </c>
      <c r="SKV1" s="331" t="s">
        <v>13871</v>
      </c>
      <c r="SKW1" s="331" t="s">
        <v>13872</v>
      </c>
      <c r="SKX1" s="331" t="s">
        <v>13873</v>
      </c>
      <c r="SKY1" s="331" t="s">
        <v>13874</v>
      </c>
      <c r="SKZ1" s="331" t="s">
        <v>13875</v>
      </c>
      <c r="SLA1" s="331" t="s">
        <v>13876</v>
      </c>
      <c r="SLB1" s="331" t="s">
        <v>13877</v>
      </c>
      <c r="SLC1" s="331" t="s">
        <v>13878</v>
      </c>
      <c r="SLD1" s="331" t="s">
        <v>13879</v>
      </c>
      <c r="SLE1" s="331" t="s">
        <v>13880</v>
      </c>
      <c r="SLF1" s="331" t="s">
        <v>13881</v>
      </c>
      <c r="SLG1" s="331" t="s">
        <v>13882</v>
      </c>
      <c r="SLH1" s="331" t="s">
        <v>13883</v>
      </c>
      <c r="SLI1" s="331" t="s">
        <v>13884</v>
      </c>
      <c r="SLJ1" s="331" t="s">
        <v>13885</v>
      </c>
      <c r="SLK1" s="331" t="s">
        <v>13886</v>
      </c>
      <c r="SLL1" s="331" t="s">
        <v>13887</v>
      </c>
      <c r="SLM1" s="331" t="s">
        <v>13888</v>
      </c>
      <c r="SLN1" s="331" t="s">
        <v>13889</v>
      </c>
      <c r="SLO1" s="331" t="s">
        <v>13890</v>
      </c>
      <c r="SLP1" s="331" t="s">
        <v>13891</v>
      </c>
      <c r="SLQ1" s="331" t="s">
        <v>13892</v>
      </c>
      <c r="SLR1" s="331" t="s">
        <v>13893</v>
      </c>
      <c r="SLS1" s="331" t="s">
        <v>13894</v>
      </c>
      <c r="SLT1" s="331" t="s">
        <v>13895</v>
      </c>
      <c r="SLU1" s="331" t="s">
        <v>13896</v>
      </c>
      <c r="SLV1" s="331" t="s">
        <v>13897</v>
      </c>
      <c r="SLW1" s="331" t="s">
        <v>13898</v>
      </c>
      <c r="SLX1" s="331" t="s">
        <v>13899</v>
      </c>
      <c r="SLY1" s="331" t="s">
        <v>13900</v>
      </c>
      <c r="SLZ1" s="331" t="s">
        <v>13901</v>
      </c>
      <c r="SMA1" s="331" t="s">
        <v>13902</v>
      </c>
      <c r="SMB1" s="331" t="s">
        <v>13903</v>
      </c>
      <c r="SMC1" s="331" t="s">
        <v>13904</v>
      </c>
      <c r="SMD1" s="331" t="s">
        <v>13905</v>
      </c>
      <c r="SME1" s="331" t="s">
        <v>13906</v>
      </c>
      <c r="SMF1" s="331" t="s">
        <v>13907</v>
      </c>
      <c r="SMG1" s="331" t="s">
        <v>13908</v>
      </c>
      <c r="SMH1" s="331" t="s">
        <v>13909</v>
      </c>
      <c r="SMI1" s="331" t="s">
        <v>13910</v>
      </c>
      <c r="SMJ1" s="331" t="s">
        <v>13911</v>
      </c>
      <c r="SMK1" s="331" t="s">
        <v>13912</v>
      </c>
      <c r="SML1" s="331" t="s">
        <v>13913</v>
      </c>
      <c r="SMM1" s="331" t="s">
        <v>13914</v>
      </c>
      <c r="SMN1" s="331" t="s">
        <v>13915</v>
      </c>
      <c r="SMO1" s="331" t="s">
        <v>13916</v>
      </c>
      <c r="SMP1" s="331" t="s">
        <v>13917</v>
      </c>
      <c r="SMQ1" s="331" t="s">
        <v>13918</v>
      </c>
      <c r="SMR1" s="331" t="s">
        <v>13919</v>
      </c>
      <c r="SMS1" s="331" t="s">
        <v>13920</v>
      </c>
      <c r="SMT1" s="331" t="s">
        <v>13921</v>
      </c>
      <c r="SMU1" s="331" t="s">
        <v>13922</v>
      </c>
      <c r="SMV1" s="331" t="s">
        <v>13923</v>
      </c>
      <c r="SMW1" s="331" t="s">
        <v>13924</v>
      </c>
      <c r="SMX1" s="331" t="s">
        <v>13925</v>
      </c>
      <c r="SMY1" s="331" t="s">
        <v>13926</v>
      </c>
      <c r="SMZ1" s="331" t="s">
        <v>13927</v>
      </c>
      <c r="SNA1" s="331" t="s">
        <v>13928</v>
      </c>
      <c r="SNB1" s="331" t="s">
        <v>13929</v>
      </c>
      <c r="SNC1" s="331" t="s">
        <v>13930</v>
      </c>
      <c r="SND1" s="331" t="s">
        <v>13931</v>
      </c>
      <c r="SNE1" s="331" t="s">
        <v>13932</v>
      </c>
      <c r="SNF1" s="331" t="s">
        <v>13933</v>
      </c>
      <c r="SNG1" s="331" t="s">
        <v>13934</v>
      </c>
      <c r="SNH1" s="331" t="s">
        <v>13935</v>
      </c>
      <c r="SNI1" s="331" t="s">
        <v>13936</v>
      </c>
      <c r="SNJ1" s="331" t="s">
        <v>13937</v>
      </c>
      <c r="SNK1" s="331" t="s">
        <v>13938</v>
      </c>
      <c r="SNL1" s="331" t="s">
        <v>13939</v>
      </c>
      <c r="SNM1" s="331" t="s">
        <v>13940</v>
      </c>
      <c r="SNN1" s="331" t="s">
        <v>13941</v>
      </c>
      <c r="SNO1" s="331" t="s">
        <v>13942</v>
      </c>
      <c r="SNP1" s="331" t="s">
        <v>13943</v>
      </c>
      <c r="SNQ1" s="331" t="s">
        <v>13944</v>
      </c>
      <c r="SNR1" s="331" t="s">
        <v>13945</v>
      </c>
      <c r="SNS1" s="331" t="s">
        <v>13946</v>
      </c>
      <c r="SNT1" s="331" t="s">
        <v>13947</v>
      </c>
      <c r="SNU1" s="331" t="s">
        <v>13948</v>
      </c>
      <c r="SNV1" s="331" t="s">
        <v>13949</v>
      </c>
      <c r="SNW1" s="331" t="s">
        <v>13950</v>
      </c>
      <c r="SNX1" s="331" t="s">
        <v>13951</v>
      </c>
      <c r="SNY1" s="331" t="s">
        <v>13952</v>
      </c>
      <c r="SNZ1" s="331" t="s">
        <v>13953</v>
      </c>
      <c r="SOA1" s="331" t="s">
        <v>13954</v>
      </c>
      <c r="SOB1" s="331" t="s">
        <v>13955</v>
      </c>
      <c r="SOC1" s="331" t="s">
        <v>13956</v>
      </c>
      <c r="SOD1" s="331" t="s">
        <v>13957</v>
      </c>
      <c r="SOE1" s="331" t="s">
        <v>13958</v>
      </c>
      <c r="SOF1" s="331" t="s">
        <v>13959</v>
      </c>
      <c r="SOG1" s="331" t="s">
        <v>13960</v>
      </c>
      <c r="SOH1" s="331" t="s">
        <v>13961</v>
      </c>
      <c r="SOI1" s="331" t="s">
        <v>13962</v>
      </c>
      <c r="SOJ1" s="331" t="s">
        <v>13963</v>
      </c>
      <c r="SOK1" s="331" t="s">
        <v>13964</v>
      </c>
      <c r="SOL1" s="331" t="s">
        <v>13965</v>
      </c>
      <c r="SOM1" s="331" t="s">
        <v>13966</v>
      </c>
      <c r="SON1" s="331" t="s">
        <v>13967</v>
      </c>
      <c r="SOO1" s="331" t="s">
        <v>13968</v>
      </c>
      <c r="SOP1" s="331" t="s">
        <v>13969</v>
      </c>
      <c r="SOQ1" s="331" t="s">
        <v>13970</v>
      </c>
      <c r="SOR1" s="331" t="s">
        <v>13971</v>
      </c>
      <c r="SOS1" s="331" t="s">
        <v>13972</v>
      </c>
      <c r="SOT1" s="331" t="s">
        <v>13973</v>
      </c>
      <c r="SOU1" s="331" t="s">
        <v>13974</v>
      </c>
      <c r="SOV1" s="331" t="s">
        <v>13975</v>
      </c>
      <c r="SOW1" s="331" t="s">
        <v>13976</v>
      </c>
      <c r="SOX1" s="331" t="s">
        <v>13977</v>
      </c>
      <c r="SOY1" s="331" t="s">
        <v>13978</v>
      </c>
      <c r="SOZ1" s="331" t="s">
        <v>13979</v>
      </c>
      <c r="SPA1" s="331" t="s">
        <v>13980</v>
      </c>
      <c r="SPB1" s="331" t="s">
        <v>13981</v>
      </c>
      <c r="SPC1" s="331" t="s">
        <v>13982</v>
      </c>
      <c r="SPD1" s="331" t="s">
        <v>13983</v>
      </c>
      <c r="SPE1" s="331" t="s">
        <v>13984</v>
      </c>
      <c r="SPF1" s="331" t="s">
        <v>13985</v>
      </c>
      <c r="SPG1" s="331" t="s">
        <v>13986</v>
      </c>
      <c r="SPH1" s="331" t="s">
        <v>13987</v>
      </c>
      <c r="SPI1" s="331" t="s">
        <v>13988</v>
      </c>
      <c r="SPJ1" s="331" t="s">
        <v>13989</v>
      </c>
      <c r="SPK1" s="331" t="s">
        <v>13990</v>
      </c>
      <c r="SPL1" s="331" t="s">
        <v>13991</v>
      </c>
      <c r="SPM1" s="331" t="s">
        <v>13992</v>
      </c>
      <c r="SPN1" s="331" t="s">
        <v>13993</v>
      </c>
      <c r="SPO1" s="331" t="s">
        <v>13994</v>
      </c>
      <c r="SPP1" s="331" t="s">
        <v>13995</v>
      </c>
      <c r="SPQ1" s="331" t="s">
        <v>13996</v>
      </c>
      <c r="SPR1" s="331" t="s">
        <v>13997</v>
      </c>
      <c r="SPS1" s="331" t="s">
        <v>13998</v>
      </c>
      <c r="SPT1" s="331" t="s">
        <v>13999</v>
      </c>
      <c r="SPU1" s="331" t="s">
        <v>14000</v>
      </c>
      <c r="SPV1" s="331" t="s">
        <v>14001</v>
      </c>
      <c r="SPW1" s="331" t="s">
        <v>14002</v>
      </c>
      <c r="SPX1" s="331" t="s">
        <v>14003</v>
      </c>
      <c r="SPY1" s="331" t="s">
        <v>14004</v>
      </c>
      <c r="SPZ1" s="331" t="s">
        <v>14005</v>
      </c>
      <c r="SQA1" s="331" t="s">
        <v>14006</v>
      </c>
      <c r="SQB1" s="331" t="s">
        <v>14007</v>
      </c>
      <c r="SQC1" s="331" t="s">
        <v>14008</v>
      </c>
      <c r="SQD1" s="331" t="s">
        <v>14009</v>
      </c>
      <c r="SQE1" s="331" t="s">
        <v>14010</v>
      </c>
      <c r="SQF1" s="331" t="s">
        <v>14011</v>
      </c>
      <c r="SQG1" s="331" t="s">
        <v>14012</v>
      </c>
      <c r="SQH1" s="331" t="s">
        <v>14013</v>
      </c>
      <c r="SQI1" s="331" t="s">
        <v>14014</v>
      </c>
      <c r="SQJ1" s="331" t="s">
        <v>14015</v>
      </c>
      <c r="SQK1" s="331" t="s">
        <v>14016</v>
      </c>
      <c r="SQL1" s="331" t="s">
        <v>14017</v>
      </c>
      <c r="SQM1" s="331" t="s">
        <v>14018</v>
      </c>
      <c r="SQN1" s="331" t="s">
        <v>14019</v>
      </c>
      <c r="SQO1" s="331" t="s">
        <v>14020</v>
      </c>
      <c r="SQP1" s="331" t="s">
        <v>14021</v>
      </c>
      <c r="SQQ1" s="331" t="s">
        <v>14022</v>
      </c>
      <c r="SQR1" s="331" t="s">
        <v>14023</v>
      </c>
      <c r="SQS1" s="331" t="s">
        <v>14024</v>
      </c>
      <c r="SQT1" s="331" t="s">
        <v>14025</v>
      </c>
      <c r="SQU1" s="331" t="s">
        <v>14026</v>
      </c>
      <c r="SQV1" s="331" t="s">
        <v>14027</v>
      </c>
      <c r="SQW1" s="331" t="s">
        <v>14028</v>
      </c>
      <c r="SQX1" s="331" t="s">
        <v>14029</v>
      </c>
      <c r="SQY1" s="331" t="s">
        <v>14030</v>
      </c>
      <c r="SQZ1" s="331" t="s">
        <v>14031</v>
      </c>
      <c r="SRA1" s="331" t="s">
        <v>14032</v>
      </c>
      <c r="SRB1" s="331" t="s">
        <v>14033</v>
      </c>
      <c r="SRC1" s="331" t="s">
        <v>14034</v>
      </c>
      <c r="SRD1" s="331" t="s">
        <v>14035</v>
      </c>
      <c r="SRE1" s="331" t="s">
        <v>14036</v>
      </c>
      <c r="SRF1" s="331" t="s">
        <v>14037</v>
      </c>
      <c r="SRG1" s="331" t="s">
        <v>14038</v>
      </c>
      <c r="SRH1" s="331" t="s">
        <v>14039</v>
      </c>
      <c r="SRI1" s="331" t="s">
        <v>14040</v>
      </c>
      <c r="SRJ1" s="331" t="s">
        <v>14041</v>
      </c>
      <c r="SRK1" s="331" t="s">
        <v>14042</v>
      </c>
      <c r="SRL1" s="331" t="s">
        <v>14043</v>
      </c>
      <c r="SRM1" s="331" t="s">
        <v>14044</v>
      </c>
      <c r="SRN1" s="331" t="s">
        <v>14045</v>
      </c>
      <c r="SRO1" s="331" t="s">
        <v>14046</v>
      </c>
      <c r="SRP1" s="331" t="s">
        <v>14047</v>
      </c>
      <c r="SRQ1" s="331" t="s">
        <v>14048</v>
      </c>
      <c r="SRR1" s="331" t="s">
        <v>14049</v>
      </c>
      <c r="SRS1" s="331" t="s">
        <v>14050</v>
      </c>
      <c r="SRT1" s="331" t="s">
        <v>14051</v>
      </c>
      <c r="SRU1" s="331" t="s">
        <v>14052</v>
      </c>
      <c r="SRV1" s="331" t="s">
        <v>14053</v>
      </c>
      <c r="SRW1" s="331" t="s">
        <v>14054</v>
      </c>
      <c r="SRX1" s="331" t="s">
        <v>14055</v>
      </c>
      <c r="SRY1" s="331" t="s">
        <v>14056</v>
      </c>
      <c r="SRZ1" s="331" t="s">
        <v>14057</v>
      </c>
      <c r="SSA1" s="331" t="s">
        <v>14058</v>
      </c>
      <c r="SSB1" s="331" t="s">
        <v>14059</v>
      </c>
      <c r="SSC1" s="331" t="s">
        <v>14060</v>
      </c>
      <c r="SSD1" s="331" t="s">
        <v>14061</v>
      </c>
      <c r="SSE1" s="331" t="s">
        <v>14062</v>
      </c>
      <c r="SSF1" s="331" t="s">
        <v>14063</v>
      </c>
      <c r="SSG1" s="331" t="s">
        <v>14064</v>
      </c>
      <c r="SSH1" s="331" t="s">
        <v>14065</v>
      </c>
      <c r="SSI1" s="331" t="s">
        <v>14066</v>
      </c>
      <c r="SSJ1" s="331" t="s">
        <v>14067</v>
      </c>
      <c r="SSK1" s="331" t="s">
        <v>14068</v>
      </c>
      <c r="SSL1" s="331" t="s">
        <v>14069</v>
      </c>
      <c r="SSM1" s="331" t="s">
        <v>14070</v>
      </c>
      <c r="SSN1" s="331" t="s">
        <v>14071</v>
      </c>
      <c r="SSO1" s="331" t="s">
        <v>14072</v>
      </c>
      <c r="SSP1" s="331" t="s">
        <v>14073</v>
      </c>
      <c r="SSQ1" s="331" t="s">
        <v>14074</v>
      </c>
      <c r="SSR1" s="331" t="s">
        <v>14075</v>
      </c>
      <c r="SSS1" s="331" t="s">
        <v>14076</v>
      </c>
      <c r="SST1" s="331" t="s">
        <v>14077</v>
      </c>
      <c r="SSU1" s="331" t="s">
        <v>14078</v>
      </c>
      <c r="SSV1" s="331" t="s">
        <v>14079</v>
      </c>
      <c r="SSW1" s="331" t="s">
        <v>14080</v>
      </c>
      <c r="SSX1" s="331" t="s">
        <v>14081</v>
      </c>
      <c r="SSY1" s="331" t="s">
        <v>14082</v>
      </c>
      <c r="SSZ1" s="331" t="s">
        <v>14083</v>
      </c>
      <c r="STA1" s="331" t="s">
        <v>14084</v>
      </c>
      <c r="STB1" s="331" t="s">
        <v>14085</v>
      </c>
      <c r="STC1" s="331" t="s">
        <v>14086</v>
      </c>
      <c r="STD1" s="331" t="s">
        <v>14087</v>
      </c>
      <c r="STE1" s="331" t="s">
        <v>14088</v>
      </c>
      <c r="STF1" s="331" t="s">
        <v>14089</v>
      </c>
      <c r="STG1" s="331" t="s">
        <v>14090</v>
      </c>
      <c r="STH1" s="331" t="s">
        <v>14091</v>
      </c>
      <c r="STI1" s="331" t="s">
        <v>14092</v>
      </c>
      <c r="STJ1" s="331" t="s">
        <v>14093</v>
      </c>
      <c r="STK1" s="331" t="s">
        <v>14094</v>
      </c>
      <c r="STL1" s="331" t="s">
        <v>14095</v>
      </c>
      <c r="STM1" s="331" t="s">
        <v>14096</v>
      </c>
      <c r="STN1" s="331" t="s">
        <v>14097</v>
      </c>
      <c r="STO1" s="331" t="s">
        <v>14098</v>
      </c>
      <c r="STP1" s="331" t="s">
        <v>14099</v>
      </c>
      <c r="STQ1" s="331" t="s">
        <v>14100</v>
      </c>
      <c r="STR1" s="331" t="s">
        <v>14101</v>
      </c>
      <c r="STS1" s="331" t="s">
        <v>14102</v>
      </c>
      <c r="STT1" s="331" t="s">
        <v>14103</v>
      </c>
      <c r="STU1" s="331" t="s">
        <v>14104</v>
      </c>
      <c r="STV1" s="331" t="s">
        <v>14105</v>
      </c>
      <c r="STW1" s="331" t="s">
        <v>14106</v>
      </c>
      <c r="STX1" s="331" t="s">
        <v>14107</v>
      </c>
      <c r="STY1" s="331" t="s">
        <v>14108</v>
      </c>
      <c r="STZ1" s="331" t="s">
        <v>14109</v>
      </c>
      <c r="SUA1" s="331" t="s">
        <v>14110</v>
      </c>
      <c r="SUB1" s="331" t="s">
        <v>14111</v>
      </c>
      <c r="SUC1" s="331" t="s">
        <v>14112</v>
      </c>
      <c r="SUD1" s="331" t="s">
        <v>14113</v>
      </c>
      <c r="SUE1" s="331" t="s">
        <v>14114</v>
      </c>
      <c r="SUF1" s="331" t="s">
        <v>14115</v>
      </c>
      <c r="SUG1" s="331" t="s">
        <v>14116</v>
      </c>
      <c r="SUH1" s="331" t="s">
        <v>14117</v>
      </c>
      <c r="SUI1" s="331" t="s">
        <v>14118</v>
      </c>
      <c r="SUJ1" s="331" t="s">
        <v>14119</v>
      </c>
      <c r="SUK1" s="331" t="s">
        <v>14120</v>
      </c>
      <c r="SUL1" s="331" t="s">
        <v>14121</v>
      </c>
      <c r="SUM1" s="331" t="s">
        <v>14122</v>
      </c>
      <c r="SUN1" s="331" t="s">
        <v>14123</v>
      </c>
      <c r="SUO1" s="331" t="s">
        <v>14124</v>
      </c>
      <c r="SUP1" s="331" t="s">
        <v>14125</v>
      </c>
      <c r="SUQ1" s="331" t="s">
        <v>14126</v>
      </c>
      <c r="SUR1" s="331" t="s">
        <v>14127</v>
      </c>
      <c r="SUS1" s="331" t="s">
        <v>14128</v>
      </c>
      <c r="SUT1" s="331" t="s">
        <v>14129</v>
      </c>
      <c r="SUU1" s="331" t="s">
        <v>14130</v>
      </c>
      <c r="SUV1" s="331" t="s">
        <v>14131</v>
      </c>
      <c r="SUW1" s="331" t="s">
        <v>14132</v>
      </c>
      <c r="SUX1" s="331" t="s">
        <v>14133</v>
      </c>
      <c r="SUY1" s="331" t="s">
        <v>14134</v>
      </c>
      <c r="SUZ1" s="331" t="s">
        <v>14135</v>
      </c>
      <c r="SVA1" s="331" t="s">
        <v>14136</v>
      </c>
      <c r="SVB1" s="331" t="s">
        <v>14137</v>
      </c>
      <c r="SVC1" s="331" t="s">
        <v>14138</v>
      </c>
      <c r="SVD1" s="331" t="s">
        <v>14139</v>
      </c>
      <c r="SVE1" s="331" t="s">
        <v>14140</v>
      </c>
      <c r="SVF1" s="331" t="s">
        <v>14141</v>
      </c>
      <c r="SVG1" s="331" t="s">
        <v>14142</v>
      </c>
      <c r="SVH1" s="331" t="s">
        <v>14143</v>
      </c>
      <c r="SVI1" s="331" t="s">
        <v>14144</v>
      </c>
      <c r="SVJ1" s="331" t="s">
        <v>14145</v>
      </c>
      <c r="SVK1" s="331" t="s">
        <v>14146</v>
      </c>
      <c r="SVL1" s="331" t="s">
        <v>14147</v>
      </c>
      <c r="SVM1" s="331" t="s">
        <v>14148</v>
      </c>
      <c r="SVN1" s="331" t="s">
        <v>14149</v>
      </c>
      <c r="SVO1" s="331" t="s">
        <v>14150</v>
      </c>
      <c r="SVP1" s="331" t="s">
        <v>14151</v>
      </c>
      <c r="SVQ1" s="331" t="s">
        <v>14152</v>
      </c>
      <c r="SVR1" s="331" t="s">
        <v>14153</v>
      </c>
      <c r="SVS1" s="331" t="s">
        <v>14154</v>
      </c>
      <c r="SVT1" s="331" t="s">
        <v>14155</v>
      </c>
      <c r="SVU1" s="331" t="s">
        <v>14156</v>
      </c>
      <c r="SVV1" s="331" t="s">
        <v>14157</v>
      </c>
      <c r="SVW1" s="331" t="s">
        <v>14158</v>
      </c>
      <c r="SVX1" s="331" t="s">
        <v>14159</v>
      </c>
      <c r="SVY1" s="331" t="s">
        <v>14160</v>
      </c>
      <c r="SVZ1" s="331" t="s">
        <v>14161</v>
      </c>
      <c r="SWA1" s="331" t="s">
        <v>14162</v>
      </c>
      <c r="SWB1" s="331" t="s">
        <v>14163</v>
      </c>
      <c r="SWC1" s="331" t="s">
        <v>14164</v>
      </c>
      <c r="SWD1" s="331" t="s">
        <v>14165</v>
      </c>
      <c r="SWE1" s="331" t="s">
        <v>14166</v>
      </c>
      <c r="SWF1" s="331" t="s">
        <v>14167</v>
      </c>
      <c r="SWG1" s="331" t="s">
        <v>14168</v>
      </c>
      <c r="SWH1" s="331" t="s">
        <v>14169</v>
      </c>
      <c r="SWI1" s="331" t="s">
        <v>14170</v>
      </c>
      <c r="SWJ1" s="331" t="s">
        <v>14171</v>
      </c>
      <c r="SWK1" s="331" t="s">
        <v>14172</v>
      </c>
      <c r="SWL1" s="331" t="s">
        <v>14173</v>
      </c>
      <c r="SWM1" s="331" t="s">
        <v>14174</v>
      </c>
      <c r="SWN1" s="331" t="s">
        <v>14175</v>
      </c>
      <c r="SWO1" s="331" t="s">
        <v>14176</v>
      </c>
      <c r="SWP1" s="331" t="s">
        <v>14177</v>
      </c>
      <c r="SWQ1" s="331" t="s">
        <v>14178</v>
      </c>
      <c r="SWR1" s="331" t="s">
        <v>14179</v>
      </c>
      <c r="SWS1" s="331" t="s">
        <v>14180</v>
      </c>
      <c r="SWT1" s="331" t="s">
        <v>14181</v>
      </c>
      <c r="SWU1" s="331" t="s">
        <v>14182</v>
      </c>
      <c r="SWV1" s="331" t="s">
        <v>14183</v>
      </c>
      <c r="SWW1" s="331" t="s">
        <v>14184</v>
      </c>
      <c r="SWX1" s="331" t="s">
        <v>14185</v>
      </c>
      <c r="SWY1" s="331" t="s">
        <v>14186</v>
      </c>
      <c r="SWZ1" s="331" t="s">
        <v>14187</v>
      </c>
      <c r="SXA1" s="331" t="s">
        <v>14188</v>
      </c>
      <c r="SXB1" s="331" t="s">
        <v>14189</v>
      </c>
      <c r="SXC1" s="331" t="s">
        <v>14190</v>
      </c>
      <c r="SXD1" s="331" t="s">
        <v>14191</v>
      </c>
      <c r="SXE1" s="331" t="s">
        <v>14192</v>
      </c>
      <c r="SXF1" s="331" t="s">
        <v>14193</v>
      </c>
      <c r="SXG1" s="331" t="s">
        <v>14194</v>
      </c>
      <c r="SXH1" s="331" t="s">
        <v>14195</v>
      </c>
      <c r="SXI1" s="331" t="s">
        <v>14196</v>
      </c>
      <c r="SXJ1" s="331" t="s">
        <v>14197</v>
      </c>
      <c r="SXK1" s="331" t="s">
        <v>14198</v>
      </c>
      <c r="SXL1" s="331" t="s">
        <v>14199</v>
      </c>
      <c r="SXM1" s="331" t="s">
        <v>14200</v>
      </c>
      <c r="SXN1" s="331" t="s">
        <v>14201</v>
      </c>
      <c r="SXO1" s="331" t="s">
        <v>14202</v>
      </c>
      <c r="SXP1" s="331" t="s">
        <v>14203</v>
      </c>
      <c r="SXQ1" s="331" t="s">
        <v>14204</v>
      </c>
      <c r="SXR1" s="331" t="s">
        <v>14205</v>
      </c>
      <c r="SXS1" s="331" t="s">
        <v>14206</v>
      </c>
      <c r="SXT1" s="331" t="s">
        <v>14207</v>
      </c>
      <c r="SXU1" s="331" t="s">
        <v>14208</v>
      </c>
      <c r="SXV1" s="331" t="s">
        <v>14209</v>
      </c>
      <c r="SXW1" s="331" t="s">
        <v>14210</v>
      </c>
      <c r="SXX1" s="331" t="s">
        <v>14211</v>
      </c>
      <c r="SXY1" s="331" t="s">
        <v>14212</v>
      </c>
      <c r="SXZ1" s="331" t="s">
        <v>14213</v>
      </c>
      <c r="SYA1" s="331" t="s">
        <v>14214</v>
      </c>
      <c r="SYB1" s="331" t="s">
        <v>14215</v>
      </c>
      <c r="SYC1" s="331" t="s">
        <v>14216</v>
      </c>
      <c r="SYD1" s="331" t="s">
        <v>14217</v>
      </c>
      <c r="SYE1" s="331" t="s">
        <v>14218</v>
      </c>
      <c r="SYF1" s="331" t="s">
        <v>14219</v>
      </c>
      <c r="SYG1" s="331" t="s">
        <v>14220</v>
      </c>
      <c r="SYH1" s="331" t="s">
        <v>14221</v>
      </c>
      <c r="SYI1" s="331" t="s">
        <v>14222</v>
      </c>
      <c r="SYJ1" s="331" t="s">
        <v>14223</v>
      </c>
      <c r="SYK1" s="331" t="s">
        <v>14224</v>
      </c>
      <c r="SYL1" s="331" t="s">
        <v>14225</v>
      </c>
      <c r="SYM1" s="331" t="s">
        <v>14226</v>
      </c>
      <c r="SYN1" s="331" t="s">
        <v>14227</v>
      </c>
      <c r="SYO1" s="331" t="s">
        <v>14228</v>
      </c>
      <c r="SYP1" s="331" t="s">
        <v>14229</v>
      </c>
      <c r="SYQ1" s="331" t="s">
        <v>14230</v>
      </c>
      <c r="SYR1" s="331" t="s">
        <v>14231</v>
      </c>
      <c r="SYS1" s="331" t="s">
        <v>14232</v>
      </c>
      <c r="SYT1" s="331" t="s">
        <v>14233</v>
      </c>
      <c r="SYU1" s="331" t="s">
        <v>14234</v>
      </c>
      <c r="SYV1" s="331" t="s">
        <v>14235</v>
      </c>
      <c r="SYW1" s="331" t="s">
        <v>14236</v>
      </c>
      <c r="SYX1" s="331" t="s">
        <v>14237</v>
      </c>
      <c r="SYY1" s="331" t="s">
        <v>14238</v>
      </c>
      <c r="SYZ1" s="331" t="s">
        <v>14239</v>
      </c>
      <c r="SZA1" s="331" t="s">
        <v>14240</v>
      </c>
      <c r="SZB1" s="331" t="s">
        <v>14241</v>
      </c>
      <c r="SZC1" s="331" t="s">
        <v>14242</v>
      </c>
      <c r="SZD1" s="331" t="s">
        <v>14243</v>
      </c>
      <c r="SZE1" s="331" t="s">
        <v>14244</v>
      </c>
      <c r="SZF1" s="331" t="s">
        <v>14245</v>
      </c>
      <c r="SZG1" s="331" t="s">
        <v>14246</v>
      </c>
      <c r="SZH1" s="331" t="s">
        <v>14247</v>
      </c>
      <c r="SZI1" s="331" t="s">
        <v>14248</v>
      </c>
      <c r="SZJ1" s="331" t="s">
        <v>14249</v>
      </c>
      <c r="SZK1" s="331" t="s">
        <v>14250</v>
      </c>
      <c r="SZL1" s="331" t="s">
        <v>14251</v>
      </c>
      <c r="SZM1" s="331" t="s">
        <v>14252</v>
      </c>
      <c r="SZN1" s="331" t="s">
        <v>14253</v>
      </c>
      <c r="SZO1" s="331" t="s">
        <v>14254</v>
      </c>
      <c r="SZP1" s="331" t="s">
        <v>14255</v>
      </c>
      <c r="SZQ1" s="331" t="s">
        <v>14256</v>
      </c>
      <c r="SZR1" s="331" t="s">
        <v>14257</v>
      </c>
      <c r="SZS1" s="331" t="s">
        <v>14258</v>
      </c>
      <c r="SZT1" s="331" t="s">
        <v>14259</v>
      </c>
      <c r="SZU1" s="331" t="s">
        <v>14260</v>
      </c>
      <c r="SZV1" s="331" t="s">
        <v>14261</v>
      </c>
      <c r="SZW1" s="331" t="s">
        <v>14262</v>
      </c>
      <c r="SZX1" s="331" t="s">
        <v>14263</v>
      </c>
      <c r="SZY1" s="331" t="s">
        <v>14264</v>
      </c>
      <c r="SZZ1" s="331" t="s">
        <v>14265</v>
      </c>
      <c r="TAA1" s="331" t="s">
        <v>14266</v>
      </c>
      <c r="TAB1" s="331" t="s">
        <v>14267</v>
      </c>
      <c r="TAC1" s="331" t="s">
        <v>14268</v>
      </c>
      <c r="TAD1" s="331" t="s">
        <v>14269</v>
      </c>
      <c r="TAE1" s="331" t="s">
        <v>14270</v>
      </c>
      <c r="TAF1" s="331" t="s">
        <v>14271</v>
      </c>
      <c r="TAG1" s="331" t="s">
        <v>14272</v>
      </c>
      <c r="TAH1" s="331" t="s">
        <v>14273</v>
      </c>
      <c r="TAI1" s="331" t="s">
        <v>14274</v>
      </c>
      <c r="TAJ1" s="331" t="s">
        <v>14275</v>
      </c>
      <c r="TAK1" s="331" t="s">
        <v>14276</v>
      </c>
      <c r="TAL1" s="331" t="s">
        <v>14277</v>
      </c>
      <c r="TAM1" s="331" t="s">
        <v>14278</v>
      </c>
      <c r="TAN1" s="331" t="s">
        <v>14279</v>
      </c>
      <c r="TAO1" s="331" t="s">
        <v>14280</v>
      </c>
      <c r="TAP1" s="331" t="s">
        <v>14281</v>
      </c>
      <c r="TAQ1" s="331" t="s">
        <v>14282</v>
      </c>
      <c r="TAR1" s="331" t="s">
        <v>14283</v>
      </c>
      <c r="TAS1" s="331" t="s">
        <v>14284</v>
      </c>
      <c r="TAT1" s="331" t="s">
        <v>14285</v>
      </c>
      <c r="TAU1" s="331" t="s">
        <v>14286</v>
      </c>
      <c r="TAV1" s="331" t="s">
        <v>14287</v>
      </c>
      <c r="TAW1" s="331" t="s">
        <v>14288</v>
      </c>
      <c r="TAX1" s="331" t="s">
        <v>14289</v>
      </c>
      <c r="TAY1" s="331" t="s">
        <v>14290</v>
      </c>
      <c r="TAZ1" s="331" t="s">
        <v>14291</v>
      </c>
      <c r="TBA1" s="331" t="s">
        <v>14292</v>
      </c>
      <c r="TBB1" s="331" t="s">
        <v>14293</v>
      </c>
      <c r="TBC1" s="331" t="s">
        <v>14294</v>
      </c>
      <c r="TBD1" s="331" t="s">
        <v>14295</v>
      </c>
      <c r="TBE1" s="331" t="s">
        <v>14296</v>
      </c>
      <c r="TBF1" s="331" t="s">
        <v>14297</v>
      </c>
      <c r="TBG1" s="331" t="s">
        <v>14298</v>
      </c>
      <c r="TBH1" s="331" t="s">
        <v>14299</v>
      </c>
      <c r="TBI1" s="331" t="s">
        <v>14300</v>
      </c>
      <c r="TBJ1" s="331" t="s">
        <v>14301</v>
      </c>
      <c r="TBK1" s="331" t="s">
        <v>14302</v>
      </c>
      <c r="TBL1" s="331" t="s">
        <v>14303</v>
      </c>
      <c r="TBM1" s="331" t="s">
        <v>14304</v>
      </c>
      <c r="TBN1" s="331" t="s">
        <v>14305</v>
      </c>
      <c r="TBO1" s="331" t="s">
        <v>14306</v>
      </c>
      <c r="TBP1" s="331" t="s">
        <v>14307</v>
      </c>
      <c r="TBQ1" s="331" t="s">
        <v>14308</v>
      </c>
      <c r="TBR1" s="331" t="s">
        <v>14309</v>
      </c>
      <c r="TBS1" s="331" t="s">
        <v>14310</v>
      </c>
      <c r="TBT1" s="331" t="s">
        <v>14311</v>
      </c>
      <c r="TBU1" s="331" t="s">
        <v>14312</v>
      </c>
      <c r="TBV1" s="331" t="s">
        <v>14313</v>
      </c>
      <c r="TBW1" s="331" t="s">
        <v>14314</v>
      </c>
      <c r="TBX1" s="331" t="s">
        <v>14315</v>
      </c>
      <c r="TBY1" s="331" t="s">
        <v>14316</v>
      </c>
      <c r="TBZ1" s="331" t="s">
        <v>14317</v>
      </c>
      <c r="TCA1" s="331" t="s">
        <v>14318</v>
      </c>
      <c r="TCB1" s="331" t="s">
        <v>14319</v>
      </c>
      <c r="TCC1" s="331" t="s">
        <v>14320</v>
      </c>
      <c r="TCD1" s="331" t="s">
        <v>14321</v>
      </c>
      <c r="TCE1" s="331" t="s">
        <v>14322</v>
      </c>
      <c r="TCF1" s="331" t="s">
        <v>14323</v>
      </c>
      <c r="TCG1" s="331" t="s">
        <v>14324</v>
      </c>
      <c r="TCH1" s="331" t="s">
        <v>14325</v>
      </c>
      <c r="TCI1" s="331" t="s">
        <v>14326</v>
      </c>
      <c r="TCJ1" s="331" t="s">
        <v>14327</v>
      </c>
      <c r="TCK1" s="331" t="s">
        <v>14328</v>
      </c>
      <c r="TCL1" s="331" t="s">
        <v>14329</v>
      </c>
      <c r="TCM1" s="331" t="s">
        <v>14330</v>
      </c>
      <c r="TCN1" s="331" t="s">
        <v>14331</v>
      </c>
      <c r="TCO1" s="331" t="s">
        <v>14332</v>
      </c>
      <c r="TCP1" s="331" t="s">
        <v>14333</v>
      </c>
      <c r="TCQ1" s="331" t="s">
        <v>14334</v>
      </c>
      <c r="TCR1" s="331" t="s">
        <v>14335</v>
      </c>
      <c r="TCS1" s="331" t="s">
        <v>14336</v>
      </c>
      <c r="TCT1" s="331" t="s">
        <v>14337</v>
      </c>
      <c r="TCU1" s="331" t="s">
        <v>14338</v>
      </c>
      <c r="TCV1" s="331" t="s">
        <v>14339</v>
      </c>
      <c r="TCW1" s="331" t="s">
        <v>14340</v>
      </c>
      <c r="TCX1" s="331" t="s">
        <v>14341</v>
      </c>
      <c r="TCY1" s="331" t="s">
        <v>14342</v>
      </c>
      <c r="TCZ1" s="331" t="s">
        <v>14343</v>
      </c>
      <c r="TDA1" s="331" t="s">
        <v>14344</v>
      </c>
      <c r="TDB1" s="331" t="s">
        <v>14345</v>
      </c>
      <c r="TDC1" s="331" t="s">
        <v>14346</v>
      </c>
      <c r="TDD1" s="331" t="s">
        <v>14347</v>
      </c>
      <c r="TDE1" s="331" t="s">
        <v>14348</v>
      </c>
      <c r="TDF1" s="331" t="s">
        <v>14349</v>
      </c>
      <c r="TDG1" s="331" t="s">
        <v>14350</v>
      </c>
      <c r="TDH1" s="331" t="s">
        <v>14351</v>
      </c>
      <c r="TDI1" s="331" t="s">
        <v>14352</v>
      </c>
      <c r="TDJ1" s="331" t="s">
        <v>14353</v>
      </c>
      <c r="TDK1" s="331" t="s">
        <v>14354</v>
      </c>
      <c r="TDL1" s="331" t="s">
        <v>14355</v>
      </c>
      <c r="TDM1" s="331" t="s">
        <v>14356</v>
      </c>
      <c r="TDN1" s="331" t="s">
        <v>14357</v>
      </c>
      <c r="TDO1" s="331" t="s">
        <v>14358</v>
      </c>
      <c r="TDP1" s="331" t="s">
        <v>14359</v>
      </c>
      <c r="TDQ1" s="331" t="s">
        <v>14360</v>
      </c>
      <c r="TDR1" s="331" t="s">
        <v>14361</v>
      </c>
      <c r="TDS1" s="331" t="s">
        <v>14362</v>
      </c>
      <c r="TDT1" s="331" t="s">
        <v>14363</v>
      </c>
      <c r="TDU1" s="331" t="s">
        <v>14364</v>
      </c>
      <c r="TDV1" s="331" t="s">
        <v>14365</v>
      </c>
      <c r="TDW1" s="331" t="s">
        <v>14366</v>
      </c>
      <c r="TDX1" s="331" t="s">
        <v>14367</v>
      </c>
      <c r="TDY1" s="331" t="s">
        <v>14368</v>
      </c>
      <c r="TDZ1" s="331" t="s">
        <v>14369</v>
      </c>
      <c r="TEA1" s="331" t="s">
        <v>14370</v>
      </c>
      <c r="TEB1" s="331" t="s">
        <v>14371</v>
      </c>
      <c r="TEC1" s="331" t="s">
        <v>14372</v>
      </c>
      <c r="TED1" s="331" t="s">
        <v>14373</v>
      </c>
      <c r="TEE1" s="331" t="s">
        <v>14374</v>
      </c>
      <c r="TEF1" s="331" t="s">
        <v>14375</v>
      </c>
      <c r="TEG1" s="331" t="s">
        <v>14376</v>
      </c>
      <c r="TEH1" s="331" t="s">
        <v>14377</v>
      </c>
      <c r="TEI1" s="331" t="s">
        <v>14378</v>
      </c>
      <c r="TEJ1" s="331" t="s">
        <v>14379</v>
      </c>
      <c r="TEK1" s="331" t="s">
        <v>14380</v>
      </c>
      <c r="TEL1" s="331" t="s">
        <v>14381</v>
      </c>
      <c r="TEM1" s="331" t="s">
        <v>14382</v>
      </c>
      <c r="TEN1" s="331" t="s">
        <v>14383</v>
      </c>
      <c r="TEO1" s="331" t="s">
        <v>14384</v>
      </c>
      <c r="TEP1" s="331" t="s">
        <v>14385</v>
      </c>
      <c r="TEQ1" s="331" t="s">
        <v>14386</v>
      </c>
      <c r="TER1" s="331" t="s">
        <v>14387</v>
      </c>
      <c r="TES1" s="331" t="s">
        <v>14388</v>
      </c>
      <c r="TET1" s="331" t="s">
        <v>14389</v>
      </c>
      <c r="TEU1" s="331" t="s">
        <v>14390</v>
      </c>
      <c r="TEV1" s="331" t="s">
        <v>14391</v>
      </c>
      <c r="TEW1" s="331" t="s">
        <v>14392</v>
      </c>
      <c r="TEX1" s="331" t="s">
        <v>14393</v>
      </c>
      <c r="TEY1" s="331" t="s">
        <v>14394</v>
      </c>
      <c r="TEZ1" s="331" t="s">
        <v>14395</v>
      </c>
      <c r="TFA1" s="331" t="s">
        <v>14396</v>
      </c>
      <c r="TFB1" s="331" t="s">
        <v>14397</v>
      </c>
      <c r="TFC1" s="331" t="s">
        <v>14398</v>
      </c>
      <c r="TFD1" s="331" t="s">
        <v>14399</v>
      </c>
      <c r="TFE1" s="331" t="s">
        <v>14400</v>
      </c>
      <c r="TFF1" s="331" t="s">
        <v>14401</v>
      </c>
      <c r="TFG1" s="331" t="s">
        <v>14402</v>
      </c>
      <c r="TFH1" s="331" t="s">
        <v>14403</v>
      </c>
      <c r="TFI1" s="331" t="s">
        <v>14404</v>
      </c>
      <c r="TFJ1" s="331" t="s">
        <v>14405</v>
      </c>
      <c r="TFK1" s="331" t="s">
        <v>14406</v>
      </c>
      <c r="TFL1" s="331" t="s">
        <v>14407</v>
      </c>
      <c r="TFM1" s="331" t="s">
        <v>14408</v>
      </c>
      <c r="TFN1" s="331" t="s">
        <v>14409</v>
      </c>
      <c r="TFO1" s="331" t="s">
        <v>14410</v>
      </c>
      <c r="TFP1" s="331" t="s">
        <v>14411</v>
      </c>
      <c r="TFQ1" s="331" t="s">
        <v>14412</v>
      </c>
      <c r="TFR1" s="331" t="s">
        <v>14413</v>
      </c>
      <c r="TFS1" s="331" t="s">
        <v>14414</v>
      </c>
      <c r="TFT1" s="331" t="s">
        <v>14415</v>
      </c>
      <c r="TFU1" s="331" t="s">
        <v>14416</v>
      </c>
      <c r="TFV1" s="331" t="s">
        <v>14417</v>
      </c>
      <c r="TFW1" s="331" t="s">
        <v>14418</v>
      </c>
      <c r="TFX1" s="331" t="s">
        <v>14419</v>
      </c>
      <c r="TFY1" s="331" t="s">
        <v>14420</v>
      </c>
      <c r="TFZ1" s="331" t="s">
        <v>14421</v>
      </c>
      <c r="TGA1" s="331" t="s">
        <v>14422</v>
      </c>
      <c r="TGB1" s="331" t="s">
        <v>14423</v>
      </c>
      <c r="TGC1" s="331" t="s">
        <v>14424</v>
      </c>
      <c r="TGD1" s="331" t="s">
        <v>14425</v>
      </c>
      <c r="TGE1" s="331" t="s">
        <v>14426</v>
      </c>
      <c r="TGF1" s="331" t="s">
        <v>14427</v>
      </c>
      <c r="TGG1" s="331" t="s">
        <v>14428</v>
      </c>
      <c r="TGH1" s="331" t="s">
        <v>14429</v>
      </c>
      <c r="TGI1" s="331" t="s">
        <v>14430</v>
      </c>
      <c r="TGJ1" s="331" t="s">
        <v>14431</v>
      </c>
      <c r="TGK1" s="331" t="s">
        <v>14432</v>
      </c>
      <c r="TGL1" s="331" t="s">
        <v>14433</v>
      </c>
      <c r="TGM1" s="331" t="s">
        <v>14434</v>
      </c>
      <c r="TGN1" s="331" t="s">
        <v>14435</v>
      </c>
      <c r="TGO1" s="331" t="s">
        <v>14436</v>
      </c>
      <c r="TGP1" s="331" t="s">
        <v>14437</v>
      </c>
      <c r="TGQ1" s="331" t="s">
        <v>14438</v>
      </c>
      <c r="TGR1" s="331" t="s">
        <v>14439</v>
      </c>
      <c r="TGS1" s="331" t="s">
        <v>14440</v>
      </c>
      <c r="TGT1" s="331" t="s">
        <v>14441</v>
      </c>
      <c r="TGU1" s="331" t="s">
        <v>14442</v>
      </c>
      <c r="TGV1" s="331" t="s">
        <v>14443</v>
      </c>
      <c r="TGW1" s="331" t="s">
        <v>14444</v>
      </c>
      <c r="TGX1" s="331" t="s">
        <v>14445</v>
      </c>
      <c r="TGY1" s="331" t="s">
        <v>14446</v>
      </c>
      <c r="TGZ1" s="331" t="s">
        <v>14447</v>
      </c>
      <c r="THA1" s="331" t="s">
        <v>14448</v>
      </c>
      <c r="THB1" s="331" t="s">
        <v>14449</v>
      </c>
      <c r="THC1" s="331" t="s">
        <v>14450</v>
      </c>
      <c r="THD1" s="331" t="s">
        <v>14451</v>
      </c>
      <c r="THE1" s="331" t="s">
        <v>14452</v>
      </c>
      <c r="THF1" s="331" t="s">
        <v>14453</v>
      </c>
      <c r="THG1" s="331" t="s">
        <v>14454</v>
      </c>
      <c r="THH1" s="331" t="s">
        <v>14455</v>
      </c>
      <c r="THI1" s="331" t="s">
        <v>14456</v>
      </c>
      <c r="THJ1" s="331" t="s">
        <v>14457</v>
      </c>
      <c r="THK1" s="331" t="s">
        <v>14458</v>
      </c>
      <c r="THL1" s="331" t="s">
        <v>14459</v>
      </c>
      <c r="THM1" s="331" t="s">
        <v>14460</v>
      </c>
      <c r="THN1" s="331" t="s">
        <v>14461</v>
      </c>
      <c r="THO1" s="331" t="s">
        <v>14462</v>
      </c>
      <c r="THP1" s="331" t="s">
        <v>14463</v>
      </c>
      <c r="THQ1" s="331" t="s">
        <v>14464</v>
      </c>
      <c r="THR1" s="331" t="s">
        <v>14465</v>
      </c>
      <c r="THS1" s="331" t="s">
        <v>14466</v>
      </c>
      <c r="THT1" s="331" t="s">
        <v>14467</v>
      </c>
      <c r="THU1" s="331" t="s">
        <v>14468</v>
      </c>
      <c r="THV1" s="331" t="s">
        <v>14469</v>
      </c>
      <c r="THW1" s="331" t="s">
        <v>14470</v>
      </c>
      <c r="THX1" s="331" t="s">
        <v>14471</v>
      </c>
      <c r="THY1" s="331" t="s">
        <v>14472</v>
      </c>
      <c r="THZ1" s="331" t="s">
        <v>14473</v>
      </c>
      <c r="TIA1" s="331" t="s">
        <v>14474</v>
      </c>
      <c r="TIB1" s="331" t="s">
        <v>14475</v>
      </c>
      <c r="TIC1" s="331" t="s">
        <v>14476</v>
      </c>
      <c r="TID1" s="331" t="s">
        <v>14477</v>
      </c>
      <c r="TIE1" s="331" t="s">
        <v>14478</v>
      </c>
      <c r="TIF1" s="331" t="s">
        <v>14479</v>
      </c>
      <c r="TIG1" s="331" t="s">
        <v>14480</v>
      </c>
      <c r="TIH1" s="331" t="s">
        <v>14481</v>
      </c>
      <c r="TII1" s="331" t="s">
        <v>14482</v>
      </c>
      <c r="TIJ1" s="331" t="s">
        <v>14483</v>
      </c>
      <c r="TIK1" s="331" t="s">
        <v>14484</v>
      </c>
      <c r="TIL1" s="331" t="s">
        <v>14485</v>
      </c>
      <c r="TIM1" s="331" t="s">
        <v>14486</v>
      </c>
      <c r="TIN1" s="331" t="s">
        <v>14487</v>
      </c>
      <c r="TIO1" s="331" t="s">
        <v>14488</v>
      </c>
      <c r="TIP1" s="331" t="s">
        <v>14489</v>
      </c>
      <c r="TIQ1" s="331" t="s">
        <v>14490</v>
      </c>
      <c r="TIR1" s="331" t="s">
        <v>14491</v>
      </c>
      <c r="TIS1" s="331" t="s">
        <v>14492</v>
      </c>
      <c r="TIT1" s="331" t="s">
        <v>14493</v>
      </c>
      <c r="TIU1" s="331" t="s">
        <v>14494</v>
      </c>
      <c r="TIV1" s="331" t="s">
        <v>14495</v>
      </c>
      <c r="TIW1" s="331" t="s">
        <v>14496</v>
      </c>
      <c r="TIX1" s="331" t="s">
        <v>14497</v>
      </c>
      <c r="TIY1" s="331" t="s">
        <v>14498</v>
      </c>
      <c r="TIZ1" s="331" t="s">
        <v>14499</v>
      </c>
      <c r="TJA1" s="331" t="s">
        <v>14500</v>
      </c>
      <c r="TJB1" s="331" t="s">
        <v>14501</v>
      </c>
      <c r="TJC1" s="331" t="s">
        <v>14502</v>
      </c>
      <c r="TJD1" s="331" t="s">
        <v>14503</v>
      </c>
      <c r="TJE1" s="331" t="s">
        <v>14504</v>
      </c>
      <c r="TJF1" s="331" t="s">
        <v>14505</v>
      </c>
      <c r="TJG1" s="331" t="s">
        <v>14506</v>
      </c>
      <c r="TJH1" s="331" t="s">
        <v>14507</v>
      </c>
      <c r="TJI1" s="331" t="s">
        <v>14508</v>
      </c>
      <c r="TJJ1" s="331" t="s">
        <v>14509</v>
      </c>
      <c r="TJK1" s="331" t="s">
        <v>14510</v>
      </c>
      <c r="TJL1" s="331" t="s">
        <v>14511</v>
      </c>
      <c r="TJM1" s="331" t="s">
        <v>14512</v>
      </c>
      <c r="TJN1" s="331" t="s">
        <v>14513</v>
      </c>
      <c r="TJO1" s="331" t="s">
        <v>14514</v>
      </c>
      <c r="TJP1" s="331" t="s">
        <v>14515</v>
      </c>
      <c r="TJQ1" s="331" t="s">
        <v>14516</v>
      </c>
      <c r="TJR1" s="331" t="s">
        <v>14517</v>
      </c>
      <c r="TJS1" s="331" t="s">
        <v>14518</v>
      </c>
      <c r="TJT1" s="331" t="s">
        <v>14519</v>
      </c>
      <c r="TJU1" s="331" t="s">
        <v>14520</v>
      </c>
      <c r="TJV1" s="331" t="s">
        <v>14521</v>
      </c>
      <c r="TJW1" s="331" t="s">
        <v>14522</v>
      </c>
      <c r="TJX1" s="331" t="s">
        <v>14523</v>
      </c>
      <c r="TJY1" s="331" t="s">
        <v>14524</v>
      </c>
      <c r="TJZ1" s="331" t="s">
        <v>14525</v>
      </c>
      <c r="TKA1" s="331" t="s">
        <v>14526</v>
      </c>
      <c r="TKB1" s="331" t="s">
        <v>14527</v>
      </c>
      <c r="TKC1" s="331" t="s">
        <v>14528</v>
      </c>
      <c r="TKD1" s="331" t="s">
        <v>14529</v>
      </c>
      <c r="TKE1" s="331" t="s">
        <v>14530</v>
      </c>
      <c r="TKF1" s="331" t="s">
        <v>14531</v>
      </c>
      <c r="TKG1" s="331" t="s">
        <v>14532</v>
      </c>
      <c r="TKH1" s="331" t="s">
        <v>14533</v>
      </c>
      <c r="TKI1" s="331" t="s">
        <v>14534</v>
      </c>
      <c r="TKJ1" s="331" t="s">
        <v>14535</v>
      </c>
      <c r="TKK1" s="331" t="s">
        <v>14536</v>
      </c>
      <c r="TKL1" s="331" t="s">
        <v>14537</v>
      </c>
      <c r="TKM1" s="331" t="s">
        <v>14538</v>
      </c>
      <c r="TKN1" s="331" t="s">
        <v>14539</v>
      </c>
      <c r="TKO1" s="331" t="s">
        <v>14540</v>
      </c>
      <c r="TKP1" s="331" t="s">
        <v>14541</v>
      </c>
      <c r="TKQ1" s="331" t="s">
        <v>14542</v>
      </c>
      <c r="TKR1" s="331" t="s">
        <v>14543</v>
      </c>
      <c r="TKS1" s="331" t="s">
        <v>14544</v>
      </c>
      <c r="TKT1" s="331" t="s">
        <v>14545</v>
      </c>
      <c r="TKU1" s="331" t="s">
        <v>14546</v>
      </c>
      <c r="TKV1" s="331" t="s">
        <v>14547</v>
      </c>
      <c r="TKW1" s="331" t="s">
        <v>14548</v>
      </c>
      <c r="TKX1" s="331" t="s">
        <v>14549</v>
      </c>
      <c r="TKY1" s="331" t="s">
        <v>14550</v>
      </c>
      <c r="TKZ1" s="331" t="s">
        <v>14551</v>
      </c>
      <c r="TLA1" s="331" t="s">
        <v>14552</v>
      </c>
      <c r="TLB1" s="331" t="s">
        <v>14553</v>
      </c>
      <c r="TLC1" s="331" t="s">
        <v>14554</v>
      </c>
      <c r="TLD1" s="331" t="s">
        <v>14555</v>
      </c>
      <c r="TLE1" s="331" t="s">
        <v>14556</v>
      </c>
      <c r="TLF1" s="331" t="s">
        <v>14557</v>
      </c>
      <c r="TLG1" s="331" t="s">
        <v>14558</v>
      </c>
      <c r="TLH1" s="331" t="s">
        <v>14559</v>
      </c>
      <c r="TLI1" s="331" t="s">
        <v>14560</v>
      </c>
      <c r="TLJ1" s="331" t="s">
        <v>14561</v>
      </c>
      <c r="TLK1" s="331" t="s">
        <v>14562</v>
      </c>
      <c r="TLL1" s="331" t="s">
        <v>14563</v>
      </c>
      <c r="TLM1" s="331" t="s">
        <v>14564</v>
      </c>
      <c r="TLN1" s="331" t="s">
        <v>14565</v>
      </c>
      <c r="TLO1" s="331" t="s">
        <v>14566</v>
      </c>
      <c r="TLP1" s="331" t="s">
        <v>14567</v>
      </c>
      <c r="TLQ1" s="331" t="s">
        <v>14568</v>
      </c>
      <c r="TLR1" s="331" t="s">
        <v>14569</v>
      </c>
      <c r="TLS1" s="331" t="s">
        <v>14570</v>
      </c>
      <c r="TLT1" s="331" t="s">
        <v>14571</v>
      </c>
      <c r="TLU1" s="331" t="s">
        <v>14572</v>
      </c>
      <c r="TLV1" s="331" t="s">
        <v>14573</v>
      </c>
      <c r="TLW1" s="331" t="s">
        <v>14574</v>
      </c>
      <c r="TLX1" s="331" t="s">
        <v>14575</v>
      </c>
      <c r="TLY1" s="331" t="s">
        <v>14576</v>
      </c>
      <c r="TLZ1" s="331" t="s">
        <v>14577</v>
      </c>
      <c r="TMA1" s="331" t="s">
        <v>14578</v>
      </c>
      <c r="TMB1" s="331" t="s">
        <v>14579</v>
      </c>
      <c r="TMC1" s="331" t="s">
        <v>14580</v>
      </c>
      <c r="TMD1" s="331" t="s">
        <v>14581</v>
      </c>
      <c r="TME1" s="331" t="s">
        <v>14582</v>
      </c>
      <c r="TMF1" s="331" t="s">
        <v>14583</v>
      </c>
      <c r="TMG1" s="331" t="s">
        <v>14584</v>
      </c>
      <c r="TMH1" s="331" t="s">
        <v>14585</v>
      </c>
      <c r="TMI1" s="331" t="s">
        <v>14586</v>
      </c>
      <c r="TMJ1" s="331" t="s">
        <v>14587</v>
      </c>
      <c r="TMK1" s="331" t="s">
        <v>14588</v>
      </c>
      <c r="TML1" s="331" t="s">
        <v>14589</v>
      </c>
      <c r="TMM1" s="331" t="s">
        <v>14590</v>
      </c>
      <c r="TMN1" s="331" t="s">
        <v>14591</v>
      </c>
      <c r="TMO1" s="331" t="s">
        <v>14592</v>
      </c>
      <c r="TMP1" s="331" t="s">
        <v>14593</v>
      </c>
      <c r="TMQ1" s="331" t="s">
        <v>14594</v>
      </c>
      <c r="TMR1" s="331" t="s">
        <v>14595</v>
      </c>
      <c r="TMS1" s="331" t="s">
        <v>14596</v>
      </c>
      <c r="TMT1" s="331" t="s">
        <v>14597</v>
      </c>
      <c r="TMU1" s="331" t="s">
        <v>14598</v>
      </c>
      <c r="TMV1" s="331" t="s">
        <v>14599</v>
      </c>
      <c r="TMW1" s="331" t="s">
        <v>14600</v>
      </c>
      <c r="TMX1" s="331" t="s">
        <v>14601</v>
      </c>
      <c r="TMY1" s="331" t="s">
        <v>14602</v>
      </c>
      <c r="TMZ1" s="331" t="s">
        <v>14603</v>
      </c>
      <c r="TNA1" s="331" t="s">
        <v>14604</v>
      </c>
      <c r="TNB1" s="331" t="s">
        <v>14605</v>
      </c>
      <c r="TNC1" s="331" t="s">
        <v>14606</v>
      </c>
      <c r="TND1" s="331" t="s">
        <v>14607</v>
      </c>
      <c r="TNE1" s="331" t="s">
        <v>14608</v>
      </c>
      <c r="TNF1" s="331" t="s">
        <v>14609</v>
      </c>
      <c r="TNG1" s="331" t="s">
        <v>14610</v>
      </c>
      <c r="TNH1" s="331" t="s">
        <v>14611</v>
      </c>
      <c r="TNI1" s="331" t="s">
        <v>14612</v>
      </c>
      <c r="TNJ1" s="331" t="s">
        <v>14613</v>
      </c>
      <c r="TNK1" s="331" t="s">
        <v>14614</v>
      </c>
      <c r="TNL1" s="331" t="s">
        <v>14615</v>
      </c>
      <c r="TNM1" s="331" t="s">
        <v>14616</v>
      </c>
      <c r="TNN1" s="331" t="s">
        <v>14617</v>
      </c>
      <c r="TNO1" s="331" t="s">
        <v>14618</v>
      </c>
      <c r="TNP1" s="331" t="s">
        <v>14619</v>
      </c>
      <c r="TNQ1" s="331" t="s">
        <v>14620</v>
      </c>
      <c r="TNR1" s="331" t="s">
        <v>14621</v>
      </c>
      <c r="TNS1" s="331" t="s">
        <v>14622</v>
      </c>
      <c r="TNT1" s="331" t="s">
        <v>14623</v>
      </c>
      <c r="TNU1" s="331" t="s">
        <v>14624</v>
      </c>
      <c r="TNV1" s="331" t="s">
        <v>14625</v>
      </c>
      <c r="TNW1" s="331" t="s">
        <v>14626</v>
      </c>
      <c r="TNX1" s="331" t="s">
        <v>14627</v>
      </c>
      <c r="TNY1" s="331" t="s">
        <v>14628</v>
      </c>
      <c r="TNZ1" s="331" t="s">
        <v>14629</v>
      </c>
      <c r="TOA1" s="331" t="s">
        <v>14630</v>
      </c>
      <c r="TOB1" s="331" t="s">
        <v>14631</v>
      </c>
      <c r="TOC1" s="331" t="s">
        <v>14632</v>
      </c>
      <c r="TOD1" s="331" t="s">
        <v>14633</v>
      </c>
      <c r="TOE1" s="331" t="s">
        <v>14634</v>
      </c>
      <c r="TOF1" s="331" t="s">
        <v>14635</v>
      </c>
      <c r="TOG1" s="331" t="s">
        <v>14636</v>
      </c>
      <c r="TOH1" s="331" t="s">
        <v>14637</v>
      </c>
      <c r="TOI1" s="331" t="s">
        <v>14638</v>
      </c>
      <c r="TOJ1" s="331" t="s">
        <v>14639</v>
      </c>
      <c r="TOK1" s="331" t="s">
        <v>14640</v>
      </c>
      <c r="TOL1" s="331" t="s">
        <v>14641</v>
      </c>
      <c r="TOM1" s="331" t="s">
        <v>14642</v>
      </c>
      <c r="TON1" s="331" t="s">
        <v>14643</v>
      </c>
      <c r="TOO1" s="331" t="s">
        <v>14644</v>
      </c>
      <c r="TOP1" s="331" t="s">
        <v>14645</v>
      </c>
      <c r="TOQ1" s="331" t="s">
        <v>14646</v>
      </c>
      <c r="TOR1" s="331" t="s">
        <v>14647</v>
      </c>
      <c r="TOS1" s="331" t="s">
        <v>14648</v>
      </c>
      <c r="TOT1" s="331" t="s">
        <v>14649</v>
      </c>
      <c r="TOU1" s="331" t="s">
        <v>14650</v>
      </c>
      <c r="TOV1" s="331" t="s">
        <v>14651</v>
      </c>
      <c r="TOW1" s="331" t="s">
        <v>14652</v>
      </c>
      <c r="TOX1" s="331" t="s">
        <v>14653</v>
      </c>
      <c r="TOY1" s="331" t="s">
        <v>14654</v>
      </c>
      <c r="TOZ1" s="331" t="s">
        <v>14655</v>
      </c>
      <c r="TPA1" s="331" t="s">
        <v>14656</v>
      </c>
      <c r="TPB1" s="331" t="s">
        <v>14657</v>
      </c>
      <c r="TPC1" s="331" t="s">
        <v>14658</v>
      </c>
      <c r="TPD1" s="331" t="s">
        <v>14659</v>
      </c>
      <c r="TPE1" s="331" t="s">
        <v>14660</v>
      </c>
      <c r="TPF1" s="331" t="s">
        <v>14661</v>
      </c>
      <c r="TPG1" s="331" t="s">
        <v>14662</v>
      </c>
      <c r="TPH1" s="331" t="s">
        <v>14663</v>
      </c>
      <c r="TPI1" s="331" t="s">
        <v>14664</v>
      </c>
      <c r="TPJ1" s="331" t="s">
        <v>14665</v>
      </c>
      <c r="TPK1" s="331" t="s">
        <v>14666</v>
      </c>
      <c r="TPL1" s="331" t="s">
        <v>14667</v>
      </c>
      <c r="TPM1" s="331" t="s">
        <v>14668</v>
      </c>
      <c r="TPN1" s="331" t="s">
        <v>14669</v>
      </c>
      <c r="TPO1" s="331" t="s">
        <v>14670</v>
      </c>
      <c r="TPP1" s="331" t="s">
        <v>14671</v>
      </c>
      <c r="TPQ1" s="331" t="s">
        <v>14672</v>
      </c>
      <c r="TPR1" s="331" t="s">
        <v>14673</v>
      </c>
      <c r="TPS1" s="331" t="s">
        <v>14674</v>
      </c>
      <c r="TPT1" s="331" t="s">
        <v>14675</v>
      </c>
      <c r="TPU1" s="331" t="s">
        <v>14676</v>
      </c>
      <c r="TPV1" s="331" t="s">
        <v>14677</v>
      </c>
      <c r="TPW1" s="331" t="s">
        <v>14678</v>
      </c>
      <c r="TPX1" s="331" t="s">
        <v>14679</v>
      </c>
      <c r="TPY1" s="331" t="s">
        <v>14680</v>
      </c>
      <c r="TPZ1" s="331" t="s">
        <v>14681</v>
      </c>
      <c r="TQA1" s="331" t="s">
        <v>14682</v>
      </c>
      <c r="TQB1" s="331" t="s">
        <v>14683</v>
      </c>
      <c r="TQC1" s="331" t="s">
        <v>14684</v>
      </c>
      <c r="TQD1" s="331" t="s">
        <v>14685</v>
      </c>
      <c r="TQE1" s="331" t="s">
        <v>14686</v>
      </c>
      <c r="TQF1" s="331" t="s">
        <v>14687</v>
      </c>
      <c r="TQG1" s="331" t="s">
        <v>14688</v>
      </c>
      <c r="TQH1" s="331" t="s">
        <v>14689</v>
      </c>
      <c r="TQI1" s="331" t="s">
        <v>14690</v>
      </c>
      <c r="TQJ1" s="331" t="s">
        <v>14691</v>
      </c>
      <c r="TQK1" s="331" t="s">
        <v>14692</v>
      </c>
      <c r="TQL1" s="331" t="s">
        <v>14693</v>
      </c>
      <c r="TQM1" s="331" t="s">
        <v>14694</v>
      </c>
      <c r="TQN1" s="331" t="s">
        <v>14695</v>
      </c>
      <c r="TQO1" s="331" t="s">
        <v>14696</v>
      </c>
      <c r="TQP1" s="331" t="s">
        <v>14697</v>
      </c>
      <c r="TQQ1" s="331" t="s">
        <v>14698</v>
      </c>
      <c r="TQR1" s="331" t="s">
        <v>14699</v>
      </c>
      <c r="TQS1" s="331" t="s">
        <v>14700</v>
      </c>
      <c r="TQT1" s="331" t="s">
        <v>14701</v>
      </c>
      <c r="TQU1" s="331" t="s">
        <v>14702</v>
      </c>
      <c r="TQV1" s="331" t="s">
        <v>14703</v>
      </c>
      <c r="TQW1" s="331" t="s">
        <v>14704</v>
      </c>
      <c r="TQX1" s="331" t="s">
        <v>14705</v>
      </c>
      <c r="TQY1" s="331" t="s">
        <v>14706</v>
      </c>
      <c r="TQZ1" s="331" t="s">
        <v>14707</v>
      </c>
      <c r="TRA1" s="331" t="s">
        <v>14708</v>
      </c>
      <c r="TRB1" s="331" t="s">
        <v>14709</v>
      </c>
      <c r="TRC1" s="331" t="s">
        <v>14710</v>
      </c>
      <c r="TRD1" s="331" t="s">
        <v>14711</v>
      </c>
      <c r="TRE1" s="331" t="s">
        <v>14712</v>
      </c>
      <c r="TRF1" s="331" t="s">
        <v>14713</v>
      </c>
      <c r="TRG1" s="331" t="s">
        <v>14714</v>
      </c>
      <c r="TRH1" s="331" t="s">
        <v>14715</v>
      </c>
      <c r="TRI1" s="331" t="s">
        <v>14716</v>
      </c>
      <c r="TRJ1" s="331" t="s">
        <v>14717</v>
      </c>
      <c r="TRK1" s="331" t="s">
        <v>14718</v>
      </c>
      <c r="TRL1" s="331" t="s">
        <v>14719</v>
      </c>
      <c r="TRM1" s="331" t="s">
        <v>14720</v>
      </c>
      <c r="TRN1" s="331" t="s">
        <v>14721</v>
      </c>
      <c r="TRO1" s="331" t="s">
        <v>14722</v>
      </c>
      <c r="TRP1" s="331" t="s">
        <v>14723</v>
      </c>
      <c r="TRQ1" s="331" t="s">
        <v>14724</v>
      </c>
      <c r="TRR1" s="331" t="s">
        <v>14725</v>
      </c>
      <c r="TRS1" s="331" t="s">
        <v>14726</v>
      </c>
      <c r="TRT1" s="331" t="s">
        <v>14727</v>
      </c>
      <c r="TRU1" s="331" t="s">
        <v>14728</v>
      </c>
      <c r="TRV1" s="331" t="s">
        <v>14729</v>
      </c>
      <c r="TRW1" s="331" t="s">
        <v>14730</v>
      </c>
      <c r="TRX1" s="331" t="s">
        <v>14731</v>
      </c>
      <c r="TRY1" s="331" t="s">
        <v>14732</v>
      </c>
      <c r="TRZ1" s="331" t="s">
        <v>14733</v>
      </c>
      <c r="TSA1" s="331" t="s">
        <v>14734</v>
      </c>
      <c r="TSB1" s="331" t="s">
        <v>14735</v>
      </c>
      <c r="TSC1" s="331" t="s">
        <v>14736</v>
      </c>
      <c r="TSD1" s="331" t="s">
        <v>14737</v>
      </c>
      <c r="TSE1" s="331" t="s">
        <v>14738</v>
      </c>
      <c r="TSF1" s="331" t="s">
        <v>14739</v>
      </c>
      <c r="TSG1" s="331" t="s">
        <v>14740</v>
      </c>
      <c r="TSH1" s="331" t="s">
        <v>14741</v>
      </c>
      <c r="TSI1" s="331" t="s">
        <v>14742</v>
      </c>
      <c r="TSJ1" s="331" t="s">
        <v>14743</v>
      </c>
      <c r="TSK1" s="331" t="s">
        <v>14744</v>
      </c>
      <c r="TSL1" s="331" t="s">
        <v>14745</v>
      </c>
      <c r="TSM1" s="331" t="s">
        <v>14746</v>
      </c>
      <c r="TSN1" s="331" t="s">
        <v>14747</v>
      </c>
      <c r="TSO1" s="331" t="s">
        <v>14748</v>
      </c>
      <c r="TSP1" s="331" t="s">
        <v>14749</v>
      </c>
      <c r="TSQ1" s="331" t="s">
        <v>14750</v>
      </c>
      <c r="TSR1" s="331" t="s">
        <v>14751</v>
      </c>
      <c r="TSS1" s="331" t="s">
        <v>14752</v>
      </c>
      <c r="TST1" s="331" t="s">
        <v>14753</v>
      </c>
      <c r="TSU1" s="331" t="s">
        <v>14754</v>
      </c>
      <c r="TSV1" s="331" t="s">
        <v>14755</v>
      </c>
      <c r="TSW1" s="331" t="s">
        <v>14756</v>
      </c>
      <c r="TSX1" s="331" t="s">
        <v>14757</v>
      </c>
      <c r="TSY1" s="331" t="s">
        <v>14758</v>
      </c>
      <c r="TSZ1" s="331" t="s">
        <v>14759</v>
      </c>
      <c r="TTA1" s="331" t="s">
        <v>14760</v>
      </c>
      <c r="TTB1" s="331" t="s">
        <v>14761</v>
      </c>
      <c r="TTC1" s="331" t="s">
        <v>14762</v>
      </c>
      <c r="TTD1" s="331" t="s">
        <v>14763</v>
      </c>
      <c r="TTE1" s="331" t="s">
        <v>14764</v>
      </c>
      <c r="TTF1" s="331" t="s">
        <v>14765</v>
      </c>
      <c r="TTG1" s="331" t="s">
        <v>14766</v>
      </c>
      <c r="TTH1" s="331" t="s">
        <v>14767</v>
      </c>
      <c r="TTI1" s="331" t="s">
        <v>14768</v>
      </c>
      <c r="TTJ1" s="331" t="s">
        <v>14769</v>
      </c>
      <c r="TTK1" s="331" t="s">
        <v>14770</v>
      </c>
      <c r="TTL1" s="331" t="s">
        <v>14771</v>
      </c>
      <c r="TTM1" s="331" t="s">
        <v>14772</v>
      </c>
      <c r="TTN1" s="331" t="s">
        <v>14773</v>
      </c>
      <c r="TTO1" s="331" t="s">
        <v>14774</v>
      </c>
      <c r="TTP1" s="331" t="s">
        <v>14775</v>
      </c>
      <c r="TTQ1" s="331" t="s">
        <v>14776</v>
      </c>
      <c r="TTR1" s="331" t="s">
        <v>14777</v>
      </c>
      <c r="TTS1" s="331" t="s">
        <v>14778</v>
      </c>
      <c r="TTT1" s="331" t="s">
        <v>14779</v>
      </c>
      <c r="TTU1" s="331" t="s">
        <v>14780</v>
      </c>
      <c r="TTV1" s="331" t="s">
        <v>14781</v>
      </c>
      <c r="TTW1" s="331" t="s">
        <v>14782</v>
      </c>
      <c r="TTX1" s="331" t="s">
        <v>14783</v>
      </c>
      <c r="TTY1" s="331" t="s">
        <v>14784</v>
      </c>
      <c r="TTZ1" s="331" t="s">
        <v>14785</v>
      </c>
      <c r="TUA1" s="331" t="s">
        <v>14786</v>
      </c>
      <c r="TUB1" s="331" t="s">
        <v>14787</v>
      </c>
      <c r="TUC1" s="331" t="s">
        <v>14788</v>
      </c>
      <c r="TUD1" s="331" t="s">
        <v>14789</v>
      </c>
      <c r="TUE1" s="331" t="s">
        <v>14790</v>
      </c>
      <c r="TUF1" s="331" t="s">
        <v>14791</v>
      </c>
      <c r="TUG1" s="331" t="s">
        <v>14792</v>
      </c>
      <c r="TUH1" s="331" t="s">
        <v>14793</v>
      </c>
      <c r="TUI1" s="331" t="s">
        <v>14794</v>
      </c>
      <c r="TUJ1" s="331" t="s">
        <v>14795</v>
      </c>
      <c r="TUK1" s="331" t="s">
        <v>14796</v>
      </c>
      <c r="TUL1" s="331" t="s">
        <v>14797</v>
      </c>
      <c r="TUM1" s="331" t="s">
        <v>14798</v>
      </c>
      <c r="TUN1" s="331" t="s">
        <v>14799</v>
      </c>
      <c r="TUO1" s="331" t="s">
        <v>14800</v>
      </c>
      <c r="TUP1" s="331" t="s">
        <v>14801</v>
      </c>
      <c r="TUQ1" s="331" t="s">
        <v>14802</v>
      </c>
      <c r="TUR1" s="331" t="s">
        <v>14803</v>
      </c>
      <c r="TUS1" s="331" t="s">
        <v>14804</v>
      </c>
      <c r="TUT1" s="331" t="s">
        <v>14805</v>
      </c>
      <c r="TUU1" s="331" t="s">
        <v>14806</v>
      </c>
      <c r="TUV1" s="331" t="s">
        <v>14807</v>
      </c>
      <c r="TUW1" s="331" t="s">
        <v>14808</v>
      </c>
      <c r="TUX1" s="331" t="s">
        <v>14809</v>
      </c>
      <c r="TUY1" s="331" t="s">
        <v>14810</v>
      </c>
      <c r="TUZ1" s="331" t="s">
        <v>14811</v>
      </c>
      <c r="TVA1" s="331" t="s">
        <v>14812</v>
      </c>
      <c r="TVB1" s="331" t="s">
        <v>14813</v>
      </c>
      <c r="TVC1" s="331" t="s">
        <v>14814</v>
      </c>
      <c r="TVD1" s="331" t="s">
        <v>14815</v>
      </c>
      <c r="TVE1" s="331" t="s">
        <v>14816</v>
      </c>
      <c r="TVF1" s="331" t="s">
        <v>14817</v>
      </c>
      <c r="TVG1" s="331" t="s">
        <v>14818</v>
      </c>
      <c r="TVH1" s="331" t="s">
        <v>14819</v>
      </c>
      <c r="TVI1" s="331" t="s">
        <v>14820</v>
      </c>
      <c r="TVJ1" s="331" t="s">
        <v>14821</v>
      </c>
      <c r="TVK1" s="331" t="s">
        <v>14822</v>
      </c>
      <c r="TVL1" s="331" t="s">
        <v>14823</v>
      </c>
      <c r="TVM1" s="331" t="s">
        <v>14824</v>
      </c>
      <c r="TVN1" s="331" t="s">
        <v>14825</v>
      </c>
      <c r="TVO1" s="331" t="s">
        <v>14826</v>
      </c>
      <c r="TVP1" s="331" t="s">
        <v>14827</v>
      </c>
      <c r="TVQ1" s="331" t="s">
        <v>14828</v>
      </c>
      <c r="TVR1" s="331" t="s">
        <v>14829</v>
      </c>
      <c r="TVS1" s="331" t="s">
        <v>14830</v>
      </c>
      <c r="TVT1" s="331" t="s">
        <v>14831</v>
      </c>
      <c r="TVU1" s="331" t="s">
        <v>14832</v>
      </c>
      <c r="TVV1" s="331" t="s">
        <v>14833</v>
      </c>
      <c r="TVW1" s="331" t="s">
        <v>14834</v>
      </c>
      <c r="TVX1" s="331" t="s">
        <v>14835</v>
      </c>
      <c r="TVY1" s="331" t="s">
        <v>14836</v>
      </c>
      <c r="TVZ1" s="331" t="s">
        <v>14837</v>
      </c>
      <c r="TWA1" s="331" t="s">
        <v>14838</v>
      </c>
      <c r="TWB1" s="331" t="s">
        <v>14839</v>
      </c>
      <c r="TWC1" s="331" t="s">
        <v>14840</v>
      </c>
      <c r="TWD1" s="331" t="s">
        <v>14841</v>
      </c>
      <c r="TWE1" s="331" t="s">
        <v>14842</v>
      </c>
      <c r="TWF1" s="331" t="s">
        <v>14843</v>
      </c>
      <c r="TWG1" s="331" t="s">
        <v>14844</v>
      </c>
      <c r="TWH1" s="331" t="s">
        <v>14845</v>
      </c>
      <c r="TWI1" s="331" t="s">
        <v>14846</v>
      </c>
      <c r="TWJ1" s="331" t="s">
        <v>14847</v>
      </c>
      <c r="TWK1" s="331" t="s">
        <v>14848</v>
      </c>
      <c r="TWL1" s="331" t="s">
        <v>14849</v>
      </c>
      <c r="TWM1" s="331" t="s">
        <v>14850</v>
      </c>
      <c r="TWN1" s="331" t="s">
        <v>14851</v>
      </c>
      <c r="TWO1" s="331" t="s">
        <v>14852</v>
      </c>
      <c r="TWP1" s="331" t="s">
        <v>14853</v>
      </c>
      <c r="TWQ1" s="331" t="s">
        <v>14854</v>
      </c>
      <c r="TWR1" s="331" t="s">
        <v>14855</v>
      </c>
      <c r="TWS1" s="331" t="s">
        <v>14856</v>
      </c>
      <c r="TWT1" s="331" t="s">
        <v>14857</v>
      </c>
      <c r="TWU1" s="331" t="s">
        <v>14858</v>
      </c>
      <c r="TWV1" s="331" t="s">
        <v>14859</v>
      </c>
      <c r="TWW1" s="331" t="s">
        <v>14860</v>
      </c>
      <c r="TWX1" s="331" t="s">
        <v>14861</v>
      </c>
      <c r="TWY1" s="331" t="s">
        <v>14862</v>
      </c>
      <c r="TWZ1" s="331" t="s">
        <v>14863</v>
      </c>
      <c r="TXA1" s="331" t="s">
        <v>14864</v>
      </c>
      <c r="TXB1" s="331" t="s">
        <v>14865</v>
      </c>
      <c r="TXC1" s="331" t="s">
        <v>14866</v>
      </c>
      <c r="TXD1" s="331" t="s">
        <v>14867</v>
      </c>
      <c r="TXE1" s="331" t="s">
        <v>14868</v>
      </c>
      <c r="TXF1" s="331" t="s">
        <v>14869</v>
      </c>
      <c r="TXG1" s="331" t="s">
        <v>14870</v>
      </c>
      <c r="TXH1" s="331" t="s">
        <v>14871</v>
      </c>
      <c r="TXI1" s="331" t="s">
        <v>14872</v>
      </c>
      <c r="TXJ1" s="331" t="s">
        <v>14873</v>
      </c>
      <c r="TXK1" s="331" t="s">
        <v>14874</v>
      </c>
      <c r="TXL1" s="331" t="s">
        <v>14875</v>
      </c>
      <c r="TXM1" s="331" t="s">
        <v>14876</v>
      </c>
      <c r="TXN1" s="331" t="s">
        <v>14877</v>
      </c>
      <c r="TXO1" s="331" t="s">
        <v>14878</v>
      </c>
      <c r="TXP1" s="331" t="s">
        <v>14879</v>
      </c>
      <c r="TXQ1" s="331" t="s">
        <v>14880</v>
      </c>
      <c r="TXR1" s="331" t="s">
        <v>14881</v>
      </c>
      <c r="TXS1" s="331" t="s">
        <v>14882</v>
      </c>
      <c r="TXT1" s="331" t="s">
        <v>14883</v>
      </c>
      <c r="TXU1" s="331" t="s">
        <v>14884</v>
      </c>
      <c r="TXV1" s="331" t="s">
        <v>14885</v>
      </c>
      <c r="TXW1" s="331" t="s">
        <v>14886</v>
      </c>
      <c r="TXX1" s="331" t="s">
        <v>14887</v>
      </c>
      <c r="TXY1" s="331" t="s">
        <v>14888</v>
      </c>
      <c r="TXZ1" s="331" t="s">
        <v>14889</v>
      </c>
      <c r="TYA1" s="331" t="s">
        <v>14890</v>
      </c>
      <c r="TYB1" s="331" t="s">
        <v>14891</v>
      </c>
      <c r="TYC1" s="331" t="s">
        <v>14892</v>
      </c>
      <c r="TYD1" s="331" t="s">
        <v>14893</v>
      </c>
      <c r="TYE1" s="331" t="s">
        <v>14894</v>
      </c>
      <c r="TYF1" s="331" t="s">
        <v>14895</v>
      </c>
      <c r="TYG1" s="331" t="s">
        <v>14896</v>
      </c>
      <c r="TYH1" s="331" t="s">
        <v>14897</v>
      </c>
      <c r="TYI1" s="331" t="s">
        <v>14898</v>
      </c>
      <c r="TYJ1" s="331" t="s">
        <v>14899</v>
      </c>
      <c r="TYK1" s="331" t="s">
        <v>14900</v>
      </c>
      <c r="TYL1" s="331" t="s">
        <v>14901</v>
      </c>
      <c r="TYM1" s="331" t="s">
        <v>14902</v>
      </c>
      <c r="TYN1" s="331" t="s">
        <v>14903</v>
      </c>
      <c r="TYO1" s="331" t="s">
        <v>14904</v>
      </c>
      <c r="TYP1" s="331" t="s">
        <v>14905</v>
      </c>
      <c r="TYQ1" s="331" t="s">
        <v>14906</v>
      </c>
      <c r="TYR1" s="331" t="s">
        <v>14907</v>
      </c>
      <c r="TYS1" s="331" t="s">
        <v>14908</v>
      </c>
      <c r="TYT1" s="331" t="s">
        <v>14909</v>
      </c>
      <c r="TYU1" s="331" t="s">
        <v>14910</v>
      </c>
      <c r="TYV1" s="331" t="s">
        <v>14911</v>
      </c>
      <c r="TYW1" s="331" t="s">
        <v>14912</v>
      </c>
      <c r="TYX1" s="331" t="s">
        <v>14913</v>
      </c>
      <c r="TYY1" s="331" t="s">
        <v>14914</v>
      </c>
      <c r="TYZ1" s="331" t="s">
        <v>14915</v>
      </c>
      <c r="TZA1" s="331" t="s">
        <v>14916</v>
      </c>
      <c r="TZB1" s="331" t="s">
        <v>14917</v>
      </c>
      <c r="TZC1" s="331" t="s">
        <v>14918</v>
      </c>
      <c r="TZD1" s="331" t="s">
        <v>14919</v>
      </c>
      <c r="TZE1" s="331" t="s">
        <v>14920</v>
      </c>
      <c r="TZF1" s="331" t="s">
        <v>14921</v>
      </c>
      <c r="TZG1" s="331" t="s">
        <v>14922</v>
      </c>
      <c r="TZH1" s="331" t="s">
        <v>14923</v>
      </c>
      <c r="TZI1" s="331" t="s">
        <v>14924</v>
      </c>
      <c r="TZJ1" s="331" t="s">
        <v>14925</v>
      </c>
      <c r="TZK1" s="331" t="s">
        <v>14926</v>
      </c>
      <c r="TZL1" s="331" t="s">
        <v>14927</v>
      </c>
      <c r="TZM1" s="331" t="s">
        <v>14928</v>
      </c>
      <c r="TZN1" s="331" t="s">
        <v>14929</v>
      </c>
      <c r="TZO1" s="331" t="s">
        <v>14930</v>
      </c>
      <c r="TZP1" s="331" t="s">
        <v>14931</v>
      </c>
      <c r="TZQ1" s="331" t="s">
        <v>14932</v>
      </c>
      <c r="TZR1" s="331" t="s">
        <v>14933</v>
      </c>
      <c r="TZS1" s="331" t="s">
        <v>14934</v>
      </c>
      <c r="TZT1" s="331" t="s">
        <v>14935</v>
      </c>
      <c r="TZU1" s="331" t="s">
        <v>14936</v>
      </c>
      <c r="TZV1" s="331" t="s">
        <v>14937</v>
      </c>
      <c r="TZW1" s="331" t="s">
        <v>14938</v>
      </c>
      <c r="TZX1" s="331" t="s">
        <v>14939</v>
      </c>
      <c r="TZY1" s="331" t="s">
        <v>14940</v>
      </c>
      <c r="TZZ1" s="331" t="s">
        <v>14941</v>
      </c>
      <c r="UAA1" s="331" t="s">
        <v>14942</v>
      </c>
      <c r="UAB1" s="331" t="s">
        <v>14943</v>
      </c>
      <c r="UAC1" s="331" t="s">
        <v>14944</v>
      </c>
      <c r="UAD1" s="331" t="s">
        <v>14945</v>
      </c>
      <c r="UAE1" s="331" t="s">
        <v>14946</v>
      </c>
      <c r="UAF1" s="331" t="s">
        <v>14947</v>
      </c>
      <c r="UAG1" s="331" t="s">
        <v>14948</v>
      </c>
      <c r="UAH1" s="331" t="s">
        <v>14949</v>
      </c>
      <c r="UAI1" s="331" t="s">
        <v>14950</v>
      </c>
      <c r="UAJ1" s="331" t="s">
        <v>14951</v>
      </c>
      <c r="UAK1" s="331" t="s">
        <v>14952</v>
      </c>
      <c r="UAL1" s="331" t="s">
        <v>14953</v>
      </c>
      <c r="UAM1" s="331" t="s">
        <v>14954</v>
      </c>
      <c r="UAN1" s="331" t="s">
        <v>14955</v>
      </c>
      <c r="UAO1" s="331" t="s">
        <v>14956</v>
      </c>
      <c r="UAP1" s="331" t="s">
        <v>14957</v>
      </c>
      <c r="UAQ1" s="331" t="s">
        <v>14958</v>
      </c>
      <c r="UAR1" s="331" t="s">
        <v>14959</v>
      </c>
      <c r="UAS1" s="331" t="s">
        <v>14960</v>
      </c>
      <c r="UAT1" s="331" t="s">
        <v>14961</v>
      </c>
      <c r="UAU1" s="331" t="s">
        <v>14962</v>
      </c>
      <c r="UAV1" s="331" t="s">
        <v>14963</v>
      </c>
      <c r="UAW1" s="331" t="s">
        <v>14964</v>
      </c>
      <c r="UAX1" s="331" t="s">
        <v>14965</v>
      </c>
      <c r="UAY1" s="331" t="s">
        <v>14966</v>
      </c>
      <c r="UAZ1" s="331" t="s">
        <v>14967</v>
      </c>
      <c r="UBA1" s="331" t="s">
        <v>14968</v>
      </c>
      <c r="UBB1" s="331" t="s">
        <v>14969</v>
      </c>
      <c r="UBC1" s="331" t="s">
        <v>14970</v>
      </c>
      <c r="UBD1" s="331" t="s">
        <v>14971</v>
      </c>
      <c r="UBE1" s="331" t="s">
        <v>14972</v>
      </c>
      <c r="UBF1" s="331" t="s">
        <v>14973</v>
      </c>
      <c r="UBG1" s="331" t="s">
        <v>14974</v>
      </c>
      <c r="UBH1" s="331" t="s">
        <v>14975</v>
      </c>
      <c r="UBI1" s="331" t="s">
        <v>14976</v>
      </c>
      <c r="UBJ1" s="331" t="s">
        <v>14977</v>
      </c>
      <c r="UBK1" s="331" t="s">
        <v>14978</v>
      </c>
      <c r="UBL1" s="331" t="s">
        <v>14979</v>
      </c>
      <c r="UBM1" s="331" t="s">
        <v>14980</v>
      </c>
      <c r="UBN1" s="331" t="s">
        <v>14981</v>
      </c>
      <c r="UBO1" s="331" t="s">
        <v>14982</v>
      </c>
      <c r="UBP1" s="331" t="s">
        <v>14983</v>
      </c>
      <c r="UBQ1" s="331" t="s">
        <v>14984</v>
      </c>
      <c r="UBR1" s="331" t="s">
        <v>14985</v>
      </c>
      <c r="UBS1" s="331" t="s">
        <v>14986</v>
      </c>
      <c r="UBT1" s="331" t="s">
        <v>14987</v>
      </c>
      <c r="UBU1" s="331" t="s">
        <v>14988</v>
      </c>
      <c r="UBV1" s="331" t="s">
        <v>14989</v>
      </c>
      <c r="UBW1" s="331" t="s">
        <v>14990</v>
      </c>
      <c r="UBX1" s="331" t="s">
        <v>14991</v>
      </c>
      <c r="UBY1" s="331" t="s">
        <v>14992</v>
      </c>
      <c r="UBZ1" s="331" t="s">
        <v>14993</v>
      </c>
      <c r="UCA1" s="331" t="s">
        <v>14994</v>
      </c>
      <c r="UCB1" s="331" t="s">
        <v>14995</v>
      </c>
      <c r="UCC1" s="331" t="s">
        <v>14996</v>
      </c>
      <c r="UCD1" s="331" t="s">
        <v>14997</v>
      </c>
      <c r="UCE1" s="331" t="s">
        <v>14998</v>
      </c>
      <c r="UCF1" s="331" t="s">
        <v>14999</v>
      </c>
      <c r="UCG1" s="331" t="s">
        <v>15000</v>
      </c>
      <c r="UCH1" s="331" t="s">
        <v>15001</v>
      </c>
      <c r="UCI1" s="331" t="s">
        <v>15002</v>
      </c>
      <c r="UCJ1" s="331" t="s">
        <v>15003</v>
      </c>
      <c r="UCK1" s="331" t="s">
        <v>15004</v>
      </c>
      <c r="UCL1" s="331" t="s">
        <v>15005</v>
      </c>
      <c r="UCM1" s="331" t="s">
        <v>15006</v>
      </c>
      <c r="UCN1" s="331" t="s">
        <v>15007</v>
      </c>
      <c r="UCO1" s="331" t="s">
        <v>15008</v>
      </c>
      <c r="UCP1" s="331" t="s">
        <v>15009</v>
      </c>
      <c r="UCQ1" s="331" t="s">
        <v>15010</v>
      </c>
      <c r="UCR1" s="331" t="s">
        <v>15011</v>
      </c>
      <c r="UCS1" s="331" t="s">
        <v>15012</v>
      </c>
      <c r="UCT1" s="331" t="s">
        <v>15013</v>
      </c>
      <c r="UCU1" s="331" t="s">
        <v>15014</v>
      </c>
      <c r="UCV1" s="331" t="s">
        <v>15015</v>
      </c>
      <c r="UCW1" s="331" t="s">
        <v>15016</v>
      </c>
      <c r="UCX1" s="331" t="s">
        <v>15017</v>
      </c>
      <c r="UCY1" s="331" t="s">
        <v>15018</v>
      </c>
      <c r="UCZ1" s="331" t="s">
        <v>15019</v>
      </c>
      <c r="UDA1" s="331" t="s">
        <v>15020</v>
      </c>
      <c r="UDB1" s="331" t="s">
        <v>15021</v>
      </c>
      <c r="UDC1" s="331" t="s">
        <v>15022</v>
      </c>
      <c r="UDD1" s="331" t="s">
        <v>15023</v>
      </c>
      <c r="UDE1" s="331" t="s">
        <v>15024</v>
      </c>
      <c r="UDF1" s="331" t="s">
        <v>15025</v>
      </c>
      <c r="UDG1" s="331" t="s">
        <v>15026</v>
      </c>
      <c r="UDH1" s="331" t="s">
        <v>15027</v>
      </c>
      <c r="UDI1" s="331" t="s">
        <v>15028</v>
      </c>
      <c r="UDJ1" s="331" t="s">
        <v>15029</v>
      </c>
      <c r="UDK1" s="331" t="s">
        <v>15030</v>
      </c>
      <c r="UDL1" s="331" t="s">
        <v>15031</v>
      </c>
      <c r="UDM1" s="331" t="s">
        <v>15032</v>
      </c>
      <c r="UDN1" s="331" t="s">
        <v>15033</v>
      </c>
      <c r="UDO1" s="331" t="s">
        <v>15034</v>
      </c>
      <c r="UDP1" s="331" t="s">
        <v>15035</v>
      </c>
      <c r="UDQ1" s="331" t="s">
        <v>15036</v>
      </c>
      <c r="UDR1" s="331" t="s">
        <v>15037</v>
      </c>
      <c r="UDS1" s="331" t="s">
        <v>15038</v>
      </c>
      <c r="UDT1" s="331" t="s">
        <v>15039</v>
      </c>
      <c r="UDU1" s="331" t="s">
        <v>15040</v>
      </c>
      <c r="UDV1" s="331" t="s">
        <v>15041</v>
      </c>
      <c r="UDW1" s="331" t="s">
        <v>15042</v>
      </c>
      <c r="UDX1" s="331" t="s">
        <v>15043</v>
      </c>
      <c r="UDY1" s="331" t="s">
        <v>15044</v>
      </c>
      <c r="UDZ1" s="331" t="s">
        <v>15045</v>
      </c>
      <c r="UEA1" s="331" t="s">
        <v>15046</v>
      </c>
      <c r="UEB1" s="331" t="s">
        <v>15047</v>
      </c>
      <c r="UEC1" s="331" t="s">
        <v>15048</v>
      </c>
      <c r="UED1" s="331" t="s">
        <v>15049</v>
      </c>
      <c r="UEE1" s="331" t="s">
        <v>15050</v>
      </c>
      <c r="UEF1" s="331" t="s">
        <v>15051</v>
      </c>
      <c r="UEG1" s="331" t="s">
        <v>15052</v>
      </c>
      <c r="UEH1" s="331" t="s">
        <v>15053</v>
      </c>
      <c r="UEI1" s="331" t="s">
        <v>15054</v>
      </c>
      <c r="UEJ1" s="331" t="s">
        <v>15055</v>
      </c>
      <c r="UEK1" s="331" t="s">
        <v>15056</v>
      </c>
      <c r="UEL1" s="331" t="s">
        <v>15057</v>
      </c>
      <c r="UEM1" s="331" t="s">
        <v>15058</v>
      </c>
      <c r="UEN1" s="331" t="s">
        <v>15059</v>
      </c>
      <c r="UEO1" s="331" t="s">
        <v>15060</v>
      </c>
      <c r="UEP1" s="331" t="s">
        <v>15061</v>
      </c>
      <c r="UEQ1" s="331" t="s">
        <v>15062</v>
      </c>
      <c r="UER1" s="331" t="s">
        <v>15063</v>
      </c>
      <c r="UES1" s="331" t="s">
        <v>15064</v>
      </c>
      <c r="UET1" s="331" t="s">
        <v>15065</v>
      </c>
      <c r="UEU1" s="331" t="s">
        <v>15066</v>
      </c>
      <c r="UEV1" s="331" t="s">
        <v>15067</v>
      </c>
      <c r="UEW1" s="331" t="s">
        <v>15068</v>
      </c>
      <c r="UEX1" s="331" t="s">
        <v>15069</v>
      </c>
      <c r="UEY1" s="331" t="s">
        <v>15070</v>
      </c>
      <c r="UEZ1" s="331" t="s">
        <v>15071</v>
      </c>
      <c r="UFA1" s="331" t="s">
        <v>15072</v>
      </c>
      <c r="UFB1" s="331" t="s">
        <v>15073</v>
      </c>
      <c r="UFC1" s="331" t="s">
        <v>15074</v>
      </c>
      <c r="UFD1" s="331" t="s">
        <v>15075</v>
      </c>
      <c r="UFE1" s="331" t="s">
        <v>15076</v>
      </c>
      <c r="UFF1" s="331" t="s">
        <v>15077</v>
      </c>
      <c r="UFG1" s="331" t="s">
        <v>15078</v>
      </c>
      <c r="UFH1" s="331" t="s">
        <v>15079</v>
      </c>
      <c r="UFI1" s="331" t="s">
        <v>15080</v>
      </c>
      <c r="UFJ1" s="331" t="s">
        <v>15081</v>
      </c>
      <c r="UFK1" s="331" t="s">
        <v>15082</v>
      </c>
      <c r="UFL1" s="331" t="s">
        <v>15083</v>
      </c>
      <c r="UFM1" s="331" t="s">
        <v>15084</v>
      </c>
      <c r="UFN1" s="331" t="s">
        <v>15085</v>
      </c>
      <c r="UFO1" s="331" t="s">
        <v>15086</v>
      </c>
      <c r="UFP1" s="331" t="s">
        <v>15087</v>
      </c>
      <c r="UFQ1" s="331" t="s">
        <v>15088</v>
      </c>
      <c r="UFR1" s="331" t="s">
        <v>15089</v>
      </c>
      <c r="UFS1" s="331" t="s">
        <v>15090</v>
      </c>
      <c r="UFT1" s="331" t="s">
        <v>15091</v>
      </c>
      <c r="UFU1" s="331" t="s">
        <v>15092</v>
      </c>
      <c r="UFV1" s="331" t="s">
        <v>15093</v>
      </c>
      <c r="UFW1" s="331" t="s">
        <v>15094</v>
      </c>
      <c r="UFX1" s="331" t="s">
        <v>15095</v>
      </c>
      <c r="UFY1" s="331" t="s">
        <v>15096</v>
      </c>
      <c r="UFZ1" s="331" t="s">
        <v>15097</v>
      </c>
      <c r="UGA1" s="331" t="s">
        <v>15098</v>
      </c>
      <c r="UGB1" s="331" t="s">
        <v>15099</v>
      </c>
      <c r="UGC1" s="331" t="s">
        <v>15100</v>
      </c>
      <c r="UGD1" s="331" t="s">
        <v>15101</v>
      </c>
      <c r="UGE1" s="331" t="s">
        <v>15102</v>
      </c>
      <c r="UGF1" s="331" t="s">
        <v>15103</v>
      </c>
      <c r="UGG1" s="331" t="s">
        <v>15104</v>
      </c>
      <c r="UGH1" s="331" t="s">
        <v>15105</v>
      </c>
      <c r="UGI1" s="331" t="s">
        <v>15106</v>
      </c>
      <c r="UGJ1" s="331" t="s">
        <v>15107</v>
      </c>
      <c r="UGK1" s="331" t="s">
        <v>15108</v>
      </c>
      <c r="UGL1" s="331" t="s">
        <v>15109</v>
      </c>
      <c r="UGM1" s="331" t="s">
        <v>15110</v>
      </c>
      <c r="UGN1" s="331" t="s">
        <v>15111</v>
      </c>
      <c r="UGO1" s="331" t="s">
        <v>15112</v>
      </c>
      <c r="UGP1" s="331" t="s">
        <v>15113</v>
      </c>
      <c r="UGQ1" s="331" t="s">
        <v>15114</v>
      </c>
      <c r="UGR1" s="331" t="s">
        <v>15115</v>
      </c>
      <c r="UGS1" s="331" t="s">
        <v>15116</v>
      </c>
      <c r="UGT1" s="331" t="s">
        <v>15117</v>
      </c>
      <c r="UGU1" s="331" t="s">
        <v>15118</v>
      </c>
      <c r="UGV1" s="331" t="s">
        <v>15119</v>
      </c>
      <c r="UGW1" s="331" t="s">
        <v>15120</v>
      </c>
      <c r="UGX1" s="331" t="s">
        <v>15121</v>
      </c>
      <c r="UGY1" s="331" t="s">
        <v>15122</v>
      </c>
      <c r="UGZ1" s="331" t="s">
        <v>15123</v>
      </c>
      <c r="UHA1" s="331" t="s">
        <v>15124</v>
      </c>
      <c r="UHB1" s="331" t="s">
        <v>15125</v>
      </c>
      <c r="UHC1" s="331" t="s">
        <v>15126</v>
      </c>
      <c r="UHD1" s="331" t="s">
        <v>15127</v>
      </c>
      <c r="UHE1" s="331" t="s">
        <v>15128</v>
      </c>
      <c r="UHF1" s="331" t="s">
        <v>15129</v>
      </c>
      <c r="UHG1" s="331" t="s">
        <v>15130</v>
      </c>
      <c r="UHH1" s="331" t="s">
        <v>15131</v>
      </c>
      <c r="UHI1" s="331" t="s">
        <v>15132</v>
      </c>
      <c r="UHJ1" s="331" t="s">
        <v>15133</v>
      </c>
      <c r="UHK1" s="331" t="s">
        <v>15134</v>
      </c>
      <c r="UHL1" s="331" t="s">
        <v>15135</v>
      </c>
      <c r="UHM1" s="331" t="s">
        <v>15136</v>
      </c>
      <c r="UHN1" s="331" t="s">
        <v>15137</v>
      </c>
      <c r="UHO1" s="331" t="s">
        <v>15138</v>
      </c>
      <c r="UHP1" s="331" t="s">
        <v>15139</v>
      </c>
      <c r="UHQ1" s="331" t="s">
        <v>15140</v>
      </c>
      <c r="UHR1" s="331" t="s">
        <v>15141</v>
      </c>
      <c r="UHS1" s="331" t="s">
        <v>15142</v>
      </c>
      <c r="UHT1" s="331" t="s">
        <v>15143</v>
      </c>
      <c r="UHU1" s="331" t="s">
        <v>15144</v>
      </c>
      <c r="UHV1" s="331" t="s">
        <v>15145</v>
      </c>
      <c r="UHW1" s="331" t="s">
        <v>15146</v>
      </c>
      <c r="UHX1" s="331" t="s">
        <v>15147</v>
      </c>
      <c r="UHY1" s="331" t="s">
        <v>15148</v>
      </c>
      <c r="UHZ1" s="331" t="s">
        <v>15149</v>
      </c>
      <c r="UIA1" s="331" t="s">
        <v>15150</v>
      </c>
      <c r="UIB1" s="331" t="s">
        <v>15151</v>
      </c>
      <c r="UIC1" s="331" t="s">
        <v>15152</v>
      </c>
      <c r="UID1" s="331" t="s">
        <v>15153</v>
      </c>
      <c r="UIE1" s="331" t="s">
        <v>15154</v>
      </c>
      <c r="UIF1" s="331" t="s">
        <v>15155</v>
      </c>
      <c r="UIG1" s="331" t="s">
        <v>15156</v>
      </c>
      <c r="UIH1" s="331" t="s">
        <v>15157</v>
      </c>
      <c r="UII1" s="331" t="s">
        <v>15158</v>
      </c>
      <c r="UIJ1" s="331" t="s">
        <v>15159</v>
      </c>
      <c r="UIK1" s="331" t="s">
        <v>15160</v>
      </c>
      <c r="UIL1" s="331" t="s">
        <v>15161</v>
      </c>
      <c r="UIM1" s="331" t="s">
        <v>15162</v>
      </c>
      <c r="UIN1" s="331" t="s">
        <v>15163</v>
      </c>
      <c r="UIO1" s="331" t="s">
        <v>15164</v>
      </c>
      <c r="UIP1" s="331" t="s">
        <v>15165</v>
      </c>
      <c r="UIQ1" s="331" t="s">
        <v>15166</v>
      </c>
      <c r="UIR1" s="331" t="s">
        <v>15167</v>
      </c>
      <c r="UIS1" s="331" t="s">
        <v>15168</v>
      </c>
      <c r="UIT1" s="331" t="s">
        <v>15169</v>
      </c>
      <c r="UIU1" s="331" t="s">
        <v>15170</v>
      </c>
      <c r="UIV1" s="331" t="s">
        <v>15171</v>
      </c>
      <c r="UIW1" s="331" t="s">
        <v>15172</v>
      </c>
      <c r="UIX1" s="331" t="s">
        <v>15173</v>
      </c>
      <c r="UIY1" s="331" t="s">
        <v>15174</v>
      </c>
      <c r="UIZ1" s="331" t="s">
        <v>15175</v>
      </c>
      <c r="UJA1" s="331" t="s">
        <v>15176</v>
      </c>
      <c r="UJB1" s="331" t="s">
        <v>15177</v>
      </c>
      <c r="UJC1" s="331" t="s">
        <v>15178</v>
      </c>
      <c r="UJD1" s="331" t="s">
        <v>15179</v>
      </c>
      <c r="UJE1" s="331" t="s">
        <v>15180</v>
      </c>
      <c r="UJF1" s="331" t="s">
        <v>15181</v>
      </c>
      <c r="UJG1" s="331" t="s">
        <v>15182</v>
      </c>
      <c r="UJH1" s="331" t="s">
        <v>15183</v>
      </c>
      <c r="UJI1" s="331" t="s">
        <v>15184</v>
      </c>
      <c r="UJJ1" s="331" t="s">
        <v>15185</v>
      </c>
      <c r="UJK1" s="331" t="s">
        <v>15186</v>
      </c>
      <c r="UJL1" s="331" t="s">
        <v>15187</v>
      </c>
      <c r="UJM1" s="331" t="s">
        <v>15188</v>
      </c>
      <c r="UJN1" s="331" t="s">
        <v>15189</v>
      </c>
      <c r="UJO1" s="331" t="s">
        <v>15190</v>
      </c>
      <c r="UJP1" s="331" t="s">
        <v>15191</v>
      </c>
      <c r="UJQ1" s="331" t="s">
        <v>15192</v>
      </c>
      <c r="UJR1" s="331" t="s">
        <v>15193</v>
      </c>
      <c r="UJS1" s="331" t="s">
        <v>15194</v>
      </c>
      <c r="UJT1" s="331" t="s">
        <v>15195</v>
      </c>
      <c r="UJU1" s="331" t="s">
        <v>15196</v>
      </c>
      <c r="UJV1" s="331" t="s">
        <v>15197</v>
      </c>
      <c r="UJW1" s="331" t="s">
        <v>15198</v>
      </c>
      <c r="UJX1" s="331" t="s">
        <v>15199</v>
      </c>
      <c r="UJY1" s="331" t="s">
        <v>15200</v>
      </c>
      <c r="UJZ1" s="331" t="s">
        <v>15201</v>
      </c>
      <c r="UKA1" s="331" t="s">
        <v>15202</v>
      </c>
      <c r="UKB1" s="331" t="s">
        <v>15203</v>
      </c>
      <c r="UKC1" s="331" t="s">
        <v>15204</v>
      </c>
      <c r="UKD1" s="331" t="s">
        <v>15205</v>
      </c>
      <c r="UKE1" s="331" t="s">
        <v>15206</v>
      </c>
      <c r="UKF1" s="331" t="s">
        <v>15207</v>
      </c>
      <c r="UKG1" s="331" t="s">
        <v>15208</v>
      </c>
      <c r="UKH1" s="331" t="s">
        <v>15209</v>
      </c>
      <c r="UKI1" s="331" t="s">
        <v>15210</v>
      </c>
      <c r="UKJ1" s="331" t="s">
        <v>15211</v>
      </c>
      <c r="UKK1" s="331" t="s">
        <v>15212</v>
      </c>
      <c r="UKL1" s="331" t="s">
        <v>15213</v>
      </c>
      <c r="UKM1" s="331" t="s">
        <v>15214</v>
      </c>
      <c r="UKN1" s="331" t="s">
        <v>15215</v>
      </c>
      <c r="UKO1" s="331" t="s">
        <v>15216</v>
      </c>
      <c r="UKP1" s="331" t="s">
        <v>15217</v>
      </c>
      <c r="UKQ1" s="331" t="s">
        <v>15218</v>
      </c>
      <c r="UKR1" s="331" t="s">
        <v>15219</v>
      </c>
      <c r="UKS1" s="331" t="s">
        <v>15220</v>
      </c>
      <c r="UKT1" s="331" t="s">
        <v>15221</v>
      </c>
      <c r="UKU1" s="331" t="s">
        <v>15222</v>
      </c>
      <c r="UKV1" s="331" t="s">
        <v>15223</v>
      </c>
      <c r="UKW1" s="331" t="s">
        <v>15224</v>
      </c>
      <c r="UKX1" s="331" t="s">
        <v>15225</v>
      </c>
      <c r="UKY1" s="331" t="s">
        <v>15226</v>
      </c>
      <c r="UKZ1" s="331" t="s">
        <v>15227</v>
      </c>
      <c r="ULA1" s="331" t="s">
        <v>15228</v>
      </c>
      <c r="ULB1" s="331" t="s">
        <v>15229</v>
      </c>
      <c r="ULC1" s="331" t="s">
        <v>15230</v>
      </c>
      <c r="ULD1" s="331" t="s">
        <v>15231</v>
      </c>
      <c r="ULE1" s="331" t="s">
        <v>15232</v>
      </c>
      <c r="ULF1" s="331" t="s">
        <v>15233</v>
      </c>
      <c r="ULG1" s="331" t="s">
        <v>15234</v>
      </c>
      <c r="ULH1" s="331" t="s">
        <v>15235</v>
      </c>
      <c r="ULI1" s="331" t="s">
        <v>15236</v>
      </c>
      <c r="ULJ1" s="331" t="s">
        <v>15237</v>
      </c>
      <c r="ULK1" s="331" t="s">
        <v>15238</v>
      </c>
      <c r="ULL1" s="331" t="s">
        <v>15239</v>
      </c>
      <c r="ULM1" s="331" t="s">
        <v>15240</v>
      </c>
      <c r="ULN1" s="331" t="s">
        <v>15241</v>
      </c>
      <c r="ULO1" s="331" t="s">
        <v>15242</v>
      </c>
      <c r="ULP1" s="331" t="s">
        <v>15243</v>
      </c>
      <c r="ULQ1" s="331" t="s">
        <v>15244</v>
      </c>
      <c r="ULR1" s="331" t="s">
        <v>15245</v>
      </c>
      <c r="ULS1" s="331" t="s">
        <v>15246</v>
      </c>
      <c r="ULT1" s="331" t="s">
        <v>15247</v>
      </c>
      <c r="ULU1" s="331" t="s">
        <v>15248</v>
      </c>
      <c r="ULV1" s="331" t="s">
        <v>15249</v>
      </c>
      <c r="ULW1" s="331" t="s">
        <v>15250</v>
      </c>
      <c r="ULX1" s="331" t="s">
        <v>15251</v>
      </c>
      <c r="ULY1" s="331" t="s">
        <v>15252</v>
      </c>
      <c r="ULZ1" s="331" t="s">
        <v>15253</v>
      </c>
      <c r="UMA1" s="331" t="s">
        <v>15254</v>
      </c>
      <c r="UMB1" s="331" t="s">
        <v>15255</v>
      </c>
      <c r="UMC1" s="331" t="s">
        <v>15256</v>
      </c>
      <c r="UMD1" s="331" t="s">
        <v>15257</v>
      </c>
      <c r="UME1" s="331" t="s">
        <v>15258</v>
      </c>
      <c r="UMF1" s="331" t="s">
        <v>15259</v>
      </c>
      <c r="UMG1" s="331" t="s">
        <v>15260</v>
      </c>
      <c r="UMH1" s="331" t="s">
        <v>15261</v>
      </c>
      <c r="UMI1" s="331" t="s">
        <v>15262</v>
      </c>
      <c r="UMJ1" s="331" t="s">
        <v>15263</v>
      </c>
      <c r="UMK1" s="331" t="s">
        <v>15264</v>
      </c>
      <c r="UML1" s="331" t="s">
        <v>15265</v>
      </c>
      <c r="UMM1" s="331" t="s">
        <v>15266</v>
      </c>
      <c r="UMN1" s="331" t="s">
        <v>15267</v>
      </c>
      <c r="UMO1" s="331" t="s">
        <v>15268</v>
      </c>
      <c r="UMP1" s="331" t="s">
        <v>15269</v>
      </c>
      <c r="UMQ1" s="331" t="s">
        <v>15270</v>
      </c>
      <c r="UMR1" s="331" t="s">
        <v>15271</v>
      </c>
      <c r="UMS1" s="331" t="s">
        <v>15272</v>
      </c>
      <c r="UMT1" s="331" t="s">
        <v>15273</v>
      </c>
      <c r="UMU1" s="331" t="s">
        <v>15274</v>
      </c>
      <c r="UMV1" s="331" t="s">
        <v>15275</v>
      </c>
      <c r="UMW1" s="331" t="s">
        <v>15276</v>
      </c>
      <c r="UMX1" s="331" t="s">
        <v>15277</v>
      </c>
      <c r="UMY1" s="331" t="s">
        <v>15278</v>
      </c>
      <c r="UMZ1" s="331" t="s">
        <v>15279</v>
      </c>
      <c r="UNA1" s="331" t="s">
        <v>15280</v>
      </c>
      <c r="UNB1" s="331" t="s">
        <v>15281</v>
      </c>
      <c r="UNC1" s="331" t="s">
        <v>15282</v>
      </c>
      <c r="UND1" s="331" t="s">
        <v>15283</v>
      </c>
      <c r="UNE1" s="331" t="s">
        <v>15284</v>
      </c>
      <c r="UNF1" s="331" t="s">
        <v>15285</v>
      </c>
      <c r="UNG1" s="331" t="s">
        <v>15286</v>
      </c>
      <c r="UNH1" s="331" t="s">
        <v>15287</v>
      </c>
      <c r="UNI1" s="331" t="s">
        <v>15288</v>
      </c>
      <c r="UNJ1" s="331" t="s">
        <v>15289</v>
      </c>
      <c r="UNK1" s="331" t="s">
        <v>15290</v>
      </c>
      <c r="UNL1" s="331" t="s">
        <v>15291</v>
      </c>
      <c r="UNM1" s="331" t="s">
        <v>15292</v>
      </c>
      <c r="UNN1" s="331" t="s">
        <v>15293</v>
      </c>
      <c r="UNO1" s="331" t="s">
        <v>15294</v>
      </c>
      <c r="UNP1" s="331" t="s">
        <v>15295</v>
      </c>
      <c r="UNQ1" s="331" t="s">
        <v>15296</v>
      </c>
      <c r="UNR1" s="331" t="s">
        <v>15297</v>
      </c>
      <c r="UNS1" s="331" t="s">
        <v>15298</v>
      </c>
      <c r="UNT1" s="331" t="s">
        <v>15299</v>
      </c>
      <c r="UNU1" s="331" t="s">
        <v>15300</v>
      </c>
      <c r="UNV1" s="331" t="s">
        <v>15301</v>
      </c>
      <c r="UNW1" s="331" t="s">
        <v>15302</v>
      </c>
      <c r="UNX1" s="331" t="s">
        <v>15303</v>
      </c>
      <c r="UNY1" s="331" t="s">
        <v>15304</v>
      </c>
      <c r="UNZ1" s="331" t="s">
        <v>15305</v>
      </c>
      <c r="UOA1" s="331" t="s">
        <v>15306</v>
      </c>
      <c r="UOB1" s="331" t="s">
        <v>15307</v>
      </c>
      <c r="UOC1" s="331" t="s">
        <v>15308</v>
      </c>
      <c r="UOD1" s="331" t="s">
        <v>15309</v>
      </c>
      <c r="UOE1" s="331" t="s">
        <v>15310</v>
      </c>
      <c r="UOF1" s="331" t="s">
        <v>15311</v>
      </c>
      <c r="UOG1" s="331" t="s">
        <v>15312</v>
      </c>
      <c r="UOH1" s="331" t="s">
        <v>15313</v>
      </c>
      <c r="UOI1" s="331" t="s">
        <v>15314</v>
      </c>
      <c r="UOJ1" s="331" t="s">
        <v>15315</v>
      </c>
      <c r="UOK1" s="331" t="s">
        <v>15316</v>
      </c>
      <c r="UOL1" s="331" t="s">
        <v>15317</v>
      </c>
      <c r="UOM1" s="331" t="s">
        <v>15318</v>
      </c>
      <c r="UON1" s="331" t="s">
        <v>15319</v>
      </c>
      <c r="UOO1" s="331" t="s">
        <v>15320</v>
      </c>
      <c r="UOP1" s="331" t="s">
        <v>15321</v>
      </c>
      <c r="UOQ1" s="331" t="s">
        <v>15322</v>
      </c>
      <c r="UOR1" s="331" t="s">
        <v>15323</v>
      </c>
      <c r="UOS1" s="331" t="s">
        <v>15324</v>
      </c>
      <c r="UOT1" s="331" t="s">
        <v>15325</v>
      </c>
      <c r="UOU1" s="331" t="s">
        <v>15326</v>
      </c>
      <c r="UOV1" s="331" t="s">
        <v>15327</v>
      </c>
      <c r="UOW1" s="331" t="s">
        <v>15328</v>
      </c>
      <c r="UOX1" s="331" t="s">
        <v>15329</v>
      </c>
      <c r="UOY1" s="331" t="s">
        <v>15330</v>
      </c>
      <c r="UOZ1" s="331" t="s">
        <v>15331</v>
      </c>
      <c r="UPA1" s="331" t="s">
        <v>15332</v>
      </c>
      <c r="UPB1" s="331" t="s">
        <v>15333</v>
      </c>
      <c r="UPC1" s="331" t="s">
        <v>15334</v>
      </c>
      <c r="UPD1" s="331" t="s">
        <v>15335</v>
      </c>
      <c r="UPE1" s="331" t="s">
        <v>15336</v>
      </c>
      <c r="UPF1" s="331" t="s">
        <v>15337</v>
      </c>
      <c r="UPG1" s="331" t="s">
        <v>15338</v>
      </c>
      <c r="UPH1" s="331" t="s">
        <v>15339</v>
      </c>
      <c r="UPI1" s="331" t="s">
        <v>15340</v>
      </c>
      <c r="UPJ1" s="331" t="s">
        <v>15341</v>
      </c>
      <c r="UPK1" s="331" t="s">
        <v>15342</v>
      </c>
      <c r="UPL1" s="331" t="s">
        <v>15343</v>
      </c>
      <c r="UPM1" s="331" t="s">
        <v>15344</v>
      </c>
      <c r="UPN1" s="331" t="s">
        <v>15345</v>
      </c>
      <c r="UPO1" s="331" t="s">
        <v>15346</v>
      </c>
      <c r="UPP1" s="331" t="s">
        <v>15347</v>
      </c>
      <c r="UPQ1" s="331" t="s">
        <v>15348</v>
      </c>
      <c r="UPR1" s="331" t="s">
        <v>15349</v>
      </c>
      <c r="UPS1" s="331" t="s">
        <v>15350</v>
      </c>
      <c r="UPT1" s="331" t="s">
        <v>15351</v>
      </c>
      <c r="UPU1" s="331" t="s">
        <v>15352</v>
      </c>
      <c r="UPV1" s="331" t="s">
        <v>15353</v>
      </c>
      <c r="UPW1" s="331" t="s">
        <v>15354</v>
      </c>
      <c r="UPX1" s="331" t="s">
        <v>15355</v>
      </c>
      <c r="UPY1" s="331" t="s">
        <v>15356</v>
      </c>
      <c r="UPZ1" s="331" t="s">
        <v>15357</v>
      </c>
      <c r="UQA1" s="331" t="s">
        <v>15358</v>
      </c>
      <c r="UQB1" s="331" t="s">
        <v>15359</v>
      </c>
      <c r="UQC1" s="331" t="s">
        <v>15360</v>
      </c>
      <c r="UQD1" s="331" t="s">
        <v>15361</v>
      </c>
      <c r="UQE1" s="331" t="s">
        <v>15362</v>
      </c>
      <c r="UQF1" s="331" t="s">
        <v>15363</v>
      </c>
      <c r="UQG1" s="331" t="s">
        <v>15364</v>
      </c>
      <c r="UQH1" s="331" t="s">
        <v>15365</v>
      </c>
      <c r="UQI1" s="331" t="s">
        <v>15366</v>
      </c>
      <c r="UQJ1" s="331" t="s">
        <v>15367</v>
      </c>
      <c r="UQK1" s="331" t="s">
        <v>15368</v>
      </c>
      <c r="UQL1" s="331" t="s">
        <v>15369</v>
      </c>
      <c r="UQM1" s="331" t="s">
        <v>15370</v>
      </c>
      <c r="UQN1" s="331" t="s">
        <v>15371</v>
      </c>
      <c r="UQO1" s="331" t="s">
        <v>15372</v>
      </c>
      <c r="UQP1" s="331" t="s">
        <v>15373</v>
      </c>
      <c r="UQQ1" s="331" t="s">
        <v>15374</v>
      </c>
      <c r="UQR1" s="331" t="s">
        <v>15375</v>
      </c>
      <c r="UQS1" s="331" t="s">
        <v>15376</v>
      </c>
      <c r="UQT1" s="331" t="s">
        <v>15377</v>
      </c>
      <c r="UQU1" s="331" t="s">
        <v>15378</v>
      </c>
      <c r="UQV1" s="331" t="s">
        <v>15379</v>
      </c>
      <c r="UQW1" s="331" t="s">
        <v>15380</v>
      </c>
      <c r="UQX1" s="331" t="s">
        <v>15381</v>
      </c>
      <c r="UQY1" s="331" t="s">
        <v>15382</v>
      </c>
      <c r="UQZ1" s="331" t="s">
        <v>15383</v>
      </c>
      <c r="URA1" s="331" t="s">
        <v>15384</v>
      </c>
      <c r="URB1" s="331" t="s">
        <v>15385</v>
      </c>
      <c r="URC1" s="331" t="s">
        <v>15386</v>
      </c>
      <c r="URD1" s="331" t="s">
        <v>15387</v>
      </c>
      <c r="URE1" s="331" t="s">
        <v>15388</v>
      </c>
      <c r="URF1" s="331" t="s">
        <v>15389</v>
      </c>
      <c r="URG1" s="331" t="s">
        <v>15390</v>
      </c>
      <c r="URH1" s="331" t="s">
        <v>15391</v>
      </c>
      <c r="URI1" s="331" t="s">
        <v>15392</v>
      </c>
      <c r="URJ1" s="331" t="s">
        <v>15393</v>
      </c>
      <c r="URK1" s="331" t="s">
        <v>15394</v>
      </c>
      <c r="URL1" s="331" t="s">
        <v>15395</v>
      </c>
      <c r="URM1" s="331" t="s">
        <v>15396</v>
      </c>
      <c r="URN1" s="331" t="s">
        <v>15397</v>
      </c>
      <c r="URO1" s="331" t="s">
        <v>15398</v>
      </c>
      <c r="URP1" s="331" t="s">
        <v>15399</v>
      </c>
      <c r="URQ1" s="331" t="s">
        <v>15400</v>
      </c>
      <c r="URR1" s="331" t="s">
        <v>15401</v>
      </c>
      <c r="URS1" s="331" t="s">
        <v>15402</v>
      </c>
      <c r="URT1" s="331" t="s">
        <v>15403</v>
      </c>
      <c r="URU1" s="331" t="s">
        <v>15404</v>
      </c>
      <c r="URV1" s="331" t="s">
        <v>15405</v>
      </c>
      <c r="URW1" s="331" t="s">
        <v>15406</v>
      </c>
      <c r="URX1" s="331" t="s">
        <v>15407</v>
      </c>
      <c r="URY1" s="331" t="s">
        <v>15408</v>
      </c>
      <c r="URZ1" s="331" t="s">
        <v>15409</v>
      </c>
      <c r="USA1" s="331" t="s">
        <v>15410</v>
      </c>
      <c r="USB1" s="331" t="s">
        <v>15411</v>
      </c>
      <c r="USC1" s="331" t="s">
        <v>15412</v>
      </c>
      <c r="USD1" s="331" t="s">
        <v>15413</v>
      </c>
      <c r="USE1" s="331" t="s">
        <v>15414</v>
      </c>
      <c r="USF1" s="331" t="s">
        <v>15415</v>
      </c>
      <c r="USG1" s="331" t="s">
        <v>15416</v>
      </c>
      <c r="USH1" s="331" t="s">
        <v>15417</v>
      </c>
      <c r="USI1" s="331" t="s">
        <v>15418</v>
      </c>
      <c r="USJ1" s="331" t="s">
        <v>15419</v>
      </c>
      <c r="USK1" s="331" t="s">
        <v>15420</v>
      </c>
      <c r="USL1" s="331" t="s">
        <v>15421</v>
      </c>
      <c r="USM1" s="331" t="s">
        <v>15422</v>
      </c>
      <c r="USN1" s="331" t="s">
        <v>15423</v>
      </c>
      <c r="USO1" s="331" t="s">
        <v>15424</v>
      </c>
      <c r="USP1" s="331" t="s">
        <v>15425</v>
      </c>
      <c r="USQ1" s="331" t="s">
        <v>15426</v>
      </c>
      <c r="USR1" s="331" t="s">
        <v>15427</v>
      </c>
      <c r="USS1" s="331" t="s">
        <v>15428</v>
      </c>
      <c r="UST1" s="331" t="s">
        <v>15429</v>
      </c>
      <c r="USU1" s="331" t="s">
        <v>15430</v>
      </c>
      <c r="USV1" s="331" t="s">
        <v>15431</v>
      </c>
      <c r="USW1" s="331" t="s">
        <v>15432</v>
      </c>
      <c r="USX1" s="331" t="s">
        <v>15433</v>
      </c>
      <c r="USY1" s="331" t="s">
        <v>15434</v>
      </c>
      <c r="USZ1" s="331" t="s">
        <v>15435</v>
      </c>
      <c r="UTA1" s="331" t="s">
        <v>15436</v>
      </c>
      <c r="UTB1" s="331" t="s">
        <v>15437</v>
      </c>
      <c r="UTC1" s="331" t="s">
        <v>15438</v>
      </c>
      <c r="UTD1" s="331" t="s">
        <v>15439</v>
      </c>
      <c r="UTE1" s="331" t="s">
        <v>15440</v>
      </c>
      <c r="UTF1" s="331" t="s">
        <v>15441</v>
      </c>
      <c r="UTG1" s="331" t="s">
        <v>15442</v>
      </c>
      <c r="UTH1" s="331" t="s">
        <v>15443</v>
      </c>
      <c r="UTI1" s="331" t="s">
        <v>15444</v>
      </c>
      <c r="UTJ1" s="331" t="s">
        <v>15445</v>
      </c>
      <c r="UTK1" s="331" t="s">
        <v>15446</v>
      </c>
      <c r="UTL1" s="331" t="s">
        <v>15447</v>
      </c>
      <c r="UTM1" s="331" t="s">
        <v>15448</v>
      </c>
      <c r="UTN1" s="331" t="s">
        <v>15449</v>
      </c>
      <c r="UTO1" s="331" t="s">
        <v>15450</v>
      </c>
      <c r="UTP1" s="331" t="s">
        <v>15451</v>
      </c>
      <c r="UTQ1" s="331" t="s">
        <v>15452</v>
      </c>
      <c r="UTR1" s="331" t="s">
        <v>15453</v>
      </c>
      <c r="UTS1" s="331" t="s">
        <v>15454</v>
      </c>
      <c r="UTT1" s="331" t="s">
        <v>15455</v>
      </c>
      <c r="UTU1" s="331" t="s">
        <v>15456</v>
      </c>
      <c r="UTV1" s="331" t="s">
        <v>15457</v>
      </c>
      <c r="UTW1" s="331" t="s">
        <v>15458</v>
      </c>
      <c r="UTX1" s="331" t="s">
        <v>15459</v>
      </c>
      <c r="UTY1" s="331" t="s">
        <v>15460</v>
      </c>
      <c r="UTZ1" s="331" t="s">
        <v>15461</v>
      </c>
      <c r="UUA1" s="331" t="s">
        <v>15462</v>
      </c>
      <c r="UUB1" s="331" t="s">
        <v>15463</v>
      </c>
      <c r="UUC1" s="331" t="s">
        <v>15464</v>
      </c>
      <c r="UUD1" s="331" t="s">
        <v>15465</v>
      </c>
      <c r="UUE1" s="331" t="s">
        <v>15466</v>
      </c>
      <c r="UUF1" s="331" t="s">
        <v>15467</v>
      </c>
      <c r="UUG1" s="331" t="s">
        <v>15468</v>
      </c>
      <c r="UUH1" s="331" t="s">
        <v>15469</v>
      </c>
      <c r="UUI1" s="331" t="s">
        <v>15470</v>
      </c>
      <c r="UUJ1" s="331" t="s">
        <v>15471</v>
      </c>
      <c r="UUK1" s="331" t="s">
        <v>15472</v>
      </c>
      <c r="UUL1" s="331" t="s">
        <v>15473</v>
      </c>
      <c r="UUM1" s="331" t="s">
        <v>15474</v>
      </c>
      <c r="UUN1" s="331" t="s">
        <v>15475</v>
      </c>
      <c r="UUO1" s="331" t="s">
        <v>15476</v>
      </c>
      <c r="UUP1" s="331" t="s">
        <v>15477</v>
      </c>
      <c r="UUQ1" s="331" t="s">
        <v>15478</v>
      </c>
      <c r="UUR1" s="331" t="s">
        <v>15479</v>
      </c>
      <c r="UUS1" s="331" t="s">
        <v>15480</v>
      </c>
      <c r="UUT1" s="331" t="s">
        <v>15481</v>
      </c>
      <c r="UUU1" s="331" t="s">
        <v>15482</v>
      </c>
      <c r="UUV1" s="331" t="s">
        <v>15483</v>
      </c>
      <c r="UUW1" s="331" t="s">
        <v>15484</v>
      </c>
      <c r="UUX1" s="331" t="s">
        <v>15485</v>
      </c>
      <c r="UUY1" s="331" t="s">
        <v>15486</v>
      </c>
      <c r="UUZ1" s="331" t="s">
        <v>15487</v>
      </c>
      <c r="UVA1" s="331" t="s">
        <v>15488</v>
      </c>
      <c r="UVB1" s="331" t="s">
        <v>15489</v>
      </c>
      <c r="UVC1" s="331" t="s">
        <v>15490</v>
      </c>
      <c r="UVD1" s="331" t="s">
        <v>15491</v>
      </c>
      <c r="UVE1" s="331" t="s">
        <v>15492</v>
      </c>
      <c r="UVF1" s="331" t="s">
        <v>15493</v>
      </c>
      <c r="UVG1" s="331" t="s">
        <v>15494</v>
      </c>
      <c r="UVH1" s="331" t="s">
        <v>15495</v>
      </c>
      <c r="UVI1" s="331" t="s">
        <v>15496</v>
      </c>
      <c r="UVJ1" s="331" t="s">
        <v>15497</v>
      </c>
      <c r="UVK1" s="331" t="s">
        <v>15498</v>
      </c>
      <c r="UVL1" s="331" t="s">
        <v>15499</v>
      </c>
      <c r="UVM1" s="331" t="s">
        <v>15500</v>
      </c>
      <c r="UVN1" s="331" t="s">
        <v>15501</v>
      </c>
      <c r="UVO1" s="331" t="s">
        <v>15502</v>
      </c>
      <c r="UVP1" s="331" t="s">
        <v>15503</v>
      </c>
      <c r="UVQ1" s="331" t="s">
        <v>15504</v>
      </c>
      <c r="UVR1" s="331" t="s">
        <v>15505</v>
      </c>
      <c r="UVS1" s="331" t="s">
        <v>15506</v>
      </c>
      <c r="UVT1" s="331" t="s">
        <v>15507</v>
      </c>
      <c r="UVU1" s="331" t="s">
        <v>15508</v>
      </c>
      <c r="UVV1" s="331" t="s">
        <v>15509</v>
      </c>
      <c r="UVW1" s="331" t="s">
        <v>15510</v>
      </c>
      <c r="UVX1" s="331" t="s">
        <v>15511</v>
      </c>
      <c r="UVY1" s="331" t="s">
        <v>15512</v>
      </c>
      <c r="UVZ1" s="331" t="s">
        <v>15513</v>
      </c>
      <c r="UWA1" s="331" t="s">
        <v>15514</v>
      </c>
      <c r="UWB1" s="331" t="s">
        <v>15515</v>
      </c>
      <c r="UWC1" s="331" t="s">
        <v>15516</v>
      </c>
      <c r="UWD1" s="331" t="s">
        <v>15517</v>
      </c>
      <c r="UWE1" s="331" t="s">
        <v>15518</v>
      </c>
      <c r="UWF1" s="331" t="s">
        <v>15519</v>
      </c>
      <c r="UWG1" s="331" t="s">
        <v>15520</v>
      </c>
      <c r="UWH1" s="331" t="s">
        <v>15521</v>
      </c>
      <c r="UWI1" s="331" t="s">
        <v>15522</v>
      </c>
      <c r="UWJ1" s="331" t="s">
        <v>15523</v>
      </c>
      <c r="UWK1" s="331" t="s">
        <v>15524</v>
      </c>
      <c r="UWL1" s="331" t="s">
        <v>15525</v>
      </c>
      <c r="UWM1" s="331" t="s">
        <v>15526</v>
      </c>
      <c r="UWN1" s="331" t="s">
        <v>15527</v>
      </c>
      <c r="UWO1" s="331" t="s">
        <v>15528</v>
      </c>
      <c r="UWP1" s="331" t="s">
        <v>15529</v>
      </c>
      <c r="UWQ1" s="331" t="s">
        <v>15530</v>
      </c>
      <c r="UWR1" s="331" t="s">
        <v>15531</v>
      </c>
      <c r="UWS1" s="331" t="s">
        <v>15532</v>
      </c>
      <c r="UWT1" s="331" t="s">
        <v>15533</v>
      </c>
      <c r="UWU1" s="331" t="s">
        <v>15534</v>
      </c>
      <c r="UWV1" s="331" t="s">
        <v>15535</v>
      </c>
      <c r="UWW1" s="331" t="s">
        <v>15536</v>
      </c>
      <c r="UWX1" s="331" t="s">
        <v>15537</v>
      </c>
      <c r="UWY1" s="331" t="s">
        <v>15538</v>
      </c>
      <c r="UWZ1" s="331" t="s">
        <v>15539</v>
      </c>
      <c r="UXA1" s="331" t="s">
        <v>15540</v>
      </c>
      <c r="UXB1" s="331" t="s">
        <v>15541</v>
      </c>
      <c r="UXC1" s="331" t="s">
        <v>15542</v>
      </c>
      <c r="UXD1" s="331" t="s">
        <v>15543</v>
      </c>
      <c r="UXE1" s="331" t="s">
        <v>15544</v>
      </c>
      <c r="UXF1" s="331" t="s">
        <v>15545</v>
      </c>
      <c r="UXG1" s="331" t="s">
        <v>15546</v>
      </c>
      <c r="UXH1" s="331" t="s">
        <v>15547</v>
      </c>
      <c r="UXI1" s="331" t="s">
        <v>15548</v>
      </c>
      <c r="UXJ1" s="331" t="s">
        <v>15549</v>
      </c>
      <c r="UXK1" s="331" t="s">
        <v>15550</v>
      </c>
      <c r="UXL1" s="331" t="s">
        <v>15551</v>
      </c>
      <c r="UXM1" s="331" t="s">
        <v>15552</v>
      </c>
      <c r="UXN1" s="331" t="s">
        <v>15553</v>
      </c>
      <c r="UXO1" s="331" t="s">
        <v>15554</v>
      </c>
      <c r="UXP1" s="331" t="s">
        <v>15555</v>
      </c>
      <c r="UXQ1" s="331" t="s">
        <v>15556</v>
      </c>
      <c r="UXR1" s="331" t="s">
        <v>15557</v>
      </c>
      <c r="UXS1" s="331" t="s">
        <v>15558</v>
      </c>
      <c r="UXT1" s="331" t="s">
        <v>15559</v>
      </c>
      <c r="UXU1" s="331" t="s">
        <v>15560</v>
      </c>
      <c r="UXV1" s="331" t="s">
        <v>15561</v>
      </c>
      <c r="UXW1" s="331" t="s">
        <v>15562</v>
      </c>
      <c r="UXX1" s="331" t="s">
        <v>15563</v>
      </c>
      <c r="UXY1" s="331" t="s">
        <v>15564</v>
      </c>
      <c r="UXZ1" s="331" t="s">
        <v>15565</v>
      </c>
      <c r="UYA1" s="331" t="s">
        <v>15566</v>
      </c>
      <c r="UYB1" s="331" t="s">
        <v>15567</v>
      </c>
      <c r="UYC1" s="331" t="s">
        <v>15568</v>
      </c>
      <c r="UYD1" s="331" t="s">
        <v>15569</v>
      </c>
      <c r="UYE1" s="331" t="s">
        <v>15570</v>
      </c>
      <c r="UYF1" s="331" t="s">
        <v>15571</v>
      </c>
      <c r="UYG1" s="331" t="s">
        <v>15572</v>
      </c>
      <c r="UYH1" s="331" t="s">
        <v>15573</v>
      </c>
      <c r="UYI1" s="331" t="s">
        <v>15574</v>
      </c>
      <c r="UYJ1" s="331" t="s">
        <v>15575</v>
      </c>
      <c r="UYK1" s="331" t="s">
        <v>15576</v>
      </c>
      <c r="UYL1" s="331" t="s">
        <v>15577</v>
      </c>
      <c r="UYM1" s="331" t="s">
        <v>15578</v>
      </c>
      <c r="UYN1" s="331" t="s">
        <v>15579</v>
      </c>
      <c r="UYO1" s="331" t="s">
        <v>15580</v>
      </c>
      <c r="UYP1" s="331" t="s">
        <v>15581</v>
      </c>
      <c r="UYQ1" s="331" t="s">
        <v>15582</v>
      </c>
      <c r="UYR1" s="331" t="s">
        <v>15583</v>
      </c>
      <c r="UYS1" s="331" t="s">
        <v>15584</v>
      </c>
      <c r="UYT1" s="331" t="s">
        <v>15585</v>
      </c>
      <c r="UYU1" s="331" t="s">
        <v>15586</v>
      </c>
      <c r="UYV1" s="331" t="s">
        <v>15587</v>
      </c>
      <c r="UYW1" s="331" t="s">
        <v>15588</v>
      </c>
      <c r="UYX1" s="331" t="s">
        <v>15589</v>
      </c>
      <c r="UYY1" s="331" t="s">
        <v>15590</v>
      </c>
      <c r="UYZ1" s="331" t="s">
        <v>15591</v>
      </c>
      <c r="UZA1" s="331" t="s">
        <v>15592</v>
      </c>
      <c r="UZB1" s="331" t="s">
        <v>15593</v>
      </c>
      <c r="UZC1" s="331" t="s">
        <v>15594</v>
      </c>
      <c r="UZD1" s="331" t="s">
        <v>15595</v>
      </c>
      <c r="UZE1" s="331" t="s">
        <v>15596</v>
      </c>
      <c r="UZF1" s="331" t="s">
        <v>15597</v>
      </c>
      <c r="UZG1" s="331" t="s">
        <v>15598</v>
      </c>
      <c r="UZH1" s="331" t="s">
        <v>15599</v>
      </c>
      <c r="UZI1" s="331" t="s">
        <v>15600</v>
      </c>
      <c r="UZJ1" s="331" t="s">
        <v>15601</v>
      </c>
      <c r="UZK1" s="331" t="s">
        <v>15602</v>
      </c>
      <c r="UZL1" s="331" t="s">
        <v>15603</v>
      </c>
      <c r="UZM1" s="331" t="s">
        <v>15604</v>
      </c>
      <c r="UZN1" s="331" t="s">
        <v>15605</v>
      </c>
      <c r="UZO1" s="331" t="s">
        <v>15606</v>
      </c>
      <c r="UZP1" s="331" t="s">
        <v>15607</v>
      </c>
      <c r="UZQ1" s="331" t="s">
        <v>15608</v>
      </c>
      <c r="UZR1" s="331" t="s">
        <v>15609</v>
      </c>
      <c r="UZS1" s="331" t="s">
        <v>15610</v>
      </c>
      <c r="UZT1" s="331" t="s">
        <v>15611</v>
      </c>
      <c r="UZU1" s="331" t="s">
        <v>15612</v>
      </c>
      <c r="UZV1" s="331" t="s">
        <v>15613</v>
      </c>
      <c r="UZW1" s="331" t="s">
        <v>15614</v>
      </c>
      <c r="UZX1" s="331" t="s">
        <v>15615</v>
      </c>
      <c r="UZY1" s="331" t="s">
        <v>15616</v>
      </c>
      <c r="UZZ1" s="331" t="s">
        <v>15617</v>
      </c>
      <c r="VAA1" s="331" t="s">
        <v>15618</v>
      </c>
      <c r="VAB1" s="331" t="s">
        <v>15619</v>
      </c>
      <c r="VAC1" s="331" t="s">
        <v>15620</v>
      </c>
      <c r="VAD1" s="331" t="s">
        <v>15621</v>
      </c>
      <c r="VAE1" s="331" t="s">
        <v>15622</v>
      </c>
      <c r="VAF1" s="331" t="s">
        <v>15623</v>
      </c>
      <c r="VAG1" s="331" t="s">
        <v>15624</v>
      </c>
      <c r="VAH1" s="331" t="s">
        <v>15625</v>
      </c>
      <c r="VAI1" s="331" t="s">
        <v>15626</v>
      </c>
      <c r="VAJ1" s="331" t="s">
        <v>15627</v>
      </c>
      <c r="VAK1" s="331" t="s">
        <v>15628</v>
      </c>
      <c r="VAL1" s="331" t="s">
        <v>15629</v>
      </c>
      <c r="VAM1" s="331" t="s">
        <v>15630</v>
      </c>
      <c r="VAN1" s="331" t="s">
        <v>15631</v>
      </c>
      <c r="VAO1" s="331" t="s">
        <v>15632</v>
      </c>
      <c r="VAP1" s="331" t="s">
        <v>15633</v>
      </c>
      <c r="VAQ1" s="331" t="s">
        <v>15634</v>
      </c>
      <c r="VAR1" s="331" t="s">
        <v>15635</v>
      </c>
      <c r="VAS1" s="331" t="s">
        <v>15636</v>
      </c>
      <c r="VAT1" s="331" t="s">
        <v>15637</v>
      </c>
      <c r="VAU1" s="331" t="s">
        <v>15638</v>
      </c>
      <c r="VAV1" s="331" t="s">
        <v>15639</v>
      </c>
      <c r="VAW1" s="331" t="s">
        <v>15640</v>
      </c>
      <c r="VAX1" s="331" t="s">
        <v>15641</v>
      </c>
      <c r="VAY1" s="331" t="s">
        <v>15642</v>
      </c>
      <c r="VAZ1" s="331" t="s">
        <v>15643</v>
      </c>
      <c r="VBA1" s="331" t="s">
        <v>15644</v>
      </c>
      <c r="VBB1" s="331" t="s">
        <v>15645</v>
      </c>
      <c r="VBC1" s="331" t="s">
        <v>15646</v>
      </c>
      <c r="VBD1" s="331" t="s">
        <v>15647</v>
      </c>
      <c r="VBE1" s="331" t="s">
        <v>15648</v>
      </c>
      <c r="VBF1" s="331" t="s">
        <v>15649</v>
      </c>
      <c r="VBG1" s="331" t="s">
        <v>15650</v>
      </c>
      <c r="VBH1" s="331" t="s">
        <v>15651</v>
      </c>
      <c r="VBI1" s="331" t="s">
        <v>15652</v>
      </c>
      <c r="VBJ1" s="331" t="s">
        <v>15653</v>
      </c>
      <c r="VBK1" s="331" t="s">
        <v>15654</v>
      </c>
      <c r="VBL1" s="331" t="s">
        <v>15655</v>
      </c>
      <c r="VBM1" s="331" t="s">
        <v>15656</v>
      </c>
      <c r="VBN1" s="331" t="s">
        <v>15657</v>
      </c>
      <c r="VBO1" s="331" t="s">
        <v>15658</v>
      </c>
      <c r="VBP1" s="331" t="s">
        <v>15659</v>
      </c>
      <c r="VBQ1" s="331" t="s">
        <v>15660</v>
      </c>
      <c r="VBR1" s="331" t="s">
        <v>15661</v>
      </c>
      <c r="VBS1" s="331" t="s">
        <v>15662</v>
      </c>
      <c r="VBT1" s="331" t="s">
        <v>15663</v>
      </c>
      <c r="VBU1" s="331" t="s">
        <v>15664</v>
      </c>
      <c r="VBV1" s="331" t="s">
        <v>15665</v>
      </c>
      <c r="VBW1" s="331" t="s">
        <v>15666</v>
      </c>
      <c r="VBX1" s="331" t="s">
        <v>15667</v>
      </c>
      <c r="VBY1" s="331" t="s">
        <v>15668</v>
      </c>
      <c r="VBZ1" s="331" t="s">
        <v>15669</v>
      </c>
      <c r="VCA1" s="331" t="s">
        <v>15670</v>
      </c>
      <c r="VCB1" s="331" t="s">
        <v>15671</v>
      </c>
      <c r="VCC1" s="331" t="s">
        <v>15672</v>
      </c>
      <c r="VCD1" s="331" t="s">
        <v>15673</v>
      </c>
      <c r="VCE1" s="331" t="s">
        <v>15674</v>
      </c>
      <c r="VCF1" s="331" t="s">
        <v>15675</v>
      </c>
      <c r="VCG1" s="331" t="s">
        <v>15676</v>
      </c>
      <c r="VCH1" s="331" t="s">
        <v>15677</v>
      </c>
      <c r="VCI1" s="331" t="s">
        <v>15678</v>
      </c>
      <c r="VCJ1" s="331" t="s">
        <v>15679</v>
      </c>
      <c r="VCK1" s="331" t="s">
        <v>15680</v>
      </c>
      <c r="VCL1" s="331" t="s">
        <v>15681</v>
      </c>
      <c r="VCM1" s="331" t="s">
        <v>15682</v>
      </c>
      <c r="VCN1" s="331" t="s">
        <v>15683</v>
      </c>
      <c r="VCO1" s="331" t="s">
        <v>15684</v>
      </c>
      <c r="VCP1" s="331" t="s">
        <v>15685</v>
      </c>
      <c r="VCQ1" s="331" t="s">
        <v>15686</v>
      </c>
      <c r="VCR1" s="331" t="s">
        <v>15687</v>
      </c>
      <c r="VCS1" s="331" t="s">
        <v>15688</v>
      </c>
      <c r="VCT1" s="331" t="s">
        <v>15689</v>
      </c>
      <c r="VCU1" s="331" t="s">
        <v>15690</v>
      </c>
      <c r="VCV1" s="331" t="s">
        <v>15691</v>
      </c>
      <c r="VCW1" s="331" t="s">
        <v>15692</v>
      </c>
      <c r="VCX1" s="331" t="s">
        <v>15693</v>
      </c>
      <c r="VCY1" s="331" t="s">
        <v>15694</v>
      </c>
      <c r="VCZ1" s="331" t="s">
        <v>15695</v>
      </c>
      <c r="VDA1" s="331" t="s">
        <v>15696</v>
      </c>
      <c r="VDB1" s="331" t="s">
        <v>15697</v>
      </c>
      <c r="VDC1" s="331" t="s">
        <v>15698</v>
      </c>
      <c r="VDD1" s="331" t="s">
        <v>15699</v>
      </c>
      <c r="VDE1" s="331" t="s">
        <v>15700</v>
      </c>
      <c r="VDF1" s="331" t="s">
        <v>15701</v>
      </c>
      <c r="VDG1" s="331" t="s">
        <v>15702</v>
      </c>
      <c r="VDH1" s="331" t="s">
        <v>15703</v>
      </c>
      <c r="VDI1" s="331" t="s">
        <v>15704</v>
      </c>
      <c r="VDJ1" s="331" t="s">
        <v>15705</v>
      </c>
      <c r="VDK1" s="331" t="s">
        <v>15706</v>
      </c>
      <c r="VDL1" s="331" t="s">
        <v>15707</v>
      </c>
      <c r="VDM1" s="331" t="s">
        <v>15708</v>
      </c>
      <c r="VDN1" s="331" t="s">
        <v>15709</v>
      </c>
      <c r="VDO1" s="331" t="s">
        <v>15710</v>
      </c>
      <c r="VDP1" s="331" t="s">
        <v>15711</v>
      </c>
      <c r="VDQ1" s="331" t="s">
        <v>15712</v>
      </c>
      <c r="VDR1" s="331" t="s">
        <v>15713</v>
      </c>
      <c r="VDS1" s="331" t="s">
        <v>15714</v>
      </c>
      <c r="VDT1" s="331" t="s">
        <v>15715</v>
      </c>
      <c r="VDU1" s="331" t="s">
        <v>15716</v>
      </c>
      <c r="VDV1" s="331" t="s">
        <v>15717</v>
      </c>
      <c r="VDW1" s="331" t="s">
        <v>15718</v>
      </c>
      <c r="VDX1" s="331" t="s">
        <v>15719</v>
      </c>
      <c r="VDY1" s="331" t="s">
        <v>15720</v>
      </c>
      <c r="VDZ1" s="331" t="s">
        <v>15721</v>
      </c>
      <c r="VEA1" s="331" t="s">
        <v>15722</v>
      </c>
      <c r="VEB1" s="331" t="s">
        <v>15723</v>
      </c>
      <c r="VEC1" s="331" t="s">
        <v>15724</v>
      </c>
      <c r="VED1" s="331" t="s">
        <v>15725</v>
      </c>
      <c r="VEE1" s="331" t="s">
        <v>15726</v>
      </c>
      <c r="VEF1" s="331" t="s">
        <v>15727</v>
      </c>
      <c r="VEG1" s="331" t="s">
        <v>15728</v>
      </c>
      <c r="VEH1" s="331" t="s">
        <v>15729</v>
      </c>
      <c r="VEI1" s="331" t="s">
        <v>15730</v>
      </c>
      <c r="VEJ1" s="331" t="s">
        <v>15731</v>
      </c>
      <c r="VEK1" s="331" t="s">
        <v>15732</v>
      </c>
      <c r="VEL1" s="331" t="s">
        <v>15733</v>
      </c>
      <c r="VEM1" s="331" t="s">
        <v>15734</v>
      </c>
      <c r="VEN1" s="331" t="s">
        <v>15735</v>
      </c>
      <c r="VEO1" s="331" t="s">
        <v>15736</v>
      </c>
      <c r="VEP1" s="331" t="s">
        <v>15737</v>
      </c>
      <c r="VEQ1" s="331" t="s">
        <v>15738</v>
      </c>
      <c r="VER1" s="331" t="s">
        <v>15739</v>
      </c>
      <c r="VES1" s="331" t="s">
        <v>15740</v>
      </c>
      <c r="VET1" s="331" t="s">
        <v>15741</v>
      </c>
      <c r="VEU1" s="331" t="s">
        <v>15742</v>
      </c>
      <c r="VEV1" s="331" t="s">
        <v>15743</v>
      </c>
      <c r="VEW1" s="331" t="s">
        <v>15744</v>
      </c>
      <c r="VEX1" s="331" t="s">
        <v>15745</v>
      </c>
      <c r="VEY1" s="331" t="s">
        <v>15746</v>
      </c>
      <c r="VEZ1" s="331" t="s">
        <v>15747</v>
      </c>
      <c r="VFA1" s="331" t="s">
        <v>15748</v>
      </c>
      <c r="VFB1" s="331" t="s">
        <v>15749</v>
      </c>
      <c r="VFC1" s="331" t="s">
        <v>15750</v>
      </c>
      <c r="VFD1" s="331" t="s">
        <v>15751</v>
      </c>
      <c r="VFE1" s="331" t="s">
        <v>15752</v>
      </c>
      <c r="VFF1" s="331" t="s">
        <v>15753</v>
      </c>
      <c r="VFG1" s="331" t="s">
        <v>15754</v>
      </c>
      <c r="VFH1" s="331" t="s">
        <v>15755</v>
      </c>
      <c r="VFI1" s="331" t="s">
        <v>15756</v>
      </c>
      <c r="VFJ1" s="331" t="s">
        <v>15757</v>
      </c>
      <c r="VFK1" s="331" t="s">
        <v>15758</v>
      </c>
      <c r="VFL1" s="331" t="s">
        <v>15759</v>
      </c>
      <c r="VFM1" s="331" t="s">
        <v>15760</v>
      </c>
      <c r="VFN1" s="331" t="s">
        <v>15761</v>
      </c>
      <c r="VFO1" s="331" t="s">
        <v>15762</v>
      </c>
      <c r="VFP1" s="331" t="s">
        <v>15763</v>
      </c>
      <c r="VFQ1" s="331" t="s">
        <v>15764</v>
      </c>
      <c r="VFR1" s="331" t="s">
        <v>15765</v>
      </c>
      <c r="VFS1" s="331" t="s">
        <v>15766</v>
      </c>
      <c r="VFT1" s="331" t="s">
        <v>15767</v>
      </c>
      <c r="VFU1" s="331" t="s">
        <v>15768</v>
      </c>
      <c r="VFV1" s="331" t="s">
        <v>15769</v>
      </c>
      <c r="VFW1" s="331" t="s">
        <v>15770</v>
      </c>
      <c r="VFX1" s="331" t="s">
        <v>15771</v>
      </c>
      <c r="VFY1" s="331" t="s">
        <v>15772</v>
      </c>
      <c r="VFZ1" s="331" t="s">
        <v>15773</v>
      </c>
      <c r="VGA1" s="331" t="s">
        <v>15774</v>
      </c>
      <c r="VGB1" s="331" t="s">
        <v>15775</v>
      </c>
      <c r="VGC1" s="331" t="s">
        <v>15776</v>
      </c>
      <c r="VGD1" s="331" t="s">
        <v>15777</v>
      </c>
      <c r="VGE1" s="331" t="s">
        <v>15778</v>
      </c>
      <c r="VGF1" s="331" t="s">
        <v>15779</v>
      </c>
      <c r="VGG1" s="331" t="s">
        <v>15780</v>
      </c>
      <c r="VGH1" s="331" t="s">
        <v>15781</v>
      </c>
      <c r="VGI1" s="331" t="s">
        <v>15782</v>
      </c>
      <c r="VGJ1" s="331" t="s">
        <v>15783</v>
      </c>
      <c r="VGK1" s="331" t="s">
        <v>15784</v>
      </c>
      <c r="VGL1" s="331" t="s">
        <v>15785</v>
      </c>
      <c r="VGM1" s="331" t="s">
        <v>15786</v>
      </c>
      <c r="VGN1" s="331" t="s">
        <v>15787</v>
      </c>
      <c r="VGO1" s="331" t="s">
        <v>15788</v>
      </c>
      <c r="VGP1" s="331" t="s">
        <v>15789</v>
      </c>
      <c r="VGQ1" s="331" t="s">
        <v>15790</v>
      </c>
      <c r="VGR1" s="331" t="s">
        <v>15791</v>
      </c>
      <c r="VGS1" s="331" t="s">
        <v>15792</v>
      </c>
      <c r="VGT1" s="331" t="s">
        <v>15793</v>
      </c>
      <c r="VGU1" s="331" t="s">
        <v>15794</v>
      </c>
      <c r="VGV1" s="331" t="s">
        <v>15795</v>
      </c>
      <c r="VGW1" s="331" t="s">
        <v>15796</v>
      </c>
      <c r="VGX1" s="331" t="s">
        <v>15797</v>
      </c>
      <c r="VGY1" s="331" t="s">
        <v>15798</v>
      </c>
      <c r="VGZ1" s="331" t="s">
        <v>15799</v>
      </c>
      <c r="VHA1" s="331" t="s">
        <v>15800</v>
      </c>
      <c r="VHB1" s="331" t="s">
        <v>15801</v>
      </c>
      <c r="VHC1" s="331" t="s">
        <v>15802</v>
      </c>
      <c r="VHD1" s="331" t="s">
        <v>15803</v>
      </c>
      <c r="VHE1" s="331" t="s">
        <v>15804</v>
      </c>
      <c r="VHF1" s="331" t="s">
        <v>15805</v>
      </c>
      <c r="VHG1" s="331" t="s">
        <v>15806</v>
      </c>
      <c r="VHH1" s="331" t="s">
        <v>15807</v>
      </c>
      <c r="VHI1" s="331" t="s">
        <v>15808</v>
      </c>
      <c r="VHJ1" s="331" t="s">
        <v>15809</v>
      </c>
      <c r="VHK1" s="331" t="s">
        <v>15810</v>
      </c>
      <c r="VHL1" s="331" t="s">
        <v>15811</v>
      </c>
      <c r="VHM1" s="331" t="s">
        <v>15812</v>
      </c>
      <c r="VHN1" s="331" t="s">
        <v>15813</v>
      </c>
      <c r="VHO1" s="331" t="s">
        <v>15814</v>
      </c>
      <c r="VHP1" s="331" t="s">
        <v>15815</v>
      </c>
      <c r="VHQ1" s="331" t="s">
        <v>15816</v>
      </c>
      <c r="VHR1" s="331" t="s">
        <v>15817</v>
      </c>
      <c r="VHS1" s="331" t="s">
        <v>15818</v>
      </c>
      <c r="VHT1" s="331" t="s">
        <v>15819</v>
      </c>
      <c r="VHU1" s="331" t="s">
        <v>15820</v>
      </c>
      <c r="VHV1" s="331" t="s">
        <v>15821</v>
      </c>
      <c r="VHW1" s="331" t="s">
        <v>15822</v>
      </c>
      <c r="VHX1" s="331" t="s">
        <v>15823</v>
      </c>
      <c r="VHY1" s="331" t="s">
        <v>15824</v>
      </c>
      <c r="VHZ1" s="331" t="s">
        <v>15825</v>
      </c>
      <c r="VIA1" s="331" t="s">
        <v>15826</v>
      </c>
      <c r="VIB1" s="331" t="s">
        <v>15827</v>
      </c>
      <c r="VIC1" s="331" t="s">
        <v>15828</v>
      </c>
      <c r="VID1" s="331" t="s">
        <v>15829</v>
      </c>
      <c r="VIE1" s="331" t="s">
        <v>15830</v>
      </c>
      <c r="VIF1" s="331" t="s">
        <v>15831</v>
      </c>
      <c r="VIG1" s="331" t="s">
        <v>15832</v>
      </c>
      <c r="VIH1" s="331" t="s">
        <v>15833</v>
      </c>
      <c r="VII1" s="331" t="s">
        <v>15834</v>
      </c>
      <c r="VIJ1" s="331" t="s">
        <v>15835</v>
      </c>
      <c r="VIK1" s="331" t="s">
        <v>15836</v>
      </c>
      <c r="VIL1" s="331" t="s">
        <v>15837</v>
      </c>
      <c r="VIM1" s="331" t="s">
        <v>15838</v>
      </c>
      <c r="VIN1" s="331" t="s">
        <v>15839</v>
      </c>
      <c r="VIO1" s="331" t="s">
        <v>15840</v>
      </c>
      <c r="VIP1" s="331" t="s">
        <v>15841</v>
      </c>
      <c r="VIQ1" s="331" t="s">
        <v>15842</v>
      </c>
      <c r="VIR1" s="331" t="s">
        <v>15843</v>
      </c>
      <c r="VIS1" s="331" t="s">
        <v>15844</v>
      </c>
      <c r="VIT1" s="331" t="s">
        <v>15845</v>
      </c>
      <c r="VIU1" s="331" t="s">
        <v>15846</v>
      </c>
      <c r="VIV1" s="331" t="s">
        <v>15847</v>
      </c>
      <c r="VIW1" s="331" t="s">
        <v>15848</v>
      </c>
      <c r="VIX1" s="331" t="s">
        <v>15849</v>
      </c>
      <c r="VIY1" s="331" t="s">
        <v>15850</v>
      </c>
      <c r="VIZ1" s="331" t="s">
        <v>15851</v>
      </c>
      <c r="VJA1" s="331" t="s">
        <v>15852</v>
      </c>
      <c r="VJB1" s="331" t="s">
        <v>15853</v>
      </c>
      <c r="VJC1" s="331" t="s">
        <v>15854</v>
      </c>
      <c r="VJD1" s="331" t="s">
        <v>15855</v>
      </c>
      <c r="VJE1" s="331" t="s">
        <v>15856</v>
      </c>
      <c r="VJF1" s="331" t="s">
        <v>15857</v>
      </c>
      <c r="VJG1" s="331" t="s">
        <v>15858</v>
      </c>
      <c r="VJH1" s="331" t="s">
        <v>15859</v>
      </c>
      <c r="VJI1" s="331" t="s">
        <v>15860</v>
      </c>
      <c r="VJJ1" s="331" t="s">
        <v>15861</v>
      </c>
      <c r="VJK1" s="331" t="s">
        <v>15862</v>
      </c>
      <c r="VJL1" s="331" t="s">
        <v>15863</v>
      </c>
      <c r="VJM1" s="331" t="s">
        <v>15864</v>
      </c>
      <c r="VJN1" s="331" t="s">
        <v>15865</v>
      </c>
      <c r="VJO1" s="331" t="s">
        <v>15866</v>
      </c>
      <c r="VJP1" s="331" t="s">
        <v>15867</v>
      </c>
      <c r="VJQ1" s="331" t="s">
        <v>15868</v>
      </c>
      <c r="VJR1" s="331" t="s">
        <v>15869</v>
      </c>
      <c r="VJS1" s="331" t="s">
        <v>15870</v>
      </c>
      <c r="VJT1" s="331" t="s">
        <v>15871</v>
      </c>
      <c r="VJU1" s="331" t="s">
        <v>15872</v>
      </c>
      <c r="VJV1" s="331" t="s">
        <v>15873</v>
      </c>
      <c r="VJW1" s="331" t="s">
        <v>15874</v>
      </c>
      <c r="VJX1" s="331" t="s">
        <v>15875</v>
      </c>
      <c r="VJY1" s="331" t="s">
        <v>15876</v>
      </c>
      <c r="VJZ1" s="331" t="s">
        <v>15877</v>
      </c>
      <c r="VKA1" s="331" t="s">
        <v>15878</v>
      </c>
      <c r="VKB1" s="331" t="s">
        <v>15879</v>
      </c>
      <c r="VKC1" s="331" t="s">
        <v>15880</v>
      </c>
      <c r="VKD1" s="331" t="s">
        <v>15881</v>
      </c>
      <c r="VKE1" s="331" t="s">
        <v>15882</v>
      </c>
      <c r="VKF1" s="331" t="s">
        <v>15883</v>
      </c>
      <c r="VKG1" s="331" t="s">
        <v>15884</v>
      </c>
      <c r="VKH1" s="331" t="s">
        <v>15885</v>
      </c>
      <c r="VKI1" s="331" t="s">
        <v>15886</v>
      </c>
      <c r="VKJ1" s="331" t="s">
        <v>15887</v>
      </c>
      <c r="VKK1" s="331" t="s">
        <v>15888</v>
      </c>
      <c r="VKL1" s="331" t="s">
        <v>15889</v>
      </c>
      <c r="VKM1" s="331" t="s">
        <v>15890</v>
      </c>
      <c r="VKN1" s="331" t="s">
        <v>15891</v>
      </c>
      <c r="VKO1" s="331" t="s">
        <v>15892</v>
      </c>
      <c r="VKP1" s="331" t="s">
        <v>15893</v>
      </c>
      <c r="VKQ1" s="331" t="s">
        <v>15894</v>
      </c>
      <c r="VKR1" s="331" t="s">
        <v>15895</v>
      </c>
      <c r="VKS1" s="331" t="s">
        <v>15896</v>
      </c>
      <c r="VKT1" s="331" t="s">
        <v>15897</v>
      </c>
      <c r="VKU1" s="331" t="s">
        <v>15898</v>
      </c>
      <c r="VKV1" s="331" t="s">
        <v>15899</v>
      </c>
      <c r="VKW1" s="331" t="s">
        <v>15900</v>
      </c>
      <c r="VKX1" s="331" t="s">
        <v>15901</v>
      </c>
      <c r="VKY1" s="331" t="s">
        <v>15902</v>
      </c>
      <c r="VKZ1" s="331" t="s">
        <v>15903</v>
      </c>
      <c r="VLA1" s="331" t="s">
        <v>15904</v>
      </c>
      <c r="VLB1" s="331" t="s">
        <v>15905</v>
      </c>
      <c r="VLC1" s="331" t="s">
        <v>15906</v>
      </c>
      <c r="VLD1" s="331" t="s">
        <v>15907</v>
      </c>
      <c r="VLE1" s="331" t="s">
        <v>15908</v>
      </c>
      <c r="VLF1" s="331" t="s">
        <v>15909</v>
      </c>
      <c r="VLG1" s="331" t="s">
        <v>15910</v>
      </c>
      <c r="VLH1" s="331" t="s">
        <v>15911</v>
      </c>
      <c r="VLI1" s="331" t="s">
        <v>15912</v>
      </c>
      <c r="VLJ1" s="331" t="s">
        <v>15913</v>
      </c>
      <c r="VLK1" s="331" t="s">
        <v>15914</v>
      </c>
      <c r="VLL1" s="331" t="s">
        <v>15915</v>
      </c>
      <c r="VLM1" s="331" t="s">
        <v>15916</v>
      </c>
      <c r="VLN1" s="331" t="s">
        <v>15917</v>
      </c>
      <c r="VLO1" s="331" t="s">
        <v>15918</v>
      </c>
      <c r="VLP1" s="331" t="s">
        <v>15919</v>
      </c>
      <c r="VLQ1" s="331" t="s">
        <v>15920</v>
      </c>
      <c r="VLR1" s="331" t="s">
        <v>15921</v>
      </c>
      <c r="VLS1" s="331" t="s">
        <v>15922</v>
      </c>
      <c r="VLT1" s="331" t="s">
        <v>15923</v>
      </c>
      <c r="VLU1" s="331" t="s">
        <v>15924</v>
      </c>
      <c r="VLV1" s="331" t="s">
        <v>15925</v>
      </c>
      <c r="VLW1" s="331" t="s">
        <v>15926</v>
      </c>
      <c r="VLX1" s="331" t="s">
        <v>15927</v>
      </c>
      <c r="VLY1" s="331" t="s">
        <v>15928</v>
      </c>
      <c r="VLZ1" s="331" t="s">
        <v>15929</v>
      </c>
      <c r="VMA1" s="331" t="s">
        <v>15930</v>
      </c>
      <c r="VMB1" s="331" t="s">
        <v>15931</v>
      </c>
      <c r="VMC1" s="331" t="s">
        <v>15932</v>
      </c>
      <c r="VMD1" s="331" t="s">
        <v>15933</v>
      </c>
      <c r="VME1" s="331" t="s">
        <v>15934</v>
      </c>
      <c r="VMF1" s="331" t="s">
        <v>15935</v>
      </c>
      <c r="VMG1" s="331" t="s">
        <v>15936</v>
      </c>
      <c r="VMH1" s="331" t="s">
        <v>15937</v>
      </c>
      <c r="VMI1" s="331" t="s">
        <v>15938</v>
      </c>
      <c r="VMJ1" s="331" t="s">
        <v>15939</v>
      </c>
      <c r="VMK1" s="331" t="s">
        <v>15940</v>
      </c>
      <c r="VML1" s="331" t="s">
        <v>15941</v>
      </c>
      <c r="VMM1" s="331" t="s">
        <v>15942</v>
      </c>
      <c r="VMN1" s="331" t="s">
        <v>15943</v>
      </c>
      <c r="VMO1" s="331" t="s">
        <v>15944</v>
      </c>
      <c r="VMP1" s="331" t="s">
        <v>15945</v>
      </c>
      <c r="VMQ1" s="331" t="s">
        <v>15946</v>
      </c>
      <c r="VMR1" s="331" t="s">
        <v>15947</v>
      </c>
      <c r="VMS1" s="331" t="s">
        <v>15948</v>
      </c>
      <c r="VMT1" s="331" t="s">
        <v>15949</v>
      </c>
      <c r="VMU1" s="331" t="s">
        <v>15950</v>
      </c>
      <c r="VMV1" s="331" t="s">
        <v>15951</v>
      </c>
      <c r="VMW1" s="331" t="s">
        <v>15952</v>
      </c>
      <c r="VMX1" s="331" t="s">
        <v>15953</v>
      </c>
      <c r="VMY1" s="331" t="s">
        <v>15954</v>
      </c>
      <c r="VMZ1" s="331" t="s">
        <v>15955</v>
      </c>
      <c r="VNA1" s="331" t="s">
        <v>15956</v>
      </c>
      <c r="VNB1" s="331" t="s">
        <v>15957</v>
      </c>
      <c r="VNC1" s="331" t="s">
        <v>15958</v>
      </c>
      <c r="VND1" s="331" t="s">
        <v>15959</v>
      </c>
      <c r="VNE1" s="331" t="s">
        <v>15960</v>
      </c>
      <c r="VNF1" s="331" t="s">
        <v>15961</v>
      </c>
      <c r="VNG1" s="331" t="s">
        <v>15962</v>
      </c>
      <c r="VNH1" s="331" t="s">
        <v>15963</v>
      </c>
      <c r="VNI1" s="331" t="s">
        <v>15964</v>
      </c>
      <c r="VNJ1" s="331" t="s">
        <v>15965</v>
      </c>
      <c r="VNK1" s="331" t="s">
        <v>15966</v>
      </c>
      <c r="VNL1" s="331" t="s">
        <v>15967</v>
      </c>
      <c r="VNM1" s="331" t="s">
        <v>15968</v>
      </c>
      <c r="VNN1" s="331" t="s">
        <v>15969</v>
      </c>
      <c r="VNO1" s="331" t="s">
        <v>15970</v>
      </c>
      <c r="VNP1" s="331" t="s">
        <v>15971</v>
      </c>
      <c r="VNQ1" s="331" t="s">
        <v>15972</v>
      </c>
      <c r="VNR1" s="331" t="s">
        <v>15973</v>
      </c>
      <c r="VNS1" s="331" t="s">
        <v>15974</v>
      </c>
      <c r="VNT1" s="331" t="s">
        <v>15975</v>
      </c>
      <c r="VNU1" s="331" t="s">
        <v>15976</v>
      </c>
      <c r="VNV1" s="331" t="s">
        <v>15977</v>
      </c>
      <c r="VNW1" s="331" t="s">
        <v>15978</v>
      </c>
      <c r="VNX1" s="331" t="s">
        <v>15979</v>
      </c>
      <c r="VNY1" s="331" t="s">
        <v>15980</v>
      </c>
      <c r="VNZ1" s="331" t="s">
        <v>15981</v>
      </c>
      <c r="VOA1" s="331" t="s">
        <v>15982</v>
      </c>
      <c r="VOB1" s="331" t="s">
        <v>15983</v>
      </c>
      <c r="VOC1" s="331" t="s">
        <v>15984</v>
      </c>
      <c r="VOD1" s="331" t="s">
        <v>15985</v>
      </c>
      <c r="VOE1" s="331" t="s">
        <v>15986</v>
      </c>
      <c r="VOF1" s="331" t="s">
        <v>15987</v>
      </c>
      <c r="VOG1" s="331" t="s">
        <v>15988</v>
      </c>
      <c r="VOH1" s="331" t="s">
        <v>15989</v>
      </c>
      <c r="VOI1" s="331" t="s">
        <v>15990</v>
      </c>
      <c r="VOJ1" s="331" t="s">
        <v>15991</v>
      </c>
      <c r="VOK1" s="331" t="s">
        <v>15992</v>
      </c>
      <c r="VOL1" s="331" t="s">
        <v>15993</v>
      </c>
      <c r="VOM1" s="331" t="s">
        <v>15994</v>
      </c>
      <c r="VON1" s="331" t="s">
        <v>15995</v>
      </c>
      <c r="VOO1" s="331" t="s">
        <v>15996</v>
      </c>
      <c r="VOP1" s="331" t="s">
        <v>15997</v>
      </c>
      <c r="VOQ1" s="331" t="s">
        <v>15998</v>
      </c>
      <c r="VOR1" s="331" t="s">
        <v>15999</v>
      </c>
      <c r="VOS1" s="331" t="s">
        <v>16000</v>
      </c>
      <c r="VOT1" s="331" t="s">
        <v>16001</v>
      </c>
      <c r="VOU1" s="331" t="s">
        <v>16002</v>
      </c>
      <c r="VOV1" s="331" t="s">
        <v>16003</v>
      </c>
      <c r="VOW1" s="331" t="s">
        <v>16004</v>
      </c>
      <c r="VOX1" s="331" t="s">
        <v>16005</v>
      </c>
      <c r="VOY1" s="331" t="s">
        <v>16006</v>
      </c>
      <c r="VOZ1" s="331" t="s">
        <v>16007</v>
      </c>
      <c r="VPA1" s="331" t="s">
        <v>16008</v>
      </c>
      <c r="VPB1" s="331" t="s">
        <v>16009</v>
      </c>
      <c r="VPC1" s="331" t="s">
        <v>16010</v>
      </c>
      <c r="VPD1" s="331" t="s">
        <v>16011</v>
      </c>
      <c r="VPE1" s="331" t="s">
        <v>16012</v>
      </c>
      <c r="VPF1" s="331" t="s">
        <v>16013</v>
      </c>
      <c r="VPG1" s="331" t="s">
        <v>16014</v>
      </c>
      <c r="VPH1" s="331" t="s">
        <v>16015</v>
      </c>
      <c r="VPI1" s="331" t="s">
        <v>16016</v>
      </c>
      <c r="VPJ1" s="331" t="s">
        <v>16017</v>
      </c>
      <c r="VPK1" s="331" t="s">
        <v>16018</v>
      </c>
      <c r="VPL1" s="331" t="s">
        <v>16019</v>
      </c>
      <c r="VPM1" s="331" t="s">
        <v>16020</v>
      </c>
      <c r="VPN1" s="331" t="s">
        <v>16021</v>
      </c>
      <c r="VPO1" s="331" t="s">
        <v>16022</v>
      </c>
      <c r="VPP1" s="331" t="s">
        <v>16023</v>
      </c>
      <c r="VPQ1" s="331" t="s">
        <v>16024</v>
      </c>
      <c r="VPR1" s="331" t="s">
        <v>16025</v>
      </c>
      <c r="VPS1" s="331" t="s">
        <v>16026</v>
      </c>
      <c r="VPT1" s="331" t="s">
        <v>16027</v>
      </c>
      <c r="VPU1" s="331" t="s">
        <v>16028</v>
      </c>
      <c r="VPV1" s="331" t="s">
        <v>16029</v>
      </c>
      <c r="VPW1" s="331" t="s">
        <v>16030</v>
      </c>
      <c r="VPX1" s="331" t="s">
        <v>16031</v>
      </c>
      <c r="VPY1" s="331" t="s">
        <v>16032</v>
      </c>
      <c r="VPZ1" s="331" t="s">
        <v>16033</v>
      </c>
      <c r="VQA1" s="331" t="s">
        <v>16034</v>
      </c>
      <c r="VQB1" s="331" t="s">
        <v>16035</v>
      </c>
      <c r="VQC1" s="331" t="s">
        <v>16036</v>
      </c>
      <c r="VQD1" s="331" t="s">
        <v>16037</v>
      </c>
      <c r="VQE1" s="331" t="s">
        <v>16038</v>
      </c>
      <c r="VQF1" s="331" t="s">
        <v>16039</v>
      </c>
      <c r="VQG1" s="331" t="s">
        <v>16040</v>
      </c>
      <c r="VQH1" s="331" t="s">
        <v>16041</v>
      </c>
      <c r="VQI1" s="331" t="s">
        <v>16042</v>
      </c>
      <c r="VQJ1" s="331" t="s">
        <v>16043</v>
      </c>
      <c r="VQK1" s="331" t="s">
        <v>16044</v>
      </c>
      <c r="VQL1" s="331" t="s">
        <v>16045</v>
      </c>
      <c r="VQM1" s="331" t="s">
        <v>16046</v>
      </c>
      <c r="VQN1" s="331" t="s">
        <v>16047</v>
      </c>
      <c r="VQO1" s="331" t="s">
        <v>16048</v>
      </c>
      <c r="VQP1" s="331" t="s">
        <v>16049</v>
      </c>
      <c r="VQQ1" s="331" t="s">
        <v>16050</v>
      </c>
      <c r="VQR1" s="331" t="s">
        <v>16051</v>
      </c>
      <c r="VQS1" s="331" t="s">
        <v>16052</v>
      </c>
      <c r="VQT1" s="331" t="s">
        <v>16053</v>
      </c>
      <c r="VQU1" s="331" t="s">
        <v>16054</v>
      </c>
      <c r="VQV1" s="331" t="s">
        <v>16055</v>
      </c>
      <c r="VQW1" s="331" t="s">
        <v>16056</v>
      </c>
      <c r="VQX1" s="331" t="s">
        <v>16057</v>
      </c>
      <c r="VQY1" s="331" t="s">
        <v>16058</v>
      </c>
      <c r="VQZ1" s="331" t="s">
        <v>16059</v>
      </c>
      <c r="VRA1" s="331" t="s">
        <v>16060</v>
      </c>
      <c r="VRB1" s="331" t="s">
        <v>16061</v>
      </c>
      <c r="VRC1" s="331" t="s">
        <v>16062</v>
      </c>
      <c r="VRD1" s="331" t="s">
        <v>16063</v>
      </c>
      <c r="VRE1" s="331" t="s">
        <v>16064</v>
      </c>
      <c r="VRF1" s="331" t="s">
        <v>16065</v>
      </c>
      <c r="VRG1" s="331" t="s">
        <v>16066</v>
      </c>
      <c r="VRH1" s="331" t="s">
        <v>16067</v>
      </c>
      <c r="VRI1" s="331" t="s">
        <v>16068</v>
      </c>
      <c r="VRJ1" s="331" t="s">
        <v>16069</v>
      </c>
      <c r="VRK1" s="331" t="s">
        <v>16070</v>
      </c>
      <c r="VRL1" s="331" t="s">
        <v>16071</v>
      </c>
      <c r="VRM1" s="331" t="s">
        <v>16072</v>
      </c>
      <c r="VRN1" s="331" t="s">
        <v>16073</v>
      </c>
      <c r="VRO1" s="331" t="s">
        <v>16074</v>
      </c>
      <c r="VRP1" s="331" t="s">
        <v>16075</v>
      </c>
      <c r="VRQ1" s="331" t="s">
        <v>16076</v>
      </c>
      <c r="VRR1" s="331" t="s">
        <v>16077</v>
      </c>
      <c r="VRS1" s="331" t="s">
        <v>16078</v>
      </c>
      <c r="VRT1" s="331" t="s">
        <v>16079</v>
      </c>
      <c r="VRU1" s="331" t="s">
        <v>16080</v>
      </c>
      <c r="VRV1" s="331" t="s">
        <v>16081</v>
      </c>
      <c r="VRW1" s="331" t="s">
        <v>16082</v>
      </c>
      <c r="VRX1" s="331" t="s">
        <v>16083</v>
      </c>
      <c r="VRY1" s="331" t="s">
        <v>16084</v>
      </c>
      <c r="VRZ1" s="331" t="s">
        <v>16085</v>
      </c>
      <c r="VSA1" s="331" t="s">
        <v>16086</v>
      </c>
      <c r="VSB1" s="331" t="s">
        <v>16087</v>
      </c>
      <c r="VSC1" s="331" t="s">
        <v>16088</v>
      </c>
      <c r="VSD1" s="331" t="s">
        <v>16089</v>
      </c>
      <c r="VSE1" s="331" t="s">
        <v>16090</v>
      </c>
      <c r="VSF1" s="331" t="s">
        <v>16091</v>
      </c>
      <c r="VSG1" s="331" t="s">
        <v>16092</v>
      </c>
      <c r="VSH1" s="331" t="s">
        <v>16093</v>
      </c>
      <c r="VSI1" s="331" t="s">
        <v>16094</v>
      </c>
      <c r="VSJ1" s="331" t="s">
        <v>16095</v>
      </c>
      <c r="VSK1" s="331" t="s">
        <v>16096</v>
      </c>
      <c r="VSL1" s="331" t="s">
        <v>16097</v>
      </c>
      <c r="VSM1" s="331" t="s">
        <v>16098</v>
      </c>
      <c r="VSN1" s="331" t="s">
        <v>16099</v>
      </c>
      <c r="VSO1" s="331" t="s">
        <v>16100</v>
      </c>
      <c r="VSP1" s="331" t="s">
        <v>16101</v>
      </c>
      <c r="VSQ1" s="331" t="s">
        <v>16102</v>
      </c>
      <c r="VSR1" s="331" t="s">
        <v>16103</v>
      </c>
      <c r="VSS1" s="331" t="s">
        <v>16104</v>
      </c>
      <c r="VST1" s="331" t="s">
        <v>16105</v>
      </c>
      <c r="VSU1" s="331" t="s">
        <v>16106</v>
      </c>
      <c r="VSV1" s="331" t="s">
        <v>16107</v>
      </c>
      <c r="VSW1" s="331" t="s">
        <v>16108</v>
      </c>
      <c r="VSX1" s="331" t="s">
        <v>16109</v>
      </c>
      <c r="VSY1" s="331" t="s">
        <v>16110</v>
      </c>
      <c r="VSZ1" s="331" t="s">
        <v>16111</v>
      </c>
      <c r="VTA1" s="331" t="s">
        <v>16112</v>
      </c>
      <c r="VTB1" s="331" t="s">
        <v>16113</v>
      </c>
      <c r="VTC1" s="331" t="s">
        <v>16114</v>
      </c>
      <c r="VTD1" s="331" t="s">
        <v>16115</v>
      </c>
      <c r="VTE1" s="331" t="s">
        <v>16116</v>
      </c>
      <c r="VTF1" s="331" t="s">
        <v>16117</v>
      </c>
      <c r="VTG1" s="331" t="s">
        <v>16118</v>
      </c>
      <c r="VTH1" s="331" t="s">
        <v>16119</v>
      </c>
      <c r="VTI1" s="331" t="s">
        <v>16120</v>
      </c>
      <c r="VTJ1" s="331" t="s">
        <v>16121</v>
      </c>
      <c r="VTK1" s="331" t="s">
        <v>16122</v>
      </c>
      <c r="VTL1" s="331" t="s">
        <v>16123</v>
      </c>
      <c r="VTM1" s="331" t="s">
        <v>16124</v>
      </c>
      <c r="VTN1" s="331" t="s">
        <v>16125</v>
      </c>
      <c r="VTO1" s="331" t="s">
        <v>16126</v>
      </c>
      <c r="VTP1" s="331" t="s">
        <v>16127</v>
      </c>
      <c r="VTQ1" s="331" t="s">
        <v>16128</v>
      </c>
      <c r="VTR1" s="331" t="s">
        <v>16129</v>
      </c>
      <c r="VTS1" s="331" t="s">
        <v>16130</v>
      </c>
      <c r="VTT1" s="331" t="s">
        <v>16131</v>
      </c>
      <c r="VTU1" s="331" t="s">
        <v>16132</v>
      </c>
      <c r="VTV1" s="331" t="s">
        <v>16133</v>
      </c>
      <c r="VTW1" s="331" t="s">
        <v>16134</v>
      </c>
      <c r="VTX1" s="331" t="s">
        <v>16135</v>
      </c>
      <c r="VTY1" s="331" t="s">
        <v>16136</v>
      </c>
      <c r="VTZ1" s="331" t="s">
        <v>16137</v>
      </c>
      <c r="VUA1" s="331" t="s">
        <v>16138</v>
      </c>
      <c r="VUB1" s="331" t="s">
        <v>16139</v>
      </c>
      <c r="VUC1" s="331" t="s">
        <v>16140</v>
      </c>
      <c r="VUD1" s="331" t="s">
        <v>16141</v>
      </c>
      <c r="VUE1" s="331" t="s">
        <v>16142</v>
      </c>
      <c r="VUF1" s="331" t="s">
        <v>16143</v>
      </c>
      <c r="VUG1" s="331" t="s">
        <v>16144</v>
      </c>
      <c r="VUH1" s="331" t="s">
        <v>16145</v>
      </c>
      <c r="VUI1" s="331" t="s">
        <v>16146</v>
      </c>
      <c r="VUJ1" s="331" t="s">
        <v>16147</v>
      </c>
      <c r="VUK1" s="331" t="s">
        <v>16148</v>
      </c>
      <c r="VUL1" s="331" t="s">
        <v>16149</v>
      </c>
      <c r="VUM1" s="331" t="s">
        <v>16150</v>
      </c>
      <c r="VUN1" s="331" t="s">
        <v>16151</v>
      </c>
      <c r="VUO1" s="331" t="s">
        <v>16152</v>
      </c>
      <c r="VUP1" s="331" t="s">
        <v>16153</v>
      </c>
      <c r="VUQ1" s="331" t="s">
        <v>16154</v>
      </c>
      <c r="VUR1" s="331" t="s">
        <v>16155</v>
      </c>
      <c r="VUS1" s="331" t="s">
        <v>16156</v>
      </c>
      <c r="VUT1" s="331" t="s">
        <v>16157</v>
      </c>
      <c r="VUU1" s="331" t="s">
        <v>16158</v>
      </c>
      <c r="VUV1" s="331" t="s">
        <v>16159</v>
      </c>
      <c r="VUW1" s="331" t="s">
        <v>16160</v>
      </c>
      <c r="VUX1" s="331" t="s">
        <v>16161</v>
      </c>
      <c r="VUY1" s="331" t="s">
        <v>16162</v>
      </c>
      <c r="VUZ1" s="331" t="s">
        <v>16163</v>
      </c>
      <c r="VVA1" s="331" t="s">
        <v>16164</v>
      </c>
      <c r="VVB1" s="331" t="s">
        <v>16165</v>
      </c>
      <c r="VVC1" s="331" t="s">
        <v>16166</v>
      </c>
      <c r="VVD1" s="331" t="s">
        <v>16167</v>
      </c>
      <c r="VVE1" s="331" t="s">
        <v>16168</v>
      </c>
      <c r="VVF1" s="331" t="s">
        <v>16169</v>
      </c>
      <c r="VVG1" s="331" t="s">
        <v>16170</v>
      </c>
      <c r="VVH1" s="331" t="s">
        <v>16171</v>
      </c>
      <c r="VVI1" s="331" t="s">
        <v>16172</v>
      </c>
      <c r="VVJ1" s="331" t="s">
        <v>16173</v>
      </c>
      <c r="VVK1" s="331" t="s">
        <v>16174</v>
      </c>
      <c r="VVL1" s="331" t="s">
        <v>16175</v>
      </c>
      <c r="VVM1" s="331" t="s">
        <v>16176</v>
      </c>
      <c r="VVN1" s="331" t="s">
        <v>16177</v>
      </c>
      <c r="VVO1" s="331" t="s">
        <v>16178</v>
      </c>
      <c r="VVP1" s="331" t="s">
        <v>16179</v>
      </c>
      <c r="VVQ1" s="331" t="s">
        <v>16180</v>
      </c>
      <c r="VVR1" s="331" t="s">
        <v>16181</v>
      </c>
      <c r="VVS1" s="331" t="s">
        <v>16182</v>
      </c>
      <c r="VVT1" s="331" t="s">
        <v>16183</v>
      </c>
      <c r="VVU1" s="331" t="s">
        <v>16184</v>
      </c>
      <c r="VVV1" s="331" t="s">
        <v>16185</v>
      </c>
      <c r="VVW1" s="331" t="s">
        <v>16186</v>
      </c>
      <c r="VVX1" s="331" t="s">
        <v>16187</v>
      </c>
      <c r="VVY1" s="331" t="s">
        <v>16188</v>
      </c>
      <c r="VVZ1" s="331" t="s">
        <v>16189</v>
      </c>
      <c r="VWA1" s="331" t="s">
        <v>16190</v>
      </c>
      <c r="VWB1" s="331" t="s">
        <v>16191</v>
      </c>
      <c r="VWC1" s="331" t="s">
        <v>16192</v>
      </c>
      <c r="VWD1" s="331" t="s">
        <v>16193</v>
      </c>
      <c r="VWE1" s="331" t="s">
        <v>16194</v>
      </c>
      <c r="VWF1" s="331" t="s">
        <v>16195</v>
      </c>
      <c r="VWG1" s="331" t="s">
        <v>16196</v>
      </c>
      <c r="VWH1" s="331" t="s">
        <v>16197</v>
      </c>
      <c r="VWI1" s="331" t="s">
        <v>16198</v>
      </c>
      <c r="VWJ1" s="331" t="s">
        <v>16199</v>
      </c>
      <c r="VWK1" s="331" t="s">
        <v>16200</v>
      </c>
      <c r="VWL1" s="331" t="s">
        <v>16201</v>
      </c>
      <c r="VWM1" s="331" t="s">
        <v>16202</v>
      </c>
      <c r="VWN1" s="331" t="s">
        <v>16203</v>
      </c>
      <c r="VWO1" s="331" t="s">
        <v>16204</v>
      </c>
      <c r="VWP1" s="331" t="s">
        <v>16205</v>
      </c>
      <c r="VWQ1" s="331" t="s">
        <v>16206</v>
      </c>
      <c r="VWR1" s="331" t="s">
        <v>16207</v>
      </c>
      <c r="VWS1" s="331" t="s">
        <v>16208</v>
      </c>
      <c r="VWT1" s="331" t="s">
        <v>16209</v>
      </c>
      <c r="VWU1" s="331" t="s">
        <v>16210</v>
      </c>
      <c r="VWV1" s="331" t="s">
        <v>16211</v>
      </c>
      <c r="VWW1" s="331" t="s">
        <v>16212</v>
      </c>
      <c r="VWX1" s="331" t="s">
        <v>16213</v>
      </c>
      <c r="VWY1" s="331" t="s">
        <v>16214</v>
      </c>
      <c r="VWZ1" s="331" t="s">
        <v>16215</v>
      </c>
      <c r="VXA1" s="331" t="s">
        <v>16216</v>
      </c>
      <c r="VXB1" s="331" t="s">
        <v>16217</v>
      </c>
      <c r="VXC1" s="331" t="s">
        <v>16218</v>
      </c>
      <c r="VXD1" s="331" t="s">
        <v>16219</v>
      </c>
      <c r="VXE1" s="331" t="s">
        <v>16220</v>
      </c>
      <c r="VXF1" s="331" t="s">
        <v>16221</v>
      </c>
      <c r="VXG1" s="331" t="s">
        <v>16222</v>
      </c>
      <c r="VXH1" s="331" t="s">
        <v>16223</v>
      </c>
      <c r="VXI1" s="331" t="s">
        <v>16224</v>
      </c>
      <c r="VXJ1" s="331" t="s">
        <v>16225</v>
      </c>
      <c r="VXK1" s="331" t="s">
        <v>16226</v>
      </c>
      <c r="VXL1" s="331" t="s">
        <v>16227</v>
      </c>
      <c r="VXM1" s="331" t="s">
        <v>16228</v>
      </c>
      <c r="VXN1" s="331" t="s">
        <v>16229</v>
      </c>
      <c r="VXO1" s="331" t="s">
        <v>16230</v>
      </c>
      <c r="VXP1" s="331" t="s">
        <v>16231</v>
      </c>
      <c r="VXQ1" s="331" t="s">
        <v>16232</v>
      </c>
      <c r="VXR1" s="331" t="s">
        <v>16233</v>
      </c>
      <c r="VXS1" s="331" t="s">
        <v>16234</v>
      </c>
      <c r="VXT1" s="331" t="s">
        <v>16235</v>
      </c>
      <c r="VXU1" s="331" t="s">
        <v>16236</v>
      </c>
      <c r="VXV1" s="331" t="s">
        <v>16237</v>
      </c>
      <c r="VXW1" s="331" t="s">
        <v>16238</v>
      </c>
      <c r="VXX1" s="331" t="s">
        <v>16239</v>
      </c>
      <c r="VXY1" s="331" t="s">
        <v>16240</v>
      </c>
      <c r="VXZ1" s="331" t="s">
        <v>16241</v>
      </c>
      <c r="VYA1" s="331" t="s">
        <v>16242</v>
      </c>
      <c r="VYB1" s="331" t="s">
        <v>16243</v>
      </c>
      <c r="VYC1" s="331" t="s">
        <v>16244</v>
      </c>
      <c r="VYD1" s="331" t="s">
        <v>16245</v>
      </c>
      <c r="VYE1" s="331" t="s">
        <v>16246</v>
      </c>
      <c r="VYF1" s="331" t="s">
        <v>16247</v>
      </c>
      <c r="VYG1" s="331" t="s">
        <v>16248</v>
      </c>
      <c r="VYH1" s="331" t="s">
        <v>16249</v>
      </c>
      <c r="VYI1" s="331" t="s">
        <v>16250</v>
      </c>
      <c r="VYJ1" s="331" t="s">
        <v>16251</v>
      </c>
      <c r="VYK1" s="331" t="s">
        <v>16252</v>
      </c>
      <c r="VYL1" s="331" t="s">
        <v>16253</v>
      </c>
      <c r="VYM1" s="331" t="s">
        <v>16254</v>
      </c>
      <c r="VYN1" s="331" t="s">
        <v>16255</v>
      </c>
      <c r="VYO1" s="331" t="s">
        <v>16256</v>
      </c>
      <c r="VYP1" s="331" t="s">
        <v>16257</v>
      </c>
      <c r="VYQ1" s="331" t="s">
        <v>16258</v>
      </c>
      <c r="VYR1" s="331" t="s">
        <v>16259</v>
      </c>
      <c r="VYS1" s="331" t="s">
        <v>16260</v>
      </c>
      <c r="VYT1" s="331" t="s">
        <v>16261</v>
      </c>
      <c r="VYU1" s="331" t="s">
        <v>16262</v>
      </c>
      <c r="VYV1" s="331" t="s">
        <v>16263</v>
      </c>
      <c r="VYW1" s="331" t="s">
        <v>16264</v>
      </c>
      <c r="VYX1" s="331" t="s">
        <v>16265</v>
      </c>
      <c r="VYY1" s="331" t="s">
        <v>16266</v>
      </c>
      <c r="VYZ1" s="331" t="s">
        <v>16267</v>
      </c>
      <c r="VZA1" s="331" t="s">
        <v>16268</v>
      </c>
      <c r="VZB1" s="331" t="s">
        <v>16269</v>
      </c>
      <c r="VZC1" s="331" t="s">
        <v>16270</v>
      </c>
      <c r="VZD1" s="331" t="s">
        <v>16271</v>
      </c>
      <c r="VZE1" s="331" t="s">
        <v>16272</v>
      </c>
      <c r="VZF1" s="331" t="s">
        <v>16273</v>
      </c>
      <c r="VZG1" s="331" t="s">
        <v>16274</v>
      </c>
      <c r="VZH1" s="331" t="s">
        <v>16275</v>
      </c>
      <c r="VZI1" s="331" t="s">
        <v>16276</v>
      </c>
      <c r="VZJ1" s="331" t="s">
        <v>16277</v>
      </c>
      <c r="VZK1" s="331" t="s">
        <v>16278</v>
      </c>
      <c r="VZL1" s="331" t="s">
        <v>16279</v>
      </c>
      <c r="VZM1" s="331" t="s">
        <v>16280</v>
      </c>
      <c r="VZN1" s="331" t="s">
        <v>16281</v>
      </c>
      <c r="VZO1" s="331" t="s">
        <v>16282</v>
      </c>
      <c r="VZP1" s="331" t="s">
        <v>16283</v>
      </c>
      <c r="VZQ1" s="331" t="s">
        <v>16284</v>
      </c>
      <c r="VZR1" s="331" t="s">
        <v>16285</v>
      </c>
      <c r="VZS1" s="331" t="s">
        <v>16286</v>
      </c>
      <c r="VZT1" s="331" t="s">
        <v>16287</v>
      </c>
      <c r="VZU1" s="331" t="s">
        <v>16288</v>
      </c>
      <c r="VZV1" s="331" t="s">
        <v>16289</v>
      </c>
      <c r="VZW1" s="331" t="s">
        <v>16290</v>
      </c>
      <c r="VZX1" s="331" t="s">
        <v>16291</v>
      </c>
      <c r="VZY1" s="331" t="s">
        <v>16292</v>
      </c>
      <c r="VZZ1" s="331" t="s">
        <v>16293</v>
      </c>
      <c r="WAA1" s="331" t="s">
        <v>16294</v>
      </c>
      <c r="WAB1" s="331" t="s">
        <v>16295</v>
      </c>
      <c r="WAC1" s="331" t="s">
        <v>16296</v>
      </c>
      <c r="WAD1" s="331" t="s">
        <v>16297</v>
      </c>
      <c r="WAE1" s="331" t="s">
        <v>16298</v>
      </c>
      <c r="WAF1" s="331" t="s">
        <v>16299</v>
      </c>
      <c r="WAG1" s="331" t="s">
        <v>16300</v>
      </c>
      <c r="WAH1" s="331" t="s">
        <v>16301</v>
      </c>
      <c r="WAI1" s="331" t="s">
        <v>16302</v>
      </c>
      <c r="WAJ1" s="331" t="s">
        <v>16303</v>
      </c>
      <c r="WAK1" s="331" t="s">
        <v>16304</v>
      </c>
      <c r="WAL1" s="331" t="s">
        <v>16305</v>
      </c>
      <c r="WAM1" s="331" t="s">
        <v>16306</v>
      </c>
      <c r="WAN1" s="331" t="s">
        <v>16307</v>
      </c>
      <c r="WAO1" s="331" t="s">
        <v>16308</v>
      </c>
      <c r="WAP1" s="331" t="s">
        <v>16309</v>
      </c>
      <c r="WAQ1" s="331" t="s">
        <v>16310</v>
      </c>
      <c r="WAR1" s="331" t="s">
        <v>16311</v>
      </c>
      <c r="WAS1" s="331" t="s">
        <v>16312</v>
      </c>
      <c r="WAT1" s="331" t="s">
        <v>16313</v>
      </c>
      <c r="WAU1" s="331" t="s">
        <v>16314</v>
      </c>
      <c r="WAV1" s="331" t="s">
        <v>16315</v>
      </c>
      <c r="WAW1" s="331" t="s">
        <v>16316</v>
      </c>
      <c r="WAX1" s="331" t="s">
        <v>16317</v>
      </c>
      <c r="WAY1" s="331" t="s">
        <v>16318</v>
      </c>
      <c r="WAZ1" s="331" t="s">
        <v>16319</v>
      </c>
      <c r="WBA1" s="331" t="s">
        <v>16320</v>
      </c>
      <c r="WBB1" s="331" t="s">
        <v>16321</v>
      </c>
      <c r="WBC1" s="331" t="s">
        <v>16322</v>
      </c>
      <c r="WBD1" s="331" t="s">
        <v>16323</v>
      </c>
      <c r="WBE1" s="331" t="s">
        <v>16324</v>
      </c>
      <c r="WBF1" s="331" t="s">
        <v>16325</v>
      </c>
      <c r="WBG1" s="331" t="s">
        <v>16326</v>
      </c>
      <c r="WBH1" s="331" t="s">
        <v>16327</v>
      </c>
      <c r="WBI1" s="331" t="s">
        <v>16328</v>
      </c>
      <c r="WBJ1" s="331" t="s">
        <v>16329</v>
      </c>
      <c r="WBK1" s="331" t="s">
        <v>16330</v>
      </c>
      <c r="WBL1" s="331" t="s">
        <v>16331</v>
      </c>
      <c r="WBM1" s="331" t="s">
        <v>16332</v>
      </c>
      <c r="WBN1" s="331" t="s">
        <v>16333</v>
      </c>
      <c r="WBO1" s="331" t="s">
        <v>16334</v>
      </c>
      <c r="WBP1" s="331" t="s">
        <v>16335</v>
      </c>
      <c r="WBQ1" s="331" t="s">
        <v>16336</v>
      </c>
      <c r="WBR1" s="331" t="s">
        <v>16337</v>
      </c>
      <c r="WBS1" s="331" t="s">
        <v>16338</v>
      </c>
      <c r="WBT1" s="331" t="s">
        <v>16339</v>
      </c>
      <c r="WBU1" s="331" t="s">
        <v>16340</v>
      </c>
      <c r="WBV1" s="331" t="s">
        <v>16341</v>
      </c>
      <c r="WBW1" s="331" t="s">
        <v>16342</v>
      </c>
      <c r="WBX1" s="331" t="s">
        <v>16343</v>
      </c>
      <c r="WBY1" s="331" t="s">
        <v>16344</v>
      </c>
      <c r="WBZ1" s="331" t="s">
        <v>16345</v>
      </c>
      <c r="WCA1" s="331" t="s">
        <v>16346</v>
      </c>
      <c r="WCB1" s="331" t="s">
        <v>16347</v>
      </c>
      <c r="WCC1" s="331" t="s">
        <v>16348</v>
      </c>
      <c r="WCD1" s="331" t="s">
        <v>16349</v>
      </c>
      <c r="WCE1" s="331" t="s">
        <v>16350</v>
      </c>
      <c r="WCF1" s="331" t="s">
        <v>16351</v>
      </c>
      <c r="WCG1" s="331" t="s">
        <v>16352</v>
      </c>
      <c r="WCH1" s="331" t="s">
        <v>16353</v>
      </c>
      <c r="WCI1" s="331" t="s">
        <v>16354</v>
      </c>
      <c r="WCJ1" s="331" t="s">
        <v>16355</v>
      </c>
      <c r="WCK1" s="331" t="s">
        <v>16356</v>
      </c>
      <c r="WCL1" s="331" t="s">
        <v>16357</v>
      </c>
      <c r="WCM1" s="331" t="s">
        <v>16358</v>
      </c>
      <c r="WCN1" s="331" t="s">
        <v>16359</v>
      </c>
      <c r="WCO1" s="331" t="s">
        <v>16360</v>
      </c>
      <c r="WCP1" s="331" t="s">
        <v>16361</v>
      </c>
      <c r="WCQ1" s="331" t="s">
        <v>16362</v>
      </c>
      <c r="WCR1" s="331" t="s">
        <v>16363</v>
      </c>
      <c r="WCS1" s="331" t="s">
        <v>16364</v>
      </c>
      <c r="WCT1" s="331" t="s">
        <v>16365</v>
      </c>
      <c r="WCU1" s="331" t="s">
        <v>16366</v>
      </c>
      <c r="WCV1" s="331" t="s">
        <v>16367</v>
      </c>
      <c r="WCW1" s="331" t="s">
        <v>16368</v>
      </c>
      <c r="WCX1" s="331" t="s">
        <v>16369</v>
      </c>
      <c r="WCY1" s="331" t="s">
        <v>16370</v>
      </c>
      <c r="WCZ1" s="331" t="s">
        <v>16371</v>
      </c>
      <c r="WDA1" s="331" t="s">
        <v>16372</v>
      </c>
      <c r="WDB1" s="331" t="s">
        <v>16373</v>
      </c>
      <c r="WDC1" s="331" t="s">
        <v>16374</v>
      </c>
      <c r="WDD1" s="331" t="s">
        <v>16375</v>
      </c>
      <c r="WDE1" s="331" t="s">
        <v>16376</v>
      </c>
      <c r="WDF1" s="331" t="s">
        <v>16377</v>
      </c>
      <c r="WDG1" s="331" t="s">
        <v>16378</v>
      </c>
      <c r="WDH1" s="331" t="s">
        <v>16379</v>
      </c>
      <c r="WDI1" s="331" t="s">
        <v>16380</v>
      </c>
      <c r="WDJ1" s="331" t="s">
        <v>16381</v>
      </c>
      <c r="WDK1" s="331" t="s">
        <v>16382</v>
      </c>
      <c r="WDL1" s="331" t="s">
        <v>16383</v>
      </c>
      <c r="WDM1" s="331" t="s">
        <v>16384</v>
      </c>
      <c r="WDN1" s="331" t="s">
        <v>16385</v>
      </c>
      <c r="WDO1" s="331" t="s">
        <v>16386</v>
      </c>
      <c r="WDP1" s="331" t="s">
        <v>16387</v>
      </c>
      <c r="WDQ1" s="331" t="s">
        <v>16388</v>
      </c>
      <c r="WDR1" s="331" t="s">
        <v>16389</v>
      </c>
      <c r="WDS1" s="331" t="s">
        <v>16390</v>
      </c>
      <c r="WDT1" s="331" t="s">
        <v>16391</v>
      </c>
      <c r="WDU1" s="331" t="s">
        <v>16392</v>
      </c>
      <c r="WDV1" s="331" t="s">
        <v>16393</v>
      </c>
      <c r="WDW1" s="331" t="s">
        <v>16394</v>
      </c>
      <c r="WDX1" s="331" t="s">
        <v>16395</v>
      </c>
      <c r="WDY1" s="331" t="s">
        <v>16396</v>
      </c>
      <c r="WDZ1" s="331" t="s">
        <v>16397</v>
      </c>
      <c r="WEA1" s="331" t="s">
        <v>16398</v>
      </c>
      <c r="WEB1" s="331" t="s">
        <v>16399</v>
      </c>
      <c r="WEC1" s="331" t="s">
        <v>16400</v>
      </c>
      <c r="WED1" s="331" t="s">
        <v>16401</v>
      </c>
      <c r="WEE1" s="331" t="s">
        <v>16402</v>
      </c>
      <c r="WEF1" s="331" t="s">
        <v>16403</v>
      </c>
      <c r="WEG1" s="331" t="s">
        <v>16404</v>
      </c>
      <c r="WEH1" s="331" t="s">
        <v>16405</v>
      </c>
      <c r="WEI1" s="331" t="s">
        <v>16406</v>
      </c>
      <c r="WEJ1" s="331" t="s">
        <v>16407</v>
      </c>
      <c r="WEK1" s="331" t="s">
        <v>16408</v>
      </c>
      <c r="WEL1" s="331" t="s">
        <v>16409</v>
      </c>
      <c r="WEM1" s="331" t="s">
        <v>16410</v>
      </c>
      <c r="WEN1" s="331" t="s">
        <v>16411</v>
      </c>
      <c r="WEO1" s="331" t="s">
        <v>16412</v>
      </c>
      <c r="WEP1" s="331" t="s">
        <v>16413</v>
      </c>
      <c r="WEQ1" s="331" t="s">
        <v>16414</v>
      </c>
      <c r="WER1" s="331" t="s">
        <v>16415</v>
      </c>
      <c r="WES1" s="331" t="s">
        <v>16416</v>
      </c>
      <c r="WET1" s="331" t="s">
        <v>16417</v>
      </c>
      <c r="WEU1" s="331" t="s">
        <v>16418</v>
      </c>
      <c r="WEV1" s="331" t="s">
        <v>16419</v>
      </c>
      <c r="WEW1" s="331" t="s">
        <v>16420</v>
      </c>
      <c r="WEX1" s="331" t="s">
        <v>16421</v>
      </c>
      <c r="WEY1" s="331" t="s">
        <v>16422</v>
      </c>
      <c r="WEZ1" s="331" t="s">
        <v>16423</v>
      </c>
      <c r="WFA1" s="331" t="s">
        <v>16424</v>
      </c>
      <c r="WFB1" s="331" t="s">
        <v>16425</v>
      </c>
      <c r="WFC1" s="331" t="s">
        <v>16426</v>
      </c>
      <c r="WFD1" s="331" t="s">
        <v>16427</v>
      </c>
      <c r="WFE1" s="331" t="s">
        <v>16428</v>
      </c>
      <c r="WFF1" s="331" t="s">
        <v>16429</v>
      </c>
      <c r="WFG1" s="331" t="s">
        <v>16430</v>
      </c>
      <c r="WFH1" s="331" t="s">
        <v>16431</v>
      </c>
      <c r="WFI1" s="331" t="s">
        <v>16432</v>
      </c>
      <c r="WFJ1" s="331" t="s">
        <v>16433</v>
      </c>
      <c r="WFK1" s="331" t="s">
        <v>16434</v>
      </c>
      <c r="WFL1" s="331" t="s">
        <v>16435</v>
      </c>
      <c r="WFM1" s="331" t="s">
        <v>16436</v>
      </c>
      <c r="WFN1" s="331" t="s">
        <v>16437</v>
      </c>
      <c r="WFO1" s="331" t="s">
        <v>16438</v>
      </c>
      <c r="WFP1" s="331" t="s">
        <v>16439</v>
      </c>
      <c r="WFQ1" s="331" t="s">
        <v>16440</v>
      </c>
      <c r="WFR1" s="331" t="s">
        <v>16441</v>
      </c>
      <c r="WFS1" s="331" t="s">
        <v>16442</v>
      </c>
      <c r="WFT1" s="331" t="s">
        <v>16443</v>
      </c>
      <c r="WFU1" s="331" t="s">
        <v>16444</v>
      </c>
      <c r="WFV1" s="331" t="s">
        <v>16445</v>
      </c>
      <c r="WFW1" s="331" t="s">
        <v>16446</v>
      </c>
      <c r="WFX1" s="331" t="s">
        <v>16447</v>
      </c>
      <c r="WFY1" s="331" t="s">
        <v>16448</v>
      </c>
      <c r="WFZ1" s="331" t="s">
        <v>16449</v>
      </c>
      <c r="WGA1" s="331" t="s">
        <v>16450</v>
      </c>
      <c r="WGB1" s="331" t="s">
        <v>16451</v>
      </c>
      <c r="WGC1" s="331" t="s">
        <v>16452</v>
      </c>
      <c r="WGD1" s="331" t="s">
        <v>16453</v>
      </c>
      <c r="WGE1" s="331" t="s">
        <v>16454</v>
      </c>
      <c r="WGF1" s="331" t="s">
        <v>16455</v>
      </c>
      <c r="WGG1" s="331" t="s">
        <v>16456</v>
      </c>
      <c r="WGH1" s="331" t="s">
        <v>16457</v>
      </c>
      <c r="WGI1" s="331" t="s">
        <v>16458</v>
      </c>
      <c r="WGJ1" s="331" t="s">
        <v>16459</v>
      </c>
      <c r="WGK1" s="331" t="s">
        <v>16460</v>
      </c>
      <c r="WGL1" s="331" t="s">
        <v>16461</v>
      </c>
      <c r="WGM1" s="331" t="s">
        <v>16462</v>
      </c>
      <c r="WGN1" s="331" t="s">
        <v>16463</v>
      </c>
      <c r="WGO1" s="331" t="s">
        <v>16464</v>
      </c>
      <c r="WGP1" s="331" t="s">
        <v>16465</v>
      </c>
      <c r="WGQ1" s="331" t="s">
        <v>16466</v>
      </c>
      <c r="WGR1" s="331" t="s">
        <v>16467</v>
      </c>
      <c r="WGS1" s="331" t="s">
        <v>16468</v>
      </c>
      <c r="WGT1" s="331" t="s">
        <v>16469</v>
      </c>
      <c r="WGU1" s="331" t="s">
        <v>16470</v>
      </c>
      <c r="WGV1" s="331" t="s">
        <v>16471</v>
      </c>
      <c r="WGW1" s="331" t="s">
        <v>16472</v>
      </c>
      <c r="WGX1" s="331" t="s">
        <v>16473</v>
      </c>
      <c r="WGY1" s="331" t="s">
        <v>16474</v>
      </c>
      <c r="WGZ1" s="331" t="s">
        <v>16475</v>
      </c>
      <c r="WHA1" s="331" t="s">
        <v>16476</v>
      </c>
      <c r="WHB1" s="331" t="s">
        <v>16477</v>
      </c>
      <c r="WHC1" s="331" t="s">
        <v>16478</v>
      </c>
      <c r="WHD1" s="331" t="s">
        <v>16479</v>
      </c>
      <c r="WHE1" s="331" t="s">
        <v>16480</v>
      </c>
      <c r="WHF1" s="331" t="s">
        <v>16481</v>
      </c>
      <c r="WHG1" s="331" t="s">
        <v>16482</v>
      </c>
      <c r="WHH1" s="331" t="s">
        <v>16483</v>
      </c>
      <c r="WHI1" s="331" t="s">
        <v>16484</v>
      </c>
      <c r="WHJ1" s="331" t="s">
        <v>16485</v>
      </c>
      <c r="WHK1" s="331" t="s">
        <v>16486</v>
      </c>
      <c r="WHL1" s="331" t="s">
        <v>16487</v>
      </c>
      <c r="WHM1" s="331" t="s">
        <v>16488</v>
      </c>
      <c r="WHN1" s="331" t="s">
        <v>16489</v>
      </c>
      <c r="WHO1" s="331" t="s">
        <v>16490</v>
      </c>
      <c r="WHP1" s="331" t="s">
        <v>16491</v>
      </c>
      <c r="WHQ1" s="331" t="s">
        <v>16492</v>
      </c>
      <c r="WHR1" s="331" t="s">
        <v>16493</v>
      </c>
      <c r="WHS1" s="331" t="s">
        <v>16494</v>
      </c>
      <c r="WHT1" s="331" t="s">
        <v>16495</v>
      </c>
      <c r="WHU1" s="331" t="s">
        <v>16496</v>
      </c>
      <c r="WHV1" s="331" t="s">
        <v>16497</v>
      </c>
      <c r="WHW1" s="331" t="s">
        <v>16498</v>
      </c>
      <c r="WHX1" s="331" t="s">
        <v>16499</v>
      </c>
      <c r="WHY1" s="331" t="s">
        <v>16500</v>
      </c>
      <c r="WHZ1" s="331" t="s">
        <v>16501</v>
      </c>
      <c r="WIA1" s="331" t="s">
        <v>16502</v>
      </c>
      <c r="WIB1" s="331" t="s">
        <v>16503</v>
      </c>
      <c r="WIC1" s="331" t="s">
        <v>16504</v>
      </c>
      <c r="WID1" s="331" t="s">
        <v>16505</v>
      </c>
      <c r="WIE1" s="331" t="s">
        <v>16506</v>
      </c>
      <c r="WIF1" s="331" t="s">
        <v>16507</v>
      </c>
      <c r="WIG1" s="331" t="s">
        <v>16508</v>
      </c>
      <c r="WIH1" s="331" t="s">
        <v>16509</v>
      </c>
      <c r="WII1" s="331" t="s">
        <v>16510</v>
      </c>
      <c r="WIJ1" s="331" t="s">
        <v>16511</v>
      </c>
      <c r="WIK1" s="331" t="s">
        <v>16512</v>
      </c>
      <c r="WIL1" s="331" t="s">
        <v>16513</v>
      </c>
      <c r="WIM1" s="331" t="s">
        <v>16514</v>
      </c>
      <c r="WIN1" s="331" t="s">
        <v>16515</v>
      </c>
      <c r="WIO1" s="331" t="s">
        <v>16516</v>
      </c>
      <c r="WIP1" s="331" t="s">
        <v>16517</v>
      </c>
      <c r="WIQ1" s="331" t="s">
        <v>16518</v>
      </c>
      <c r="WIR1" s="331" t="s">
        <v>16519</v>
      </c>
      <c r="WIS1" s="331" t="s">
        <v>16520</v>
      </c>
      <c r="WIT1" s="331" t="s">
        <v>16521</v>
      </c>
      <c r="WIU1" s="331" t="s">
        <v>16522</v>
      </c>
      <c r="WIV1" s="331" t="s">
        <v>16523</v>
      </c>
      <c r="WIW1" s="331" t="s">
        <v>16524</v>
      </c>
      <c r="WIX1" s="331" t="s">
        <v>16525</v>
      </c>
      <c r="WIY1" s="331" t="s">
        <v>16526</v>
      </c>
      <c r="WIZ1" s="331" t="s">
        <v>16527</v>
      </c>
      <c r="WJA1" s="331" t="s">
        <v>16528</v>
      </c>
      <c r="WJB1" s="331" t="s">
        <v>16529</v>
      </c>
      <c r="WJC1" s="331" t="s">
        <v>16530</v>
      </c>
      <c r="WJD1" s="331" t="s">
        <v>16531</v>
      </c>
      <c r="WJE1" s="331" t="s">
        <v>16532</v>
      </c>
      <c r="WJF1" s="331" t="s">
        <v>16533</v>
      </c>
      <c r="WJG1" s="331" t="s">
        <v>16534</v>
      </c>
      <c r="WJH1" s="331" t="s">
        <v>16535</v>
      </c>
      <c r="WJI1" s="331" t="s">
        <v>16536</v>
      </c>
      <c r="WJJ1" s="331" t="s">
        <v>16537</v>
      </c>
      <c r="WJK1" s="331" t="s">
        <v>16538</v>
      </c>
      <c r="WJL1" s="331" t="s">
        <v>16539</v>
      </c>
      <c r="WJM1" s="331" t="s">
        <v>16540</v>
      </c>
      <c r="WJN1" s="331" t="s">
        <v>16541</v>
      </c>
      <c r="WJO1" s="331" t="s">
        <v>16542</v>
      </c>
      <c r="WJP1" s="331" t="s">
        <v>16543</v>
      </c>
      <c r="WJQ1" s="331" t="s">
        <v>16544</v>
      </c>
      <c r="WJR1" s="331" t="s">
        <v>16545</v>
      </c>
      <c r="WJS1" s="331" t="s">
        <v>16546</v>
      </c>
      <c r="WJT1" s="331" t="s">
        <v>16547</v>
      </c>
      <c r="WJU1" s="331" t="s">
        <v>16548</v>
      </c>
      <c r="WJV1" s="331" t="s">
        <v>16549</v>
      </c>
      <c r="WJW1" s="331" t="s">
        <v>16550</v>
      </c>
      <c r="WJX1" s="331" t="s">
        <v>16551</v>
      </c>
      <c r="WJY1" s="331" t="s">
        <v>16552</v>
      </c>
      <c r="WJZ1" s="331" t="s">
        <v>16553</v>
      </c>
      <c r="WKA1" s="331" t="s">
        <v>16554</v>
      </c>
      <c r="WKB1" s="331" t="s">
        <v>16555</v>
      </c>
      <c r="WKC1" s="331" t="s">
        <v>16556</v>
      </c>
      <c r="WKD1" s="331" t="s">
        <v>16557</v>
      </c>
      <c r="WKE1" s="331" t="s">
        <v>16558</v>
      </c>
      <c r="WKF1" s="331" t="s">
        <v>16559</v>
      </c>
      <c r="WKG1" s="331" t="s">
        <v>16560</v>
      </c>
      <c r="WKH1" s="331" t="s">
        <v>16561</v>
      </c>
      <c r="WKI1" s="331" t="s">
        <v>16562</v>
      </c>
      <c r="WKJ1" s="331" t="s">
        <v>16563</v>
      </c>
      <c r="WKK1" s="331" t="s">
        <v>16564</v>
      </c>
      <c r="WKL1" s="331" t="s">
        <v>16565</v>
      </c>
      <c r="WKM1" s="331" t="s">
        <v>16566</v>
      </c>
      <c r="WKN1" s="331" t="s">
        <v>16567</v>
      </c>
      <c r="WKO1" s="331" t="s">
        <v>16568</v>
      </c>
      <c r="WKP1" s="331" t="s">
        <v>16569</v>
      </c>
      <c r="WKQ1" s="331" t="s">
        <v>16570</v>
      </c>
      <c r="WKR1" s="331" t="s">
        <v>16571</v>
      </c>
      <c r="WKS1" s="331" t="s">
        <v>16572</v>
      </c>
      <c r="WKT1" s="331" t="s">
        <v>16573</v>
      </c>
      <c r="WKU1" s="331" t="s">
        <v>16574</v>
      </c>
      <c r="WKV1" s="331" t="s">
        <v>16575</v>
      </c>
      <c r="WKW1" s="331" t="s">
        <v>16576</v>
      </c>
      <c r="WKX1" s="331" t="s">
        <v>16577</v>
      </c>
      <c r="WKY1" s="331" t="s">
        <v>16578</v>
      </c>
      <c r="WKZ1" s="331" t="s">
        <v>16579</v>
      </c>
      <c r="WLA1" s="331" t="s">
        <v>16580</v>
      </c>
      <c r="WLB1" s="331" t="s">
        <v>16581</v>
      </c>
      <c r="WLC1" s="331" t="s">
        <v>16582</v>
      </c>
      <c r="WLD1" s="331" t="s">
        <v>16583</v>
      </c>
      <c r="WLE1" s="331" t="s">
        <v>16584</v>
      </c>
      <c r="WLF1" s="331" t="s">
        <v>16585</v>
      </c>
      <c r="WLG1" s="331" t="s">
        <v>16586</v>
      </c>
      <c r="WLH1" s="331" t="s">
        <v>16587</v>
      </c>
      <c r="WLI1" s="331" t="s">
        <v>16588</v>
      </c>
      <c r="WLJ1" s="331" t="s">
        <v>16589</v>
      </c>
      <c r="WLK1" s="331" t="s">
        <v>16590</v>
      </c>
      <c r="WLL1" s="331" t="s">
        <v>16591</v>
      </c>
      <c r="WLM1" s="331" t="s">
        <v>16592</v>
      </c>
      <c r="WLN1" s="331" t="s">
        <v>16593</v>
      </c>
      <c r="WLO1" s="331" t="s">
        <v>16594</v>
      </c>
      <c r="WLP1" s="331" t="s">
        <v>16595</v>
      </c>
      <c r="WLQ1" s="331" t="s">
        <v>16596</v>
      </c>
      <c r="WLR1" s="331" t="s">
        <v>16597</v>
      </c>
      <c r="WLS1" s="331" t="s">
        <v>16598</v>
      </c>
      <c r="WLT1" s="331" t="s">
        <v>16599</v>
      </c>
      <c r="WLU1" s="331" t="s">
        <v>16600</v>
      </c>
      <c r="WLV1" s="331" t="s">
        <v>16601</v>
      </c>
      <c r="WLW1" s="331" t="s">
        <v>16602</v>
      </c>
      <c r="WLX1" s="331" t="s">
        <v>16603</v>
      </c>
      <c r="WLY1" s="331" t="s">
        <v>16604</v>
      </c>
      <c r="WLZ1" s="331" t="s">
        <v>16605</v>
      </c>
      <c r="WMA1" s="331" t="s">
        <v>16606</v>
      </c>
      <c r="WMB1" s="331" t="s">
        <v>16607</v>
      </c>
      <c r="WMC1" s="331" t="s">
        <v>16608</v>
      </c>
      <c r="WMD1" s="331" t="s">
        <v>16609</v>
      </c>
      <c r="WME1" s="331" t="s">
        <v>16610</v>
      </c>
      <c r="WMF1" s="331" t="s">
        <v>16611</v>
      </c>
      <c r="WMG1" s="331" t="s">
        <v>16612</v>
      </c>
      <c r="WMH1" s="331" t="s">
        <v>16613</v>
      </c>
      <c r="WMI1" s="331" t="s">
        <v>16614</v>
      </c>
      <c r="WMJ1" s="331" t="s">
        <v>16615</v>
      </c>
      <c r="WMK1" s="331" t="s">
        <v>16616</v>
      </c>
      <c r="WML1" s="331" t="s">
        <v>16617</v>
      </c>
      <c r="WMM1" s="331" t="s">
        <v>16618</v>
      </c>
      <c r="WMN1" s="331" t="s">
        <v>16619</v>
      </c>
      <c r="WMO1" s="331" t="s">
        <v>16620</v>
      </c>
      <c r="WMP1" s="331" t="s">
        <v>16621</v>
      </c>
      <c r="WMQ1" s="331" t="s">
        <v>16622</v>
      </c>
      <c r="WMR1" s="331" t="s">
        <v>16623</v>
      </c>
      <c r="WMS1" s="331" t="s">
        <v>16624</v>
      </c>
      <c r="WMT1" s="331" t="s">
        <v>16625</v>
      </c>
      <c r="WMU1" s="331" t="s">
        <v>16626</v>
      </c>
      <c r="WMV1" s="331" t="s">
        <v>16627</v>
      </c>
      <c r="WMW1" s="331" t="s">
        <v>16628</v>
      </c>
      <c r="WMX1" s="331" t="s">
        <v>16629</v>
      </c>
      <c r="WMY1" s="331" t="s">
        <v>16630</v>
      </c>
      <c r="WMZ1" s="331" t="s">
        <v>16631</v>
      </c>
      <c r="WNA1" s="331" t="s">
        <v>16632</v>
      </c>
      <c r="WNB1" s="331" t="s">
        <v>16633</v>
      </c>
      <c r="WNC1" s="331" t="s">
        <v>16634</v>
      </c>
      <c r="WND1" s="331" t="s">
        <v>16635</v>
      </c>
      <c r="WNE1" s="331" t="s">
        <v>16636</v>
      </c>
      <c r="WNF1" s="331" t="s">
        <v>16637</v>
      </c>
      <c r="WNG1" s="331" t="s">
        <v>16638</v>
      </c>
      <c r="WNH1" s="331" t="s">
        <v>16639</v>
      </c>
      <c r="WNI1" s="331" t="s">
        <v>16640</v>
      </c>
      <c r="WNJ1" s="331" t="s">
        <v>16641</v>
      </c>
      <c r="WNK1" s="331" t="s">
        <v>16642</v>
      </c>
      <c r="WNL1" s="331" t="s">
        <v>16643</v>
      </c>
      <c r="WNM1" s="331" t="s">
        <v>16644</v>
      </c>
      <c r="WNN1" s="331" t="s">
        <v>16645</v>
      </c>
      <c r="WNO1" s="331" t="s">
        <v>16646</v>
      </c>
      <c r="WNP1" s="331" t="s">
        <v>16647</v>
      </c>
      <c r="WNQ1" s="331" t="s">
        <v>16648</v>
      </c>
      <c r="WNR1" s="331" t="s">
        <v>16649</v>
      </c>
      <c r="WNS1" s="331" t="s">
        <v>16650</v>
      </c>
      <c r="WNT1" s="331" t="s">
        <v>16651</v>
      </c>
      <c r="WNU1" s="331" t="s">
        <v>16652</v>
      </c>
      <c r="WNV1" s="331" t="s">
        <v>16653</v>
      </c>
      <c r="WNW1" s="331" t="s">
        <v>16654</v>
      </c>
      <c r="WNX1" s="331" t="s">
        <v>16655</v>
      </c>
      <c r="WNY1" s="331" t="s">
        <v>16656</v>
      </c>
      <c r="WNZ1" s="331" t="s">
        <v>16657</v>
      </c>
      <c r="WOA1" s="331" t="s">
        <v>16658</v>
      </c>
      <c r="WOB1" s="331" t="s">
        <v>16659</v>
      </c>
      <c r="WOC1" s="331" t="s">
        <v>16660</v>
      </c>
      <c r="WOD1" s="331" t="s">
        <v>16661</v>
      </c>
      <c r="WOE1" s="331" t="s">
        <v>16662</v>
      </c>
      <c r="WOF1" s="331" t="s">
        <v>16663</v>
      </c>
      <c r="WOG1" s="331" t="s">
        <v>16664</v>
      </c>
      <c r="WOH1" s="331" t="s">
        <v>16665</v>
      </c>
      <c r="WOI1" s="331" t="s">
        <v>16666</v>
      </c>
      <c r="WOJ1" s="331" t="s">
        <v>16667</v>
      </c>
      <c r="WOK1" s="331" t="s">
        <v>16668</v>
      </c>
      <c r="WOL1" s="331" t="s">
        <v>16669</v>
      </c>
      <c r="WOM1" s="331" t="s">
        <v>16670</v>
      </c>
      <c r="WON1" s="331" t="s">
        <v>16671</v>
      </c>
      <c r="WOO1" s="331" t="s">
        <v>16672</v>
      </c>
      <c r="WOP1" s="331" t="s">
        <v>16673</v>
      </c>
      <c r="WOQ1" s="331" t="s">
        <v>16674</v>
      </c>
      <c r="WOR1" s="331" t="s">
        <v>16675</v>
      </c>
      <c r="WOS1" s="331" t="s">
        <v>16676</v>
      </c>
      <c r="WOT1" s="331" t="s">
        <v>16677</v>
      </c>
      <c r="WOU1" s="331" t="s">
        <v>16678</v>
      </c>
      <c r="WOV1" s="331" t="s">
        <v>16679</v>
      </c>
      <c r="WOW1" s="331" t="s">
        <v>16680</v>
      </c>
      <c r="WOX1" s="331" t="s">
        <v>16681</v>
      </c>
      <c r="WOY1" s="331" t="s">
        <v>16682</v>
      </c>
      <c r="WOZ1" s="331" t="s">
        <v>16683</v>
      </c>
      <c r="WPA1" s="331" t="s">
        <v>16684</v>
      </c>
      <c r="WPB1" s="331" t="s">
        <v>16685</v>
      </c>
      <c r="WPC1" s="331" t="s">
        <v>16686</v>
      </c>
      <c r="WPD1" s="331" t="s">
        <v>16687</v>
      </c>
      <c r="WPE1" s="331" t="s">
        <v>16688</v>
      </c>
      <c r="WPF1" s="331" t="s">
        <v>16689</v>
      </c>
      <c r="WPG1" s="331" t="s">
        <v>16690</v>
      </c>
      <c r="WPH1" s="331" t="s">
        <v>16691</v>
      </c>
      <c r="WPI1" s="331" t="s">
        <v>16692</v>
      </c>
      <c r="WPJ1" s="331" t="s">
        <v>16693</v>
      </c>
      <c r="WPK1" s="331" t="s">
        <v>16694</v>
      </c>
      <c r="WPL1" s="331" t="s">
        <v>16695</v>
      </c>
      <c r="WPM1" s="331" t="s">
        <v>16696</v>
      </c>
      <c r="WPN1" s="331" t="s">
        <v>16697</v>
      </c>
      <c r="WPO1" s="331" t="s">
        <v>16698</v>
      </c>
      <c r="WPP1" s="331" t="s">
        <v>16699</v>
      </c>
      <c r="WPQ1" s="331" t="s">
        <v>16700</v>
      </c>
      <c r="WPR1" s="331" t="s">
        <v>16701</v>
      </c>
      <c r="WPS1" s="331" t="s">
        <v>16702</v>
      </c>
      <c r="WPT1" s="331" t="s">
        <v>16703</v>
      </c>
      <c r="WPU1" s="331" t="s">
        <v>16704</v>
      </c>
      <c r="WPV1" s="331" t="s">
        <v>16705</v>
      </c>
      <c r="WPW1" s="331" t="s">
        <v>16706</v>
      </c>
      <c r="WPX1" s="331" t="s">
        <v>16707</v>
      </c>
      <c r="WPY1" s="331" t="s">
        <v>16708</v>
      </c>
      <c r="WPZ1" s="331" t="s">
        <v>16709</v>
      </c>
      <c r="WQA1" s="331" t="s">
        <v>16710</v>
      </c>
      <c r="WQB1" s="331" t="s">
        <v>16711</v>
      </c>
      <c r="WQC1" s="331" t="s">
        <v>16712</v>
      </c>
      <c r="WQD1" s="331" t="s">
        <v>16713</v>
      </c>
      <c r="WQE1" s="331" t="s">
        <v>16714</v>
      </c>
      <c r="WQF1" s="331" t="s">
        <v>16715</v>
      </c>
      <c r="WQG1" s="331" t="s">
        <v>16716</v>
      </c>
      <c r="WQH1" s="331" t="s">
        <v>16717</v>
      </c>
      <c r="WQI1" s="331" t="s">
        <v>16718</v>
      </c>
      <c r="WQJ1" s="331" t="s">
        <v>16719</v>
      </c>
      <c r="WQK1" s="331" t="s">
        <v>16720</v>
      </c>
      <c r="WQL1" s="331" t="s">
        <v>16721</v>
      </c>
      <c r="WQM1" s="331" t="s">
        <v>16722</v>
      </c>
      <c r="WQN1" s="331" t="s">
        <v>16723</v>
      </c>
      <c r="WQO1" s="331" t="s">
        <v>16724</v>
      </c>
      <c r="WQP1" s="331" t="s">
        <v>16725</v>
      </c>
      <c r="WQQ1" s="331" t="s">
        <v>16726</v>
      </c>
      <c r="WQR1" s="331" t="s">
        <v>16727</v>
      </c>
      <c r="WQS1" s="331" t="s">
        <v>16728</v>
      </c>
      <c r="WQT1" s="331" t="s">
        <v>16729</v>
      </c>
      <c r="WQU1" s="331" t="s">
        <v>16730</v>
      </c>
      <c r="WQV1" s="331" t="s">
        <v>16731</v>
      </c>
      <c r="WQW1" s="331" t="s">
        <v>16732</v>
      </c>
      <c r="WQX1" s="331" t="s">
        <v>16733</v>
      </c>
      <c r="WQY1" s="331" t="s">
        <v>16734</v>
      </c>
      <c r="WQZ1" s="331" t="s">
        <v>16735</v>
      </c>
      <c r="WRA1" s="331" t="s">
        <v>16736</v>
      </c>
      <c r="WRB1" s="331" t="s">
        <v>16737</v>
      </c>
      <c r="WRC1" s="331" t="s">
        <v>16738</v>
      </c>
      <c r="WRD1" s="331" t="s">
        <v>16739</v>
      </c>
      <c r="WRE1" s="331" t="s">
        <v>16740</v>
      </c>
      <c r="WRF1" s="331" t="s">
        <v>16741</v>
      </c>
      <c r="WRG1" s="331" t="s">
        <v>16742</v>
      </c>
      <c r="WRH1" s="331" t="s">
        <v>16743</v>
      </c>
      <c r="WRI1" s="331" t="s">
        <v>16744</v>
      </c>
      <c r="WRJ1" s="331" t="s">
        <v>16745</v>
      </c>
      <c r="WRK1" s="331" t="s">
        <v>16746</v>
      </c>
      <c r="WRL1" s="331" t="s">
        <v>16747</v>
      </c>
      <c r="WRM1" s="331" t="s">
        <v>16748</v>
      </c>
      <c r="WRN1" s="331" t="s">
        <v>16749</v>
      </c>
      <c r="WRO1" s="331" t="s">
        <v>16750</v>
      </c>
      <c r="WRP1" s="331" t="s">
        <v>16751</v>
      </c>
      <c r="WRQ1" s="331" t="s">
        <v>16752</v>
      </c>
      <c r="WRR1" s="331" t="s">
        <v>16753</v>
      </c>
      <c r="WRS1" s="331" t="s">
        <v>16754</v>
      </c>
      <c r="WRT1" s="331" t="s">
        <v>16755</v>
      </c>
      <c r="WRU1" s="331" t="s">
        <v>16756</v>
      </c>
      <c r="WRV1" s="331" t="s">
        <v>16757</v>
      </c>
      <c r="WRW1" s="331" t="s">
        <v>16758</v>
      </c>
      <c r="WRX1" s="331" t="s">
        <v>16759</v>
      </c>
      <c r="WRY1" s="331" t="s">
        <v>16760</v>
      </c>
      <c r="WRZ1" s="331" t="s">
        <v>16761</v>
      </c>
      <c r="WSA1" s="331" t="s">
        <v>16762</v>
      </c>
      <c r="WSB1" s="331" t="s">
        <v>16763</v>
      </c>
      <c r="WSC1" s="331" t="s">
        <v>16764</v>
      </c>
      <c r="WSD1" s="331" t="s">
        <v>16765</v>
      </c>
      <c r="WSE1" s="331" t="s">
        <v>16766</v>
      </c>
      <c r="WSF1" s="331" t="s">
        <v>16767</v>
      </c>
      <c r="WSG1" s="331" t="s">
        <v>16768</v>
      </c>
      <c r="WSH1" s="331" t="s">
        <v>16769</v>
      </c>
      <c r="WSI1" s="331" t="s">
        <v>16770</v>
      </c>
      <c r="WSJ1" s="331" t="s">
        <v>16771</v>
      </c>
      <c r="WSK1" s="331" t="s">
        <v>16772</v>
      </c>
      <c r="WSL1" s="331" t="s">
        <v>16773</v>
      </c>
      <c r="WSM1" s="331" t="s">
        <v>16774</v>
      </c>
      <c r="WSN1" s="331" t="s">
        <v>16775</v>
      </c>
      <c r="WSO1" s="331" t="s">
        <v>16776</v>
      </c>
      <c r="WSP1" s="331" t="s">
        <v>16777</v>
      </c>
      <c r="WSQ1" s="331" t="s">
        <v>16778</v>
      </c>
      <c r="WSR1" s="331" t="s">
        <v>16779</v>
      </c>
      <c r="WSS1" s="331" t="s">
        <v>16780</v>
      </c>
      <c r="WST1" s="331" t="s">
        <v>16781</v>
      </c>
      <c r="WSU1" s="331" t="s">
        <v>16782</v>
      </c>
      <c r="WSV1" s="331" t="s">
        <v>16783</v>
      </c>
      <c r="WSW1" s="331" t="s">
        <v>16784</v>
      </c>
      <c r="WSX1" s="331" t="s">
        <v>16785</v>
      </c>
      <c r="WSY1" s="331" t="s">
        <v>16786</v>
      </c>
      <c r="WSZ1" s="331" t="s">
        <v>16787</v>
      </c>
      <c r="WTA1" s="331" t="s">
        <v>16788</v>
      </c>
      <c r="WTB1" s="331" t="s">
        <v>16789</v>
      </c>
      <c r="WTC1" s="331" t="s">
        <v>16790</v>
      </c>
      <c r="WTD1" s="331" t="s">
        <v>16791</v>
      </c>
      <c r="WTE1" s="331" t="s">
        <v>16792</v>
      </c>
      <c r="WTF1" s="331" t="s">
        <v>16793</v>
      </c>
      <c r="WTG1" s="331" t="s">
        <v>16794</v>
      </c>
      <c r="WTH1" s="331" t="s">
        <v>16795</v>
      </c>
      <c r="WTI1" s="331" t="s">
        <v>16796</v>
      </c>
      <c r="WTJ1" s="331" t="s">
        <v>16797</v>
      </c>
      <c r="WTK1" s="331" t="s">
        <v>16798</v>
      </c>
      <c r="WTL1" s="331" t="s">
        <v>16799</v>
      </c>
      <c r="WTM1" s="331" t="s">
        <v>16800</v>
      </c>
      <c r="WTN1" s="331" t="s">
        <v>16801</v>
      </c>
      <c r="WTO1" s="331" t="s">
        <v>16802</v>
      </c>
      <c r="WTP1" s="331" t="s">
        <v>16803</v>
      </c>
      <c r="WTQ1" s="331" t="s">
        <v>16804</v>
      </c>
      <c r="WTR1" s="331" t="s">
        <v>16805</v>
      </c>
      <c r="WTS1" s="331" t="s">
        <v>16806</v>
      </c>
      <c r="WTT1" s="331" t="s">
        <v>16807</v>
      </c>
      <c r="WTU1" s="331" t="s">
        <v>16808</v>
      </c>
      <c r="WTV1" s="331" t="s">
        <v>16809</v>
      </c>
      <c r="WTW1" s="331" t="s">
        <v>16810</v>
      </c>
      <c r="WTX1" s="331" t="s">
        <v>16811</v>
      </c>
      <c r="WTY1" s="331" t="s">
        <v>16812</v>
      </c>
      <c r="WTZ1" s="331" t="s">
        <v>16813</v>
      </c>
      <c r="WUA1" s="331" t="s">
        <v>16814</v>
      </c>
      <c r="WUB1" s="331" t="s">
        <v>16815</v>
      </c>
      <c r="WUC1" s="331" t="s">
        <v>16816</v>
      </c>
      <c r="WUD1" s="331" t="s">
        <v>16817</v>
      </c>
      <c r="WUE1" s="331" t="s">
        <v>16818</v>
      </c>
      <c r="WUF1" s="331" t="s">
        <v>16819</v>
      </c>
      <c r="WUG1" s="331" t="s">
        <v>16820</v>
      </c>
      <c r="WUH1" s="331" t="s">
        <v>16821</v>
      </c>
      <c r="WUI1" s="331" t="s">
        <v>16822</v>
      </c>
      <c r="WUJ1" s="331" t="s">
        <v>16823</v>
      </c>
      <c r="WUK1" s="331" t="s">
        <v>16824</v>
      </c>
      <c r="WUL1" s="331" t="s">
        <v>16825</v>
      </c>
      <c r="WUM1" s="331" t="s">
        <v>16826</v>
      </c>
      <c r="WUN1" s="331" t="s">
        <v>16827</v>
      </c>
      <c r="WUO1" s="331" t="s">
        <v>16828</v>
      </c>
      <c r="WUP1" s="331" t="s">
        <v>16829</v>
      </c>
      <c r="WUQ1" s="331" t="s">
        <v>16830</v>
      </c>
      <c r="WUR1" s="331" t="s">
        <v>16831</v>
      </c>
      <c r="WUS1" s="331" t="s">
        <v>16832</v>
      </c>
      <c r="WUT1" s="331" t="s">
        <v>16833</v>
      </c>
      <c r="WUU1" s="331" t="s">
        <v>16834</v>
      </c>
      <c r="WUV1" s="331" t="s">
        <v>16835</v>
      </c>
      <c r="WUW1" s="331" t="s">
        <v>16836</v>
      </c>
      <c r="WUX1" s="331" t="s">
        <v>16837</v>
      </c>
      <c r="WUY1" s="331" t="s">
        <v>16838</v>
      </c>
      <c r="WUZ1" s="331" t="s">
        <v>16839</v>
      </c>
      <c r="WVA1" s="331" t="s">
        <v>16840</v>
      </c>
      <c r="WVB1" s="331" t="s">
        <v>16841</v>
      </c>
      <c r="WVC1" s="331" t="s">
        <v>16842</v>
      </c>
      <c r="WVD1" s="331" t="s">
        <v>16843</v>
      </c>
      <c r="WVE1" s="331" t="s">
        <v>16844</v>
      </c>
      <c r="WVF1" s="331" t="s">
        <v>16845</v>
      </c>
      <c r="WVG1" s="331" t="s">
        <v>16846</v>
      </c>
      <c r="WVH1" s="331" t="s">
        <v>16847</v>
      </c>
      <c r="WVI1" s="331" t="s">
        <v>16848</v>
      </c>
      <c r="WVJ1" s="331" t="s">
        <v>16849</v>
      </c>
      <c r="WVK1" s="331" t="s">
        <v>16850</v>
      </c>
      <c r="WVL1" s="331" t="s">
        <v>16851</v>
      </c>
      <c r="WVM1" s="331" t="s">
        <v>16852</v>
      </c>
      <c r="WVN1" s="331" t="s">
        <v>16853</v>
      </c>
      <c r="WVO1" s="331" t="s">
        <v>16854</v>
      </c>
      <c r="WVP1" s="331" t="s">
        <v>16855</v>
      </c>
      <c r="WVQ1" s="331" t="s">
        <v>16856</v>
      </c>
      <c r="WVR1" s="331" t="s">
        <v>16857</v>
      </c>
      <c r="WVS1" s="331" t="s">
        <v>16858</v>
      </c>
      <c r="WVT1" s="331" t="s">
        <v>16859</v>
      </c>
      <c r="WVU1" s="331" t="s">
        <v>16860</v>
      </c>
      <c r="WVV1" s="331" t="s">
        <v>16861</v>
      </c>
      <c r="WVW1" s="331" t="s">
        <v>16862</v>
      </c>
      <c r="WVX1" s="331" t="s">
        <v>16863</v>
      </c>
      <c r="WVY1" s="331" t="s">
        <v>16864</v>
      </c>
      <c r="WVZ1" s="331" t="s">
        <v>16865</v>
      </c>
      <c r="WWA1" s="331" t="s">
        <v>16866</v>
      </c>
      <c r="WWB1" s="331" t="s">
        <v>16867</v>
      </c>
      <c r="WWC1" s="331" t="s">
        <v>16868</v>
      </c>
      <c r="WWD1" s="331" t="s">
        <v>16869</v>
      </c>
      <c r="WWE1" s="331" t="s">
        <v>16870</v>
      </c>
      <c r="WWF1" s="331" t="s">
        <v>16871</v>
      </c>
      <c r="WWG1" s="331" t="s">
        <v>16872</v>
      </c>
      <c r="WWH1" s="331" t="s">
        <v>16873</v>
      </c>
      <c r="WWI1" s="331" t="s">
        <v>16874</v>
      </c>
      <c r="WWJ1" s="331" t="s">
        <v>16875</v>
      </c>
      <c r="WWK1" s="331" t="s">
        <v>16876</v>
      </c>
      <c r="WWL1" s="331" t="s">
        <v>16877</v>
      </c>
      <c r="WWM1" s="331" t="s">
        <v>16878</v>
      </c>
      <c r="WWN1" s="331" t="s">
        <v>16879</v>
      </c>
      <c r="WWO1" s="331" t="s">
        <v>16880</v>
      </c>
      <c r="WWP1" s="331" t="s">
        <v>16881</v>
      </c>
      <c r="WWQ1" s="331" t="s">
        <v>16882</v>
      </c>
      <c r="WWR1" s="331" t="s">
        <v>16883</v>
      </c>
      <c r="WWS1" s="331" t="s">
        <v>16884</v>
      </c>
      <c r="WWT1" s="331" t="s">
        <v>16885</v>
      </c>
      <c r="WWU1" s="331" t="s">
        <v>16886</v>
      </c>
      <c r="WWV1" s="331" t="s">
        <v>16887</v>
      </c>
      <c r="WWW1" s="331" t="s">
        <v>16888</v>
      </c>
      <c r="WWX1" s="331" t="s">
        <v>16889</v>
      </c>
      <c r="WWY1" s="331" t="s">
        <v>16890</v>
      </c>
      <c r="WWZ1" s="331" t="s">
        <v>16891</v>
      </c>
      <c r="WXA1" s="331" t="s">
        <v>16892</v>
      </c>
      <c r="WXB1" s="331" t="s">
        <v>16893</v>
      </c>
      <c r="WXC1" s="331" t="s">
        <v>16894</v>
      </c>
      <c r="WXD1" s="331" t="s">
        <v>16895</v>
      </c>
      <c r="WXE1" s="331" t="s">
        <v>16896</v>
      </c>
      <c r="WXF1" s="331" t="s">
        <v>16897</v>
      </c>
      <c r="WXG1" s="331" t="s">
        <v>16898</v>
      </c>
      <c r="WXH1" s="331" t="s">
        <v>16899</v>
      </c>
      <c r="WXI1" s="331" t="s">
        <v>16900</v>
      </c>
      <c r="WXJ1" s="331" t="s">
        <v>16901</v>
      </c>
      <c r="WXK1" s="331" t="s">
        <v>16902</v>
      </c>
      <c r="WXL1" s="331" t="s">
        <v>16903</v>
      </c>
      <c r="WXM1" s="331" t="s">
        <v>16904</v>
      </c>
      <c r="WXN1" s="331" t="s">
        <v>16905</v>
      </c>
      <c r="WXO1" s="331" t="s">
        <v>16906</v>
      </c>
      <c r="WXP1" s="331" t="s">
        <v>16907</v>
      </c>
      <c r="WXQ1" s="331" t="s">
        <v>16908</v>
      </c>
      <c r="WXR1" s="331" t="s">
        <v>16909</v>
      </c>
      <c r="WXS1" s="331" t="s">
        <v>16910</v>
      </c>
      <c r="WXT1" s="331" t="s">
        <v>16911</v>
      </c>
      <c r="WXU1" s="331" t="s">
        <v>16912</v>
      </c>
      <c r="WXV1" s="331" t="s">
        <v>16913</v>
      </c>
      <c r="WXW1" s="331" t="s">
        <v>16914</v>
      </c>
      <c r="WXX1" s="331" t="s">
        <v>16915</v>
      </c>
      <c r="WXY1" s="331" t="s">
        <v>16916</v>
      </c>
      <c r="WXZ1" s="331" t="s">
        <v>16917</v>
      </c>
      <c r="WYA1" s="331" t="s">
        <v>16918</v>
      </c>
      <c r="WYB1" s="331" t="s">
        <v>16919</v>
      </c>
      <c r="WYC1" s="331" t="s">
        <v>16920</v>
      </c>
      <c r="WYD1" s="331" t="s">
        <v>16921</v>
      </c>
      <c r="WYE1" s="331" t="s">
        <v>16922</v>
      </c>
      <c r="WYF1" s="331" t="s">
        <v>16923</v>
      </c>
      <c r="WYG1" s="331" t="s">
        <v>16924</v>
      </c>
      <c r="WYH1" s="331" t="s">
        <v>16925</v>
      </c>
      <c r="WYI1" s="331" t="s">
        <v>16926</v>
      </c>
      <c r="WYJ1" s="331" t="s">
        <v>16927</v>
      </c>
      <c r="WYK1" s="331" t="s">
        <v>16928</v>
      </c>
      <c r="WYL1" s="331" t="s">
        <v>16929</v>
      </c>
      <c r="WYM1" s="331" t="s">
        <v>16930</v>
      </c>
      <c r="WYN1" s="331" t="s">
        <v>16931</v>
      </c>
      <c r="WYO1" s="331" t="s">
        <v>16932</v>
      </c>
      <c r="WYP1" s="331" t="s">
        <v>16933</v>
      </c>
      <c r="WYQ1" s="331" t="s">
        <v>16934</v>
      </c>
      <c r="WYR1" s="331" t="s">
        <v>16935</v>
      </c>
      <c r="WYS1" s="331" t="s">
        <v>16936</v>
      </c>
      <c r="WYT1" s="331" t="s">
        <v>16937</v>
      </c>
      <c r="WYU1" s="331" t="s">
        <v>16938</v>
      </c>
      <c r="WYV1" s="331" t="s">
        <v>16939</v>
      </c>
      <c r="WYW1" s="331" t="s">
        <v>16940</v>
      </c>
      <c r="WYX1" s="331" t="s">
        <v>16941</v>
      </c>
      <c r="WYY1" s="331" t="s">
        <v>16942</v>
      </c>
      <c r="WYZ1" s="331" t="s">
        <v>16943</v>
      </c>
      <c r="WZA1" s="331" t="s">
        <v>16944</v>
      </c>
      <c r="WZB1" s="331" t="s">
        <v>16945</v>
      </c>
      <c r="WZC1" s="331" t="s">
        <v>16946</v>
      </c>
      <c r="WZD1" s="331" t="s">
        <v>16947</v>
      </c>
      <c r="WZE1" s="331" t="s">
        <v>16948</v>
      </c>
      <c r="WZF1" s="331" t="s">
        <v>16949</v>
      </c>
      <c r="WZG1" s="331" t="s">
        <v>16950</v>
      </c>
      <c r="WZH1" s="331" t="s">
        <v>16951</v>
      </c>
      <c r="WZI1" s="331" t="s">
        <v>16952</v>
      </c>
      <c r="WZJ1" s="331" t="s">
        <v>16953</v>
      </c>
      <c r="WZK1" s="331" t="s">
        <v>16954</v>
      </c>
      <c r="WZL1" s="331" t="s">
        <v>16955</v>
      </c>
      <c r="WZM1" s="331" t="s">
        <v>16956</v>
      </c>
      <c r="WZN1" s="331" t="s">
        <v>16957</v>
      </c>
      <c r="WZO1" s="331" t="s">
        <v>16958</v>
      </c>
      <c r="WZP1" s="331" t="s">
        <v>16959</v>
      </c>
      <c r="WZQ1" s="331" t="s">
        <v>16960</v>
      </c>
      <c r="WZR1" s="331" t="s">
        <v>16961</v>
      </c>
      <c r="WZS1" s="331" t="s">
        <v>16962</v>
      </c>
      <c r="WZT1" s="331" t="s">
        <v>16963</v>
      </c>
      <c r="WZU1" s="331" t="s">
        <v>16964</v>
      </c>
      <c r="WZV1" s="331" t="s">
        <v>16965</v>
      </c>
      <c r="WZW1" s="331" t="s">
        <v>16966</v>
      </c>
      <c r="WZX1" s="331" t="s">
        <v>16967</v>
      </c>
      <c r="WZY1" s="331" t="s">
        <v>16968</v>
      </c>
      <c r="WZZ1" s="331" t="s">
        <v>16969</v>
      </c>
      <c r="XAA1" s="331" t="s">
        <v>16970</v>
      </c>
      <c r="XAB1" s="331" t="s">
        <v>16971</v>
      </c>
      <c r="XAC1" s="331" t="s">
        <v>16972</v>
      </c>
      <c r="XAD1" s="331" t="s">
        <v>16973</v>
      </c>
      <c r="XAE1" s="331" t="s">
        <v>16974</v>
      </c>
      <c r="XAF1" s="331" t="s">
        <v>16975</v>
      </c>
      <c r="XAG1" s="331" t="s">
        <v>16976</v>
      </c>
      <c r="XAH1" s="331" t="s">
        <v>16977</v>
      </c>
      <c r="XAI1" s="331" t="s">
        <v>16978</v>
      </c>
      <c r="XAJ1" s="331" t="s">
        <v>16979</v>
      </c>
      <c r="XAK1" s="331" t="s">
        <v>16980</v>
      </c>
      <c r="XAL1" s="331" t="s">
        <v>16981</v>
      </c>
      <c r="XAM1" s="331" t="s">
        <v>16982</v>
      </c>
      <c r="XAN1" s="331" t="s">
        <v>16983</v>
      </c>
      <c r="XAO1" s="331" t="s">
        <v>16984</v>
      </c>
      <c r="XAP1" s="331" t="s">
        <v>16985</v>
      </c>
      <c r="XAQ1" s="331" t="s">
        <v>16986</v>
      </c>
      <c r="XAR1" s="331" t="s">
        <v>16987</v>
      </c>
      <c r="XAS1" s="331" t="s">
        <v>16988</v>
      </c>
      <c r="XAT1" s="331" t="s">
        <v>16989</v>
      </c>
      <c r="XAU1" s="331" t="s">
        <v>16990</v>
      </c>
      <c r="XAV1" s="331" t="s">
        <v>16991</v>
      </c>
      <c r="XAW1" s="331" t="s">
        <v>16992</v>
      </c>
      <c r="XAX1" s="331" t="s">
        <v>16993</v>
      </c>
      <c r="XAY1" s="331" t="s">
        <v>16994</v>
      </c>
      <c r="XAZ1" s="331" t="s">
        <v>16995</v>
      </c>
      <c r="XBA1" s="331" t="s">
        <v>16996</v>
      </c>
      <c r="XBB1" s="331" t="s">
        <v>16997</v>
      </c>
      <c r="XBC1" s="331" t="s">
        <v>16998</v>
      </c>
      <c r="XBD1" s="331" t="s">
        <v>16999</v>
      </c>
      <c r="XBE1" s="331" t="s">
        <v>17000</v>
      </c>
      <c r="XBF1" s="331" t="s">
        <v>17001</v>
      </c>
      <c r="XBG1" s="331" t="s">
        <v>17002</v>
      </c>
      <c r="XBH1" s="331" t="s">
        <v>17003</v>
      </c>
      <c r="XBI1" s="331" t="s">
        <v>17004</v>
      </c>
      <c r="XBJ1" s="331" t="s">
        <v>17005</v>
      </c>
      <c r="XBK1" s="331" t="s">
        <v>17006</v>
      </c>
      <c r="XBL1" s="331" t="s">
        <v>17007</v>
      </c>
      <c r="XBM1" s="331" t="s">
        <v>17008</v>
      </c>
      <c r="XBN1" s="331" t="s">
        <v>17009</v>
      </c>
      <c r="XBO1" s="331" t="s">
        <v>17010</v>
      </c>
      <c r="XBP1" s="331" t="s">
        <v>17011</v>
      </c>
      <c r="XBQ1" s="331" t="s">
        <v>17012</v>
      </c>
      <c r="XBR1" s="331" t="s">
        <v>17013</v>
      </c>
      <c r="XBS1" s="331" t="s">
        <v>17014</v>
      </c>
      <c r="XBT1" s="331" t="s">
        <v>17015</v>
      </c>
      <c r="XBU1" s="331" t="s">
        <v>17016</v>
      </c>
      <c r="XBV1" s="331" t="s">
        <v>17017</v>
      </c>
      <c r="XBW1" s="331" t="s">
        <v>17018</v>
      </c>
      <c r="XBX1" s="331" t="s">
        <v>17019</v>
      </c>
      <c r="XBY1" s="331" t="s">
        <v>17020</v>
      </c>
      <c r="XBZ1" s="331" t="s">
        <v>17021</v>
      </c>
      <c r="XCA1" s="331" t="s">
        <v>17022</v>
      </c>
      <c r="XCB1" s="331" t="s">
        <v>17023</v>
      </c>
      <c r="XCC1" s="331" t="s">
        <v>17024</v>
      </c>
      <c r="XCD1" s="331" t="s">
        <v>17025</v>
      </c>
      <c r="XCE1" s="331" t="s">
        <v>17026</v>
      </c>
      <c r="XCF1" s="331" t="s">
        <v>17027</v>
      </c>
      <c r="XCG1" s="331" t="s">
        <v>17028</v>
      </c>
      <c r="XCH1" s="331" t="s">
        <v>17029</v>
      </c>
      <c r="XCI1" s="331" t="s">
        <v>17030</v>
      </c>
      <c r="XCJ1" s="331" t="s">
        <v>17031</v>
      </c>
      <c r="XCK1" s="331" t="s">
        <v>17032</v>
      </c>
      <c r="XCL1" s="331" t="s">
        <v>17033</v>
      </c>
      <c r="XCM1" s="331" t="s">
        <v>17034</v>
      </c>
      <c r="XCN1" s="331" t="s">
        <v>17035</v>
      </c>
      <c r="XCO1" s="331" t="s">
        <v>17036</v>
      </c>
      <c r="XCP1" s="331" t="s">
        <v>17037</v>
      </c>
      <c r="XCQ1" s="331" t="s">
        <v>17038</v>
      </c>
      <c r="XCR1" s="331" t="s">
        <v>17039</v>
      </c>
      <c r="XCS1" s="331" t="s">
        <v>17040</v>
      </c>
      <c r="XCT1" s="331" t="s">
        <v>17041</v>
      </c>
      <c r="XCU1" s="331" t="s">
        <v>17042</v>
      </c>
      <c r="XCV1" s="331" t="s">
        <v>17043</v>
      </c>
      <c r="XCW1" s="331" t="s">
        <v>17044</v>
      </c>
      <c r="XCX1" s="331" t="s">
        <v>17045</v>
      </c>
      <c r="XCY1" s="331" t="s">
        <v>17046</v>
      </c>
      <c r="XCZ1" s="331" t="s">
        <v>17047</v>
      </c>
      <c r="XDA1" s="331" t="s">
        <v>17048</v>
      </c>
      <c r="XDB1" s="331" t="s">
        <v>17049</v>
      </c>
      <c r="XDC1" s="331" t="s">
        <v>17050</v>
      </c>
      <c r="XDD1" s="331" t="s">
        <v>17051</v>
      </c>
      <c r="XDE1" s="331" t="s">
        <v>17052</v>
      </c>
      <c r="XDF1" s="331" t="s">
        <v>17053</v>
      </c>
      <c r="XDG1" s="331" t="s">
        <v>17054</v>
      </c>
      <c r="XDH1" s="331" t="s">
        <v>17055</v>
      </c>
      <c r="XDI1" s="331" t="s">
        <v>17056</v>
      </c>
      <c r="XDJ1" s="331" t="s">
        <v>17057</v>
      </c>
      <c r="XDK1" s="331" t="s">
        <v>17058</v>
      </c>
      <c r="XDL1" s="331" t="s">
        <v>17059</v>
      </c>
      <c r="XDM1" s="331" t="s">
        <v>17060</v>
      </c>
      <c r="XDN1" s="331" t="s">
        <v>17061</v>
      </c>
      <c r="XDO1" s="331" t="s">
        <v>17062</v>
      </c>
      <c r="XDP1" s="331" t="s">
        <v>17063</v>
      </c>
      <c r="XDQ1" s="331" t="s">
        <v>17064</v>
      </c>
      <c r="XDR1" s="331" t="s">
        <v>17065</v>
      </c>
      <c r="XDS1" s="331" t="s">
        <v>17066</v>
      </c>
      <c r="XDT1" s="331" t="s">
        <v>17067</v>
      </c>
      <c r="XDU1" s="331" t="s">
        <v>17068</v>
      </c>
      <c r="XDV1" s="331" t="s">
        <v>17069</v>
      </c>
      <c r="XDW1" s="331" t="s">
        <v>17070</v>
      </c>
      <c r="XDX1" s="331" t="s">
        <v>17071</v>
      </c>
      <c r="XDY1" s="331" t="s">
        <v>17072</v>
      </c>
      <c r="XDZ1" s="331" t="s">
        <v>17073</v>
      </c>
      <c r="XEA1" s="331" t="s">
        <v>17074</v>
      </c>
      <c r="XEB1" s="331" t="s">
        <v>17075</v>
      </c>
      <c r="XEC1" s="331" t="s">
        <v>17076</v>
      </c>
      <c r="XED1" s="331" t="s">
        <v>17077</v>
      </c>
      <c r="XEE1" s="331" t="s">
        <v>17078</v>
      </c>
      <c r="XEF1" s="331" t="s">
        <v>17079</v>
      </c>
      <c r="XEG1" s="331" t="s">
        <v>17080</v>
      </c>
      <c r="XEH1" s="331" t="s">
        <v>17081</v>
      </c>
      <c r="XEI1" s="331" t="s">
        <v>17082</v>
      </c>
      <c r="XEJ1" s="331" t="s">
        <v>17083</v>
      </c>
      <c r="XEK1" s="331" t="s">
        <v>17084</v>
      </c>
      <c r="XEL1" s="331" t="s">
        <v>17085</v>
      </c>
      <c r="XEM1" s="331" t="s">
        <v>17086</v>
      </c>
      <c r="XEN1" s="331" t="s">
        <v>17087</v>
      </c>
      <c r="XEO1" s="331" t="s">
        <v>17088</v>
      </c>
      <c r="XEP1" s="331" t="s">
        <v>17089</v>
      </c>
      <c r="XEQ1" s="331" t="s">
        <v>17090</v>
      </c>
      <c r="XER1" s="331" t="s">
        <v>17091</v>
      </c>
      <c r="XES1" s="331" t="s">
        <v>17092</v>
      </c>
      <c r="XET1" s="331" t="s">
        <v>17093</v>
      </c>
      <c r="XEU1" s="331" t="s">
        <v>17094</v>
      </c>
      <c r="XEV1" s="331" t="s">
        <v>17095</v>
      </c>
      <c r="XEW1" s="331" t="s">
        <v>17096</v>
      </c>
      <c r="XEX1" s="331" t="s">
        <v>17097</v>
      </c>
      <c r="XEY1" s="331" t="s">
        <v>17098</v>
      </c>
      <c r="XEZ1" s="331" t="s">
        <v>17099</v>
      </c>
      <c r="XFA1" s="331" t="s">
        <v>17100</v>
      </c>
      <c r="XFB1" s="331" t="s">
        <v>17101</v>
      </c>
      <c r="XFC1" s="331" t="s">
        <v>17102</v>
      </c>
      <c r="XFD1" s="331" t="s">
        <v>17103</v>
      </c>
    </row>
    <row r="2" spans="1:16384" s="476" customFormat="1">
      <c r="A2" s="509">
        <v>1</v>
      </c>
      <c r="B2" s="510" t="s">
        <v>24</v>
      </c>
      <c r="C2" s="510" t="s">
        <v>17112</v>
      </c>
      <c r="D2" s="511" t="s">
        <v>365</v>
      </c>
      <c r="E2" s="510">
        <v>0</v>
      </c>
      <c r="F2" s="510" t="s">
        <v>17105</v>
      </c>
      <c r="G2" s="512">
        <v>100.16</v>
      </c>
      <c r="H2" s="513">
        <v>6.51</v>
      </c>
      <c r="I2" s="513">
        <v>47.71</v>
      </c>
      <c r="J2" s="514"/>
      <c r="K2" s="515">
        <f>G2+H2*0.3+Table4[[#This Row],[Terrace]]*0.2</f>
        <v>111.655</v>
      </c>
      <c r="L2" s="509" t="s">
        <v>17165</v>
      </c>
      <c r="M2" s="509"/>
      <c r="N2" s="509"/>
      <c r="O2" s="509"/>
      <c r="P2" s="516"/>
      <c r="Q2" s="509" t="s">
        <v>258</v>
      </c>
      <c r="R2" s="518">
        <v>286150</v>
      </c>
      <c r="S2" s="518">
        <f>0.97*Table4[[#This Row],[Asking Price]]</f>
        <v>286150</v>
      </c>
      <c r="T2" s="518">
        <v>295000</v>
      </c>
      <c r="U2" s="519">
        <f>Table4[[#This Row],[Closing Price]]/Table4[[#This Row],[Saleable Area ]]</f>
        <v>2562.8050691863327</v>
      </c>
      <c r="V2" s="519">
        <f>Table4[[#This Row],[Min. Price]]/Table4[[#This Row],[Saleable Area ]]</f>
        <v>2562.8050691863327</v>
      </c>
      <c r="W2" s="518">
        <f>Table4[[#This Row],[Asking Price]]/Table4[[#This Row],[Saleable Area ]]</f>
        <v>2642.0670816353945</v>
      </c>
      <c r="X2" s="520">
        <f>1-(Table4[[#This Row],[Closing Price]]/Table4[[#This Row],[Asking Price]])</f>
        <v>3.0000000000000027E-2</v>
      </c>
      <c r="Y2" s="555"/>
      <c r="Z2" s="521">
        <v>45506</v>
      </c>
      <c r="AA2" s="522">
        <v>28615</v>
      </c>
      <c r="AB2" s="522"/>
      <c r="AC2" s="521"/>
      <c r="AD2" s="522"/>
      <c r="AE2" s="521"/>
      <c r="AF2" s="522">
        <v>257535</v>
      </c>
      <c r="AG2" s="509" t="s">
        <v>103</v>
      </c>
      <c r="AH2" s="509"/>
      <c r="AI2" s="509"/>
      <c r="AJ2" s="509"/>
      <c r="AK2" s="509"/>
      <c r="AL2" s="509"/>
      <c r="AM2" s="509"/>
      <c r="AN2" s="509"/>
      <c r="AO2" s="509"/>
      <c r="AP2" s="509"/>
      <c r="AQ2" s="523" t="s">
        <v>17565</v>
      </c>
      <c r="AR2" s="523" t="s">
        <v>265</v>
      </c>
      <c r="AS2" s="523"/>
      <c r="AT2" s="523"/>
      <c r="AU2" s="518"/>
      <c r="AV2" s="518"/>
    </row>
    <row r="3" spans="1:16384" s="476" customFormat="1">
      <c r="A3" s="509">
        <v>2</v>
      </c>
      <c r="B3" s="510" t="s">
        <v>25</v>
      </c>
      <c r="C3" s="510" t="s">
        <v>17113</v>
      </c>
      <c r="D3" s="511" t="s">
        <v>91</v>
      </c>
      <c r="E3" s="510">
        <v>0</v>
      </c>
      <c r="F3" s="510" t="s">
        <v>17106</v>
      </c>
      <c r="G3" s="512">
        <v>96.33</v>
      </c>
      <c r="H3" s="513">
        <v>6.29</v>
      </c>
      <c r="I3" s="513">
        <v>48.35</v>
      </c>
      <c r="J3" s="514"/>
      <c r="K3" s="515">
        <f>G3+H3*0.3+Table4[[#This Row],[Terrace]]*0.2</f>
        <v>107.887</v>
      </c>
      <c r="L3" s="509" t="s">
        <v>17165</v>
      </c>
      <c r="M3" s="509"/>
      <c r="N3" s="509"/>
      <c r="O3" s="509"/>
      <c r="P3" s="1201"/>
      <c r="Q3" s="509" t="s">
        <v>258</v>
      </c>
      <c r="R3" s="518">
        <v>250000</v>
      </c>
      <c r="S3" s="518">
        <f>0.97*Table4[[#This Row],[Asking Price]]</f>
        <v>244925</v>
      </c>
      <c r="T3" s="518">
        <v>252500</v>
      </c>
      <c r="U3" s="519">
        <f>Table4[[#This Row],[Closing Price]]/Table4[[#This Row],[Saleable Area ]]</f>
        <v>2317.2393337473468</v>
      </c>
      <c r="V3" s="519">
        <f>Table4[[#This Row],[Min. Price]]/Table4[[#This Row],[Saleable Area ]]</f>
        <v>2270.1993752722756</v>
      </c>
      <c r="W3" s="518">
        <f>Table4[[#This Row],[Asking Price]]/Table4[[#This Row],[Saleable Area ]]</f>
        <v>2340.4117270848201</v>
      </c>
      <c r="X3" s="520">
        <f>1-(Table4[[#This Row],[Closing Price]]/Table4[[#This Row],[Asking Price]])</f>
        <v>9.9009900990099098E-3</v>
      </c>
      <c r="Y3" s="555"/>
      <c r="Z3" s="521">
        <v>45170</v>
      </c>
      <c r="AA3" s="522">
        <v>10000</v>
      </c>
      <c r="AB3" s="522">
        <v>100000</v>
      </c>
      <c r="AC3" s="521">
        <v>45199</v>
      </c>
      <c r="AD3" s="522"/>
      <c r="AE3" s="521"/>
      <c r="AF3" s="522">
        <v>140000</v>
      </c>
      <c r="AG3" s="523" t="s">
        <v>103</v>
      </c>
      <c r="AH3" s="509"/>
      <c r="AI3" s="509"/>
      <c r="AJ3" s="509"/>
      <c r="AK3" s="509"/>
      <c r="AL3" s="509"/>
      <c r="AM3" s="509"/>
      <c r="AN3" s="509"/>
      <c r="AO3" s="509"/>
      <c r="AP3" s="509"/>
      <c r="AQ3" s="523" t="s">
        <v>17176</v>
      </c>
      <c r="AR3" s="523" t="s">
        <v>265</v>
      </c>
      <c r="AS3" s="523"/>
      <c r="AT3" s="523"/>
      <c r="AU3" s="518"/>
      <c r="AV3" s="518"/>
    </row>
    <row r="4" spans="1:16384" s="476" customFormat="1">
      <c r="A4" s="509">
        <v>3</v>
      </c>
      <c r="B4" s="526" t="s">
        <v>26</v>
      </c>
      <c r="C4" s="510" t="s">
        <v>17114</v>
      </c>
      <c r="D4" s="511" t="s">
        <v>91</v>
      </c>
      <c r="E4" s="526">
        <v>0</v>
      </c>
      <c r="F4" s="526" t="s">
        <v>239</v>
      </c>
      <c r="G4" s="527">
        <v>94.82</v>
      </c>
      <c r="H4" s="528">
        <v>5.79</v>
      </c>
      <c r="I4" s="528">
        <v>47.66</v>
      </c>
      <c r="J4" s="514"/>
      <c r="K4" s="515">
        <f>G4+H4*0.3+Table4[[#This Row],[Terrace]]*0.2</f>
        <v>106.08899999999998</v>
      </c>
      <c r="L4" s="509" t="s">
        <v>17166</v>
      </c>
      <c r="M4" s="509"/>
      <c r="N4" s="509"/>
      <c r="O4" s="509"/>
      <c r="P4" s="578"/>
      <c r="Q4" s="509" t="s">
        <v>258</v>
      </c>
      <c r="R4" s="518">
        <v>244925</v>
      </c>
      <c r="S4" s="518">
        <f>0.97*Table4[[#This Row],[Asking Price]]</f>
        <v>244925</v>
      </c>
      <c r="T4" s="518">
        <v>252500</v>
      </c>
      <c r="U4" s="519">
        <f>Table4[[#This Row],[Closing Price]]/Table4[[#This Row],[Saleable Area ]]</f>
        <v>2308.674791919992</v>
      </c>
      <c r="V4" s="519">
        <f>Table4[[#This Row],[Min. Price]]/Table4[[#This Row],[Saleable Area ]]</f>
        <v>2308.674791919992</v>
      </c>
      <c r="W4" s="518">
        <f>Table4[[#This Row],[Asking Price]]/Table4[[#This Row],[Saleable Area ]]</f>
        <v>2380.0771050721569</v>
      </c>
      <c r="X4" s="520">
        <f>1-(Table4[[#This Row],[Closing Price]]/Table4[[#This Row],[Asking Price]])</f>
        <v>3.0000000000000027E-2</v>
      </c>
      <c r="Y4" s="555"/>
      <c r="Z4" s="521">
        <v>45243</v>
      </c>
      <c r="AA4" s="522">
        <v>48985</v>
      </c>
      <c r="AB4" s="522"/>
      <c r="AC4" s="521"/>
      <c r="AD4" s="522"/>
      <c r="AE4" s="521"/>
      <c r="AF4" s="522">
        <v>195940</v>
      </c>
      <c r="AG4" s="509" t="s">
        <v>17439</v>
      </c>
      <c r="AH4" s="509" t="s">
        <v>309</v>
      </c>
      <c r="AI4" s="529"/>
      <c r="AJ4" s="529"/>
      <c r="AK4" s="529"/>
      <c r="AL4" s="509"/>
      <c r="AM4" s="509"/>
      <c r="AN4" s="509"/>
      <c r="AO4" s="529"/>
      <c r="AP4" s="509"/>
      <c r="AQ4" s="523" t="s">
        <v>17240</v>
      </c>
      <c r="AR4" s="523" t="s">
        <v>563</v>
      </c>
      <c r="AS4" s="523"/>
      <c r="AT4" s="523"/>
      <c r="AU4" s="518"/>
      <c r="AV4" s="518"/>
    </row>
    <row r="5" spans="1:16384" s="476" customFormat="1">
      <c r="A5" s="509">
        <v>4</v>
      </c>
      <c r="B5" s="526" t="s">
        <v>27</v>
      </c>
      <c r="C5" s="510" t="s">
        <v>17115</v>
      </c>
      <c r="D5" s="511" t="s">
        <v>91</v>
      </c>
      <c r="E5" s="526">
        <v>0</v>
      </c>
      <c r="F5" s="526" t="s">
        <v>237</v>
      </c>
      <c r="G5" s="527">
        <v>96.44</v>
      </c>
      <c r="H5" s="528">
        <v>6.19</v>
      </c>
      <c r="I5" s="528">
        <v>48.16</v>
      </c>
      <c r="J5" s="514"/>
      <c r="K5" s="515">
        <f>G5+H5*0.3+Table4[[#This Row],[Terrace]]*0.2</f>
        <v>107.929</v>
      </c>
      <c r="L5" s="509" t="s">
        <v>17166</v>
      </c>
      <c r="M5" s="509"/>
      <c r="N5" s="509"/>
      <c r="O5" s="509"/>
      <c r="P5" s="582"/>
      <c r="Q5" s="509" t="s">
        <v>258</v>
      </c>
      <c r="R5" s="518">
        <v>252500</v>
      </c>
      <c r="S5" s="518">
        <f>0.97*Table4[[#This Row],[Asking Price]]</f>
        <v>244925</v>
      </c>
      <c r="T5" s="518">
        <v>252500</v>
      </c>
      <c r="U5" s="519">
        <f>Table4[[#This Row],[Closing Price]]/Table4[[#This Row],[Saleable Area ]]</f>
        <v>2339.5009682291134</v>
      </c>
      <c r="V5" s="519">
        <f>Table4[[#This Row],[Min. Price]]/Table4[[#This Row],[Saleable Area ]]</f>
        <v>2269.3159391822401</v>
      </c>
      <c r="W5" s="518">
        <f>Table4[[#This Row],[Asking Price]]/Table4[[#This Row],[Saleable Area ]]</f>
        <v>2339.5009682291134</v>
      </c>
      <c r="X5" s="520">
        <f>1-(Table4[[#This Row],[Closing Price]]/Table4[[#This Row],[Asking Price]])</f>
        <v>0</v>
      </c>
      <c r="Y5" s="555"/>
      <c r="Z5" s="521">
        <v>45163</v>
      </c>
      <c r="AA5" s="522">
        <f>20%*Table4[[#This Row],[Closing Price]]</f>
        <v>50500</v>
      </c>
      <c r="AB5" s="522">
        <f>10%*Table4[[#This Row],[Closing Price]]</f>
        <v>25250</v>
      </c>
      <c r="AC5" s="521">
        <v>45536</v>
      </c>
      <c r="AD5" s="522"/>
      <c r="AE5" s="521"/>
      <c r="AF5" s="522">
        <f>70%*Table4[[#This Row],[Closing Price]]</f>
        <v>176750</v>
      </c>
      <c r="AG5" s="523" t="s">
        <v>103</v>
      </c>
      <c r="AH5" s="509"/>
      <c r="AI5" s="529"/>
      <c r="AJ5" s="529"/>
      <c r="AK5" s="529"/>
      <c r="AL5" s="509"/>
      <c r="AM5" s="509"/>
      <c r="AN5" s="509"/>
      <c r="AO5" s="529"/>
      <c r="AP5" s="509"/>
      <c r="AQ5" s="523" t="s">
        <v>17180</v>
      </c>
      <c r="AR5" s="523" t="s">
        <v>265</v>
      </c>
      <c r="AS5" s="523"/>
      <c r="AT5" s="523"/>
      <c r="AU5" s="518"/>
      <c r="AV5" s="518"/>
    </row>
    <row r="6" spans="1:16384" s="476" customFormat="1">
      <c r="A6" s="509">
        <v>5</v>
      </c>
      <c r="B6" s="510" t="s">
        <v>28</v>
      </c>
      <c r="C6" s="510" t="s">
        <v>17116</v>
      </c>
      <c r="D6" s="511" t="s">
        <v>89</v>
      </c>
      <c r="E6" s="510">
        <v>0</v>
      </c>
      <c r="F6" s="510" t="s">
        <v>17107</v>
      </c>
      <c r="G6" s="512">
        <v>131.46</v>
      </c>
      <c r="H6" s="513">
        <v>5.71</v>
      </c>
      <c r="I6" s="513">
        <v>7.51</v>
      </c>
      <c r="J6" s="514"/>
      <c r="K6" s="515">
        <f>G6+H6*0.3+Table4[[#This Row],[Terrace]]*0.2</f>
        <v>134.67500000000001</v>
      </c>
      <c r="L6" s="509" t="s">
        <v>17165</v>
      </c>
      <c r="M6" s="509"/>
      <c r="N6" s="509"/>
      <c r="O6" s="509"/>
      <c r="P6" s="516"/>
      <c r="Q6" s="509" t="s">
        <v>258</v>
      </c>
      <c r="R6" s="518">
        <v>350000</v>
      </c>
      <c r="S6" s="518">
        <f>Table4[[#This Row],[Asking Price]]*0.97</f>
        <v>349200</v>
      </c>
      <c r="T6" s="518">
        <v>360000</v>
      </c>
      <c r="U6" s="519">
        <f>Table4[[#This Row],[Closing Price]]/Table4[[#This Row],[Saleable Area ]]</f>
        <v>2598.8490811212178</v>
      </c>
      <c r="V6" s="519">
        <f>Table4[[#This Row],[Min. Price]]/Table4[[#This Row],[Saleable Area ]]</f>
        <v>2592.9088546500834</v>
      </c>
      <c r="W6" s="518">
        <f>Table4[[#This Row],[Asking Price]]/Table4[[#This Row],[Saleable Area ]]</f>
        <v>2673.1019120103952</v>
      </c>
      <c r="X6" s="520">
        <f>1-(Table4[[#This Row],[Closing Price]]/Table4[[#This Row],[Asking Price]])</f>
        <v>2.777777777777779E-2</v>
      </c>
      <c r="Y6" s="555"/>
      <c r="Z6" s="521">
        <v>45562</v>
      </c>
      <c r="AA6" s="522">
        <v>35000</v>
      </c>
      <c r="AB6" s="522"/>
      <c r="AC6" s="521"/>
      <c r="AD6" s="522"/>
      <c r="AE6" s="521"/>
      <c r="AF6" s="522">
        <v>315000</v>
      </c>
      <c r="AG6" s="523" t="s">
        <v>103</v>
      </c>
      <c r="AH6" s="523"/>
      <c r="AI6" s="509"/>
      <c r="AJ6" s="509"/>
      <c r="AK6" s="509"/>
      <c r="AL6" s="509"/>
      <c r="AM6" s="509"/>
      <c r="AN6" s="509"/>
      <c r="AO6" s="509"/>
      <c r="AP6" s="509"/>
      <c r="AQ6" s="523" t="s">
        <v>17667</v>
      </c>
      <c r="AR6" s="523" t="s">
        <v>265</v>
      </c>
      <c r="AS6" s="523"/>
      <c r="AT6" s="523"/>
      <c r="AU6" s="518"/>
      <c r="AV6" s="518"/>
    </row>
    <row r="7" spans="1:16384" s="476" customFormat="1">
      <c r="A7" s="509">
        <v>6</v>
      </c>
      <c r="B7" s="510" t="s">
        <v>29</v>
      </c>
      <c r="C7" s="510" t="s">
        <v>17117</v>
      </c>
      <c r="D7" s="511" t="s">
        <v>91</v>
      </c>
      <c r="E7" s="510">
        <v>0</v>
      </c>
      <c r="F7" s="510" t="s">
        <v>17110</v>
      </c>
      <c r="G7" s="512">
        <v>93.92</v>
      </c>
      <c r="H7" s="513">
        <v>5.4</v>
      </c>
      <c r="I7" s="513"/>
      <c r="J7" s="514"/>
      <c r="K7" s="515">
        <f>G7+H7*0.3+Table4[[#This Row],[Terrace]]*0.2</f>
        <v>95.54</v>
      </c>
      <c r="L7" s="509" t="s">
        <v>17165</v>
      </c>
      <c r="M7" s="509"/>
      <c r="N7" s="509"/>
      <c r="O7" s="509"/>
      <c r="P7" s="1201"/>
      <c r="Q7" s="509" t="s">
        <v>258</v>
      </c>
      <c r="R7" s="518">
        <v>230000</v>
      </c>
      <c r="S7" s="518">
        <f>0.97*Table4[[#This Row],[Asking Price]]</f>
        <v>223100</v>
      </c>
      <c r="T7" s="518">
        <v>230000</v>
      </c>
      <c r="U7" s="519">
        <f>Table4[[#This Row],[Closing Price]]/Table4[[#This Row],[Saleable Area ]]</f>
        <v>2407.3686414067406</v>
      </c>
      <c r="V7" s="519">
        <f>Table4[[#This Row],[Min. Price]]/Table4[[#This Row],[Saleable Area ]]</f>
        <v>2335.1475821645381</v>
      </c>
      <c r="W7" s="518">
        <f>Table4[[#This Row],[Asking Price]]/Table4[[#This Row],[Saleable Area ]]</f>
        <v>2407.3686414067406</v>
      </c>
      <c r="X7" s="520">
        <f>1-(Table4[[#This Row],[Closing Price]]/Table4[[#This Row],[Asking Price]])</f>
        <v>0</v>
      </c>
      <c r="Y7" s="555"/>
      <c r="Z7" s="521">
        <v>45163</v>
      </c>
      <c r="AA7" s="522">
        <f>20%*Table4[[#This Row],[Closing Price]]</f>
        <v>46000</v>
      </c>
      <c r="AB7" s="522">
        <f>10%*Table4[[#This Row],[Closing Price]]</f>
        <v>23000</v>
      </c>
      <c r="AC7" s="521">
        <v>45536</v>
      </c>
      <c r="AD7" s="522"/>
      <c r="AE7" s="521"/>
      <c r="AF7" s="522">
        <f>70%*Table4[[#This Row],[Closing Price]]</f>
        <v>161000</v>
      </c>
      <c r="AG7" s="523" t="s">
        <v>103</v>
      </c>
      <c r="AH7" s="523"/>
      <c r="AI7" s="509"/>
      <c r="AJ7" s="509"/>
      <c r="AK7" s="509"/>
      <c r="AL7" s="509"/>
      <c r="AM7" s="509"/>
      <c r="AN7" s="509"/>
      <c r="AO7" s="509"/>
      <c r="AP7" s="509"/>
      <c r="AQ7" s="523" t="s">
        <v>17180</v>
      </c>
      <c r="AR7" s="523" t="s">
        <v>265</v>
      </c>
      <c r="AS7" s="509"/>
      <c r="AT7" s="509"/>
      <c r="AU7" s="518"/>
      <c r="AV7" s="518"/>
    </row>
    <row r="8" spans="1:16384" s="476" customFormat="1">
      <c r="A8" s="509">
        <v>7</v>
      </c>
      <c r="B8" s="510" t="s">
        <v>30</v>
      </c>
      <c r="C8" s="510" t="s">
        <v>17118</v>
      </c>
      <c r="D8" s="511" t="s">
        <v>92</v>
      </c>
      <c r="E8" s="510">
        <v>0</v>
      </c>
      <c r="F8" s="510" t="s">
        <v>17104</v>
      </c>
      <c r="G8" s="512">
        <v>68.78</v>
      </c>
      <c r="H8" s="513"/>
      <c r="I8" s="513">
        <v>27.18</v>
      </c>
      <c r="J8" s="514"/>
      <c r="K8" s="515">
        <f>G8+H8*0.3+Table4[[#This Row],[Terrace]]*0.2</f>
        <v>74.216000000000008</v>
      </c>
      <c r="L8" s="509" t="s">
        <v>17160</v>
      </c>
      <c r="M8" s="509"/>
      <c r="N8" s="509"/>
      <c r="O8" s="509"/>
      <c r="P8" s="516"/>
      <c r="Q8" s="509" t="s">
        <v>258</v>
      </c>
      <c r="R8" s="518">
        <v>198850</v>
      </c>
      <c r="S8" s="518">
        <v>205000</v>
      </c>
      <c r="T8" s="518">
        <v>205000</v>
      </c>
      <c r="U8" s="519">
        <f>Table4[[#This Row],[Closing Price]]/Table4[[#This Row],[Saleable Area ]]</f>
        <v>2679.3413819122557</v>
      </c>
      <c r="V8" s="519">
        <f>Table4[[#This Row],[Min. Price]]/Table4[[#This Row],[Saleable Area ]]</f>
        <v>2762.2076102188203</v>
      </c>
      <c r="W8" s="518">
        <f>Table4[[#This Row],[Asking Price]]/Table4[[#This Row],[Saleable Area ]]</f>
        <v>2762.2076102188203</v>
      </c>
      <c r="X8" s="520">
        <f>1-(Table4[[#This Row],[Closing Price]]/Table4[[#This Row],[Asking Price]])</f>
        <v>3.0000000000000027E-2</v>
      </c>
      <c r="Y8" s="555"/>
      <c r="Z8" s="521">
        <v>45162</v>
      </c>
      <c r="AA8" s="522">
        <v>29827.5</v>
      </c>
      <c r="AB8" s="522">
        <v>29827.5</v>
      </c>
      <c r="AC8" s="521">
        <v>45406</v>
      </c>
      <c r="AD8" s="522"/>
      <c r="AE8" s="521"/>
      <c r="AF8" s="522">
        <v>139195</v>
      </c>
      <c r="AG8" s="523" t="s">
        <v>103</v>
      </c>
      <c r="AH8" s="523"/>
      <c r="AI8" s="509"/>
      <c r="AJ8" s="509"/>
      <c r="AK8" s="509"/>
      <c r="AL8" s="509"/>
      <c r="AM8" s="509"/>
      <c r="AN8" s="509"/>
      <c r="AO8" s="509"/>
      <c r="AP8" s="509"/>
      <c r="AQ8" s="523" t="s">
        <v>17181</v>
      </c>
      <c r="AR8" s="523" t="s">
        <v>265</v>
      </c>
      <c r="AS8" s="509"/>
      <c r="AT8" s="509"/>
      <c r="AU8" s="518"/>
      <c r="AV8" s="518"/>
    </row>
    <row r="9" spans="1:16384" s="476" customFormat="1">
      <c r="A9" s="509">
        <v>8</v>
      </c>
      <c r="B9" s="510" t="s">
        <v>31</v>
      </c>
      <c r="C9" s="510" t="s">
        <v>17119</v>
      </c>
      <c r="D9" s="511" t="s">
        <v>91</v>
      </c>
      <c r="E9" s="510">
        <v>0</v>
      </c>
      <c r="F9" s="510" t="s">
        <v>17104</v>
      </c>
      <c r="G9" s="512">
        <v>86.17</v>
      </c>
      <c r="H9" s="513"/>
      <c r="I9" s="513">
        <v>75.56</v>
      </c>
      <c r="J9" s="514"/>
      <c r="K9" s="515">
        <f>G9+H9*0.3+Table4[[#This Row],[Terrace]]*0.2</f>
        <v>101.28200000000001</v>
      </c>
      <c r="L9" s="509" t="s">
        <v>17160</v>
      </c>
      <c r="M9" s="509"/>
      <c r="N9" s="509"/>
      <c r="O9" s="509"/>
      <c r="P9" s="1201"/>
      <c r="Q9" s="509" t="s">
        <v>258</v>
      </c>
      <c r="R9" s="518">
        <v>261900</v>
      </c>
      <c r="S9" s="518">
        <f>0.97*Table4[[#This Row],[Asking Price]]</f>
        <v>261900</v>
      </c>
      <c r="T9" s="518">
        <v>270000</v>
      </c>
      <c r="U9" s="519">
        <f>Table4[[#This Row],[Closing Price]]/Table4[[#This Row],[Saleable Area ]]</f>
        <v>2585.8494105566633</v>
      </c>
      <c r="V9" s="519">
        <f>Table4[[#This Row],[Min. Price]]/Table4[[#This Row],[Saleable Area ]]</f>
        <v>2585.8494105566633</v>
      </c>
      <c r="W9" s="518">
        <f>Table4[[#This Row],[Asking Price]]/Table4[[#This Row],[Saleable Area ]]</f>
        <v>2665.8241345944984</v>
      </c>
      <c r="X9" s="520">
        <f>1-(Table4[[#This Row],[Closing Price]]/Table4[[#This Row],[Asking Price]])</f>
        <v>3.0000000000000027E-2</v>
      </c>
      <c r="Y9" s="555"/>
      <c r="Z9" s="521">
        <v>45364</v>
      </c>
      <c r="AA9" s="522">
        <f>20%*Table4[[#This Row],[Closing Price]]</f>
        <v>52380</v>
      </c>
      <c r="AB9" s="522"/>
      <c r="AC9" s="521"/>
      <c r="AD9" s="522"/>
      <c r="AE9" s="521"/>
      <c r="AF9" s="522">
        <f>80%*Table4[[#This Row],[Closing Price]]</f>
        <v>209520</v>
      </c>
      <c r="AG9" s="523" t="s">
        <v>103</v>
      </c>
      <c r="AH9" s="523"/>
      <c r="AI9" s="509"/>
      <c r="AJ9" s="509"/>
      <c r="AK9" s="509"/>
      <c r="AL9" s="509"/>
      <c r="AM9" s="509"/>
      <c r="AN9" s="509"/>
      <c r="AO9" s="509"/>
      <c r="AP9" s="509"/>
      <c r="AQ9" s="523" t="s">
        <v>17381</v>
      </c>
      <c r="AR9" s="523" t="s">
        <v>265</v>
      </c>
      <c r="AS9" s="1829"/>
      <c r="AT9" s="1829"/>
      <c r="AU9" s="518"/>
      <c r="AV9" s="518"/>
    </row>
    <row r="10" spans="1:16384" s="476" customFormat="1">
      <c r="A10" s="509">
        <v>9</v>
      </c>
      <c r="B10" s="510" t="s">
        <v>32</v>
      </c>
      <c r="C10" s="510" t="s">
        <v>17120</v>
      </c>
      <c r="D10" s="511" t="s">
        <v>89</v>
      </c>
      <c r="E10" s="510">
        <v>1</v>
      </c>
      <c r="F10" s="510" t="s">
        <v>17105</v>
      </c>
      <c r="G10" s="512">
        <v>117.21</v>
      </c>
      <c r="H10" s="513">
        <v>9.35</v>
      </c>
      <c r="I10" s="513"/>
      <c r="J10" s="514"/>
      <c r="K10" s="515">
        <f>G10+H10*0.3+Table4[[#This Row],[Terrace]]*0.2</f>
        <v>120.01499999999999</v>
      </c>
      <c r="L10" s="509" t="s">
        <v>17165</v>
      </c>
      <c r="M10" s="509"/>
      <c r="N10" s="509"/>
      <c r="O10" s="509"/>
      <c r="P10" s="516"/>
      <c r="Q10" s="509" t="s">
        <v>258</v>
      </c>
      <c r="R10" s="518">
        <v>288000</v>
      </c>
      <c r="S10" s="518">
        <f>Table4[[#This Row],[Asking Price]]*0.95</f>
        <v>285000</v>
      </c>
      <c r="T10" s="518">
        <v>300000</v>
      </c>
      <c r="U10" s="519">
        <f>Table4[[#This Row],[Closing Price]]/Table4[[#This Row],[Saleable Area ]]</f>
        <v>2399.7000374953132</v>
      </c>
      <c r="V10" s="519">
        <f>Table4[[#This Row],[Min. Price]]/Table4[[#This Row],[Saleable Area ]]</f>
        <v>2374.7031621047372</v>
      </c>
      <c r="W10" s="518">
        <f>Table4[[#This Row],[Asking Price]]/Table4[[#This Row],[Saleable Area ]]</f>
        <v>2499.6875390576179</v>
      </c>
      <c r="X10" s="520">
        <f>1-(Table4[[#This Row],[Closing Price]]/Table4[[#This Row],[Asking Price]])</f>
        <v>4.0000000000000036E-2</v>
      </c>
      <c r="Y10" s="555"/>
      <c r="Z10" s="521">
        <v>45313</v>
      </c>
      <c r="AA10" s="522">
        <v>28800</v>
      </c>
      <c r="AB10" s="522"/>
      <c r="AC10" s="521"/>
      <c r="AD10" s="522"/>
      <c r="AE10" s="521"/>
      <c r="AF10" s="522">
        <v>259200</v>
      </c>
      <c r="AG10" s="509" t="s">
        <v>17439</v>
      </c>
      <c r="AH10" s="523"/>
      <c r="AI10" s="509"/>
      <c r="AJ10" s="509"/>
      <c r="AK10" s="509"/>
      <c r="AL10" s="509"/>
      <c r="AM10" s="509"/>
      <c r="AN10" s="509"/>
      <c r="AO10" s="509"/>
      <c r="AP10" s="509"/>
      <c r="AQ10" s="523" t="s">
        <v>17281</v>
      </c>
      <c r="AR10" s="523" t="s">
        <v>265</v>
      </c>
      <c r="AS10" s="523"/>
      <c r="AT10" s="523"/>
      <c r="AU10" s="518"/>
      <c r="AV10" s="518"/>
    </row>
    <row r="11" spans="1:16384" s="476" customFormat="1">
      <c r="A11" s="509">
        <v>10</v>
      </c>
      <c r="B11" s="510" t="s">
        <v>33</v>
      </c>
      <c r="C11" s="510" t="s">
        <v>17121</v>
      </c>
      <c r="D11" s="511" t="s">
        <v>89</v>
      </c>
      <c r="E11" s="510">
        <v>1</v>
      </c>
      <c r="F11" s="510" t="s">
        <v>17106</v>
      </c>
      <c r="G11" s="512">
        <v>110.5</v>
      </c>
      <c r="H11" s="513">
        <v>9.06</v>
      </c>
      <c r="I11" s="513"/>
      <c r="J11" s="514"/>
      <c r="K11" s="515">
        <f>G11+H11*0.3+Table4[[#This Row],[Terrace]]*0.2</f>
        <v>113.218</v>
      </c>
      <c r="L11" s="509" t="s">
        <v>17166</v>
      </c>
      <c r="M11" s="509"/>
      <c r="N11" s="509"/>
      <c r="O11" s="509"/>
      <c r="P11" s="1201"/>
      <c r="Q11" s="509" t="s">
        <v>258</v>
      </c>
      <c r="R11" s="518">
        <v>300000</v>
      </c>
      <c r="S11" s="518">
        <f>Table4[[#This Row],[Asking Price]]*0.97</f>
        <v>298275</v>
      </c>
      <c r="T11" s="518">
        <v>307500</v>
      </c>
      <c r="U11" s="519">
        <f>Table4[[#This Row],[Closing Price]]/Table4[[#This Row],[Saleable Area ]]</f>
        <v>2649.7553392570085</v>
      </c>
      <c r="V11" s="519">
        <f>Table4[[#This Row],[Min. Price]]/Table4[[#This Row],[Saleable Area ]]</f>
        <v>2634.5192460562807</v>
      </c>
      <c r="W11" s="518">
        <f>Table4[[#This Row],[Asking Price]]/Table4[[#This Row],[Saleable Area ]]</f>
        <v>2715.9992227384337</v>
      </c>
      <c r="X11" s="520">
        <f>1-(Table4[[#This Row],[Closing Price]]/Table4[[#This Row],[Asking Price]])</f>
        <v>2.4390243902439046E-2</v>
      </c>
      <c r="Y11" s="555"/>
      <c r="Z11" s="521">
        <v>45366</v>
      </c>
      <c r="AA11" s="522">
        <f>15%*Table4[[#This Row],[Closing Price]]</f>
        <v>45000</v>
      </c>
      <c r="AB11" s="522"/>
      <c r="AC11" s="521"/>
      <c r="AD11" s="522"/>
      <c r="AE11" s="521"/>
      <c r="AF11" s="522">
        <f>85%*Table4[[#This Row],[Closing Price]]</f>
        <v>255000</v>
      </c>
      <c r="AG11" s="523" t="s">
        <v>103</v>
      </c>
      <c r="AH11" s="523"/>
      <c r="AI11" s="509"/>
      <c r="AJ11" s="509"/>
      <c r="AK11" s="509"/>
      <c r="AL11" s="509"/>
      <c r="AM11" s="509"/>
      <c r="AN11" s="509"/>
      <c r="AO11" s="509"/>
      <c r="AP11" s="509"/>
      <c r="AQ11" s="523" t="s">
        <v>17368</v>
      </c>
      <c r="AR11" s="523" t="s">
        <v>730</v>
      </c>
      <c r="AS11" s="523"/>
      <c r="AT11" s="523"/>
      <c r="AU11" s="518"/>
      <c r="AV11" s="518"/>
    </row>
    <row r="12" spans="1:16384" s="476" customFormat="1">
      <c r="A12" s="509">
        <v>11</v>
      </c>
      <c r="B12" s="510" t="s">
        <v>34</v>
      </c>
      <c r="C12" s="510" t="s">
        <v>17122</v>
      </c>
      <c r="D12" s="511" t="s">
        <v>89</v>
      </c>
      <c r="E12" s="510">
        <v>1</v>
      </c>
      <c r="F12" s="510" t="s">
        <v>239</v>
      </c>
      <c r="G12" s="512">
        <v>112.1</v>
      </c>
      <c r="H12" s="513">
        <v>8.39</v>
      </c>
      <c r="I12" s="513"/>
      <c r="J12" s="514"/>
      <c r="K12" s="515">
        <f>G12+H12*0.3+Table4[[#This Row],[Terrace]]*0.2</f>
        <v>114.61699999999999</v>
      </c>
      <c r="L12" s="509" t="s">
        <v>17166</v>
      </c>
      <c r="M12" s="509"/>
      <c r="N12" s="509"/>
      <c r="O12" s="509"/>
      <c r="P12" s="516"/>
      <c r="Q12" s="509" t="s">
        <v>258</v>
      </c>
      <c r="R12" s="518">
        <v>296875</v>
      </c>
      <c r="S12" s="518">
        <f>Table4[[#This Row],[Asking Price]]*0.97</f>
        <v>303125</v>
      </c>
      <c r="T12" s="518">
        <v>312500</v>
      </c>
      <c r="U12" s="519">
        <f>Table4[[#This Row],[Closing Price]]/Table4[[#This Row],[Saleable Area ]]</f>
        <v>2590.1480583159569</v>
      </c>
      <c r="V12" s="519">
        <f>Table4[[#This Row],[Min. Price]]/Table4[[#This Row],[Saleable Area ]]</f>
        <v>2644.6774911226084</v>
      </c>
      <c r="W12" s="518">
        <f>Table4[[#This Row],[Asking Price]]/Table4[[#This Row],[Saleable Area ]]</f>
        <v>2726.471640332586</v>
      </c>
      <c r="X12" s="520">
        <f>1-(Table4[[#This Row],[Closing Price]]/Table4[[#This Row],[Asking Price]])</f>
        <v>5.0000000000000044E-2</v>
      </c>
      <c r="Y12" s="555"/>
      <c r="Z12" s="521">
        <v>45506</v>
      </c>
      <c r="AA12" s="522">
        <v>29687.5</v>
      </c>
      <c r="AB12" s="522"/>
      <c r="AC12" s="521"/>
      <c r="AD12" s="522"/>
      <c r="AE12" s="521"/>
      <c r="AF12" s="522">
        <v>267187.5</v>
      </c>
      <c r="AG12" s="523" t="s">
        <v>103</v>
      </c>
      <c r="AH12" s="523"/>
      <c r="AI12" s="509"/>
      <c r="AJ12" s="509"/>
      <c r="AK12" s="509"/>
      <c r="AL12" s="509"/>
      <c r="AM12" s="509"/>
      <c r="AN12" s="509"/>
      <c r="AO12" s="509"/>
      <c r="AP12" s="509"/>
      <c r="AQ12" s="523" t="s">
        <v>17566</v>
      </c>
      <c r="AR12" s="523" t="s">
        <v>265</v>
      </c>
      <c r="AS12" s="523"/>
      <c r="AT12" s="523"/>
      <c r="AU12" s="518"/>
      <c r="AV12" s="518"/>
    </row>
    <row r="13" spans="1:16384" s="476" customFormat="1">
      <c r="A13" s="509">
        <v>12</v>
      </c>
      <c r="B13" s="510" t="s">
        <v>35</v>
      </c>
      <c r="C13" s="510" t="s">
        <v>17123</v>
      </c>
      <c r="D13" s="511" t="s">
        <v>89</v>
      </c>
      <c r="E13" s="510">
        <v>1</v>
      </c>
      <c r="F13" s="510" t="s">
        <v>237</v>
      </c>
      <c r="G13" s="512">
        <v>110.6</v>
      </c>
      <c r="H13" s="513">
        <v>8.8800000000000008</v>
      </c>
      <c r="I13" s="513"/>
      <c r="J13" s="514"/>
      <c r="K13" s="515">
        <f>G13+H13*0.3+Table4[[#This Row],[Terrace]]*0.2</f>
        <v>113.264</v>
      </c>
      <c r="L13" s="509" t="s">
        <v>17165</v>
      </c>
      <c r="M13" s="509"/>
      <c r="N13" s="509"/>
      <c r="O13" s="509"/>
      <c r="P13" s="1201"/>
      <c r="Q13" s="509" t="s">
        <v>258</v>
      </c>
      <c r="R13" s="518">
        <v>295850</v>
      </c>
      <c r="S13" s="518">
        <f>Table4[[#This Row],[Asking Price]]*0.97</f>
        <v>298275</v>
      </c>
      <c r="T13" s="518">
        <v>307500</v>
      </c>
      <c r="U13" s="519">
        <f>Table4[[#This Row],[Closing Price]]/Table4[[#This Row],[Saleable Area ]]</f>
        <v>2612.0391298205964</v>
      </c>
      <c r="V13" s="519">
        <f>Table4[[#This Row],[Min. Price]]/Table4[[#This Row],[Saleable Area ]]</f>
        <v>2633.4492866224045</v>
      </c>
      <c r="W13" s="518">
        <f>Table4[[#This Row],[Asking Price]]/Table4[[#This Row],[Saleable Area ]]</f>
        <v>2714.8961717756747</v>
      </c>
      <c r="X13" s="520">
        <f>1-(Table4[[#This Row],[Closing Price]]/Table4[[#This Row],[Asking Price]])</f>
        <v>3.7886178861788578E-2</v>
      </c>
      <c r="Y13" s="555"/>
      <c r="Z13" s="521">
        <v>45337</v>
      </c>
      <c r="AA13" s="522">
        <v>58560</v>
      </c>
      <c r="AB13" s="522"/>
      <c r="AC13" s="521"/>
      <c r="AD13" s="522"/>
      <c r="AE13" s="521"/>
      <c r="AF13" s="522">
        <v>234240</v>
      </c>
      <c r="AG13" s="523" t="s">
        <v>103</v>
      </c>
      <c r="AH13" s="523"/>
      <c r="AI13" s="509"/>
      <c r="AJ13" s="509"/>
      <c r="AK13" s="509"/>
      <c r="AL13" s="509"/>
      <c r="AM13" s="509"/>
      <c r="AN13" s="509"/>
      <c r="AO13" s="509"/>
      <c r="AP13" s="509"/>
      <c r="AQ13" s="523" t="s">
        <v>17340</v>
      </c>
      <c r="AR13" s="523" t="s">
        <v>265</v>
      </c>
      <c r="AS13" s="523"/>
      <c r="AT13" s="523"/>
      <c r="AU13" s="518"/>
      <c r="AV13" s="518"/>
    </row>
    <row r="14" spans="1:16384" s="476" customFormat="1">
      <c r="A14" s="509">
        <v>13</v>
      </c>
      <c r="B14" s="510" t="s">
        <v>36</v>
      </c>
      <c r="C14" s="510" t="s">
        <v>17124</v>
      </c>
      <c r="D14" s="511" t="s">
        <v>89</v>
      </c>
      <c r="E14" s="510">
        <v>1</v>
      </c>
      <c r="F14" s="510" t="s">
        <v>17108</v>
      </c>
      <c r="G14" s="512">
        <v>131.46</v>
      </c>
      <c r="H14" s="513">
        <v>11.9</v>
      </c>
      <c r="I14" s="513"/>
      <c r="J14" s="514"/>
      <c r="K14" s="515">
        <f>G14+H14*0.3+Table4[[#This Row],[Terrace]]*0.2</f>
        <v>135.03</v>
      </c>
      <c r="L14" s="509" t="s">
        <v>17165</v>
      </c>
      <c r="M14" s="509"/>
      <c r="N14" s="509"/>
      <c r="O14" s="509"/>
      <c r="P14" s="516"/>
      <c r="Q14" s="509" t="s">
        <v>258</v>
      </c>
      <c r="R14" s="518">
        <v>336000</v>
      </c>
      <c r="S14" s="518">
        <f>Table4[[#This Row],[Asking Price]]*0.97</f>
        <v>332225</v>
      </c>
      <c r="T14" s="518">
        <v>342500</v>
      </c>
      <c r="U14" s="519">
        <f>Table4[[#This Row],[Closing Price]]/Table4[[#This Row],[Saleable Area ]]</f>
        <v>2488.335925349922</v>
      </c>
      <c r="V14" s="519">
        <f>Table4[[#This Row],[Min. Price]]/Table4[[#This Row],[Saleable Area ]]</f>
        <v>2460.3791749981488</v>
      </c>
      <c r="W14" s="518">
        <f>Table4[[#This Row],[Asking Price]]/Table4[[#This Row],[Saleable Area ]]</f>
        <v>2536.4733762867509</v>
      </c>
      <c r="X14" s="520">
        <f>1-(Table4[[#This Row],[Closing Price]]/Table4[[#This Row],[Asking Price]])</f>
        <v>1.8978102189781021E-2</v>
      </c>
      <c r="Y14" s="555"/>
      <c r="Z14" s="521">
        <v>45527</v>
      </c>
      <c r="AA14" s="522">
        <v>10000</v>
      </c>
      <c r="AB14" s="522">
        <v>23600</v>
      </c>
      <c r="AC14" s="521">
        <v>45530</v>
      </c>
      <c r="AD14" s="522"/>
      <c r="AE14" s="521"/>
      <c r="AF14" s="522">
        <v>302400</v>
      </c>
      <c r="AG14" s="523" t="s">
        <v>103</v>
      </c>
      <c r="AH14" s="523"/>
      <c r="AI14" s="509"/>
      <c r="AJ14" s="509"/>
      <c r="AK14" s="509"/>
      <c r="AL14" s="509"/>
      <c r="AM14" s="509"/>
      <c r="AN14" s="509"/>
      <c r="AO14" s="509"/>
      <c r="AP14" s="509"/>
      <c r="AQ14" s="523" t="s">
        <v>17622</v>
      </c>
      <c r="AR14" s="523" t="s">
        <v>265</v>
      </c>
      <c r="AS14" s="523"/>
      <c r="AT14" s="523"/>
      <c r="AU14" s="518"/>
      <c r="AV14" s="518"/>
    </row>
    <row r="15" spans="1:16384" s="476" customFormat="1">
      <c r="A15" s="509">
        <v>14</v>
      </c>
      <c r="B15" s="510" t="s">
        <v>37</v>
      </c>
      <c r="C15" s="510" t="s">
        <v>17125</v>
      </c>
      <c r="D15" s="511" t="s">
        <v>89</v>
      </c>
      <c r="E15" s="510">
        <v>1</v>
      </c>
      <c r="F15" s="510" t="s">
        <v>17110</v>
      </c>
      <c r="G15" s="512">
        <v>128.09</v>
      </c>
      <c r="H15" s="513">
        <v>11</v>
      </c>
      <c r="I15" s="513"/>
      <c r="J15" s="514"/>
      <c r="K15" s="515">
        <f>G15+H15*0.3+Table4[[#This Row],[Terrace]]*0.2</f>
        <v>131.39000000000001</v>
      </c>
      <c r="L15" s="509" t="s">
        <v>17166</v>
      </c>
      <c r="M15" s="509"/>
      <c r="N15" s="509"/>
      <c r="O15" s="509"/>
      <c r="P15" s="1201"/>
      <c r="Q15" s="509" t="s">
        <v>258</v>
      </c>
      <c r="R15" s="1201">
        <v>332225</v>
      </c>
      <c r="S15" s="518">
        <f>Table4[[#This Row],[Asking Price]]*0.97</f>
        <v>332225</v>
      </c>
      <c r="T15" s="1201">
        <v>342500</v>
      </c>
      <c r="U15" s="519">
        <f>Table4[[#This Row],[Closing Price]]/Table4[[#This Row],[Saleable Area ]]</f>
        <v>2528.5409848542504</v>
      </c>
      <c r="V15" s="519">
        <f>Table4[[#This Row],[Min. Price]]/Table4[[#This Row],[Saleable Area ]]</f>
        <v>2528.5409848542504</v>
      </c>
      <c r="W15" s="518">
        <f>Table4[[#This Row],[Asking Price]]/Table4[[#This Row],[Saleable Area ]]</f>
        <v>2606.7432833548974</v>
      </c>
      <c r="X15" s="520">
        <f>1-(Table4[[#This Row],[Closing Price]]/Table4[[#This Row],[Asking Price]])</f>
        <v>3.0000000000000027E-2</v>
      </c>
      <c r="Y15" s="555" t="s">
        <v>17682</v>
      </c>
      <c r="Z15" s="521">
        <v>45572</v>
      </c>
      <c r="AA15" s="522">
        <v>31782</v>
      </c>
      <c r="AB15" s="522"/>
      <c r="AC15" s="521"/>
      <c r="AD15" s="522"/>
      <c r="AE15" s="521"/>
      <c r="AF15" s="522">
        <v>286043</v>
      </c>
      <c r="AG15" s="509" t="s">
        <v>103</v>
      </c>
      <c r="AH15" s="509"/>
      <c r="AI15" s="509"/>
      <c r="AJ15" s="509"/>
      <c r="AK15" s="509"/>
      <c r="AL15" s="509"/>
      <c r="AM15" s="509"/>
      <c r="AN15" s="509"/>
      <c r="AO15" s="509"/>
      <c r="AP15" s="509"/>
      <c r="AQ15" s="523" t="s">
        <v>17683</v>
      </c>
      <c r="AR15" s="523" t="s">
        <v>265</v>
      </c>
      <c r="AS15" s="523"/>
      <c r="AT15" s="523"/>
      <c r="AU15" s="518"/>
      <c r="AV15" s="518"/>
    </row>
    <row r="16" spans="1:16384" s="476" customFormat="1">
      <c r="A16" s="509">
        <v>15</v>
      </c>
      <c r="B16" s="510" t="s">
        <v>38</v>
      </c>
      <c r="C16" s="510" t="s">
        <v>17126</v>
      </c>
      <c r="D16" s="511" t="s">
        <v>89</v>
      </c>
      <c r="E16" s="510">
        <v>1</v>
      </c>
      <c r="F16" s="510" t="s">
        <v>17111</v>
      </c>
      <c r="G16" s="512">
        <v>117.14</v>
      </c>
      <c r="H16" s="513">
        <v>13.53</v>
      </c>
      <c r="I16" s="513"/>
      <c r="J16" s="514"/>
      <c r="K16" s="515">
        <f>G16+H16*0.3+Table4[[#This Row],[Terrace]]*0.2</f>
        <v>121.199</v>
      </c>
      <c r="L16" s="509" t="s">
        <v>17165</v>
      </c>
      <c r="M16" s="509"/>
      <c r="N16" s="509"/>
      <c r="O16" s="509"/>
      <c r="P16" s="516"/>
      <c r="Q16" s="509" t="s">
        <v>258</v>
      </c>
      <c r="R16" s="517">
        <v>303125</v>
      </c>
      <c r="S16" s="518">
        <f>Table4[[#This Row],[Asking Price]]*0.97</f>
        <v>303125</v>
      </c>
      <c r="T16" s="518">
        <v>312500</v>
      </c>
      <c r="U16" s="519">
        <f>Table4[[#This Row],[Closing Price]]/Table4[[#This Row],[Saleable Area ]]</f>
        <v>2501.0519888777962</v>
      </c>
      <c r="V16" s="519">
        <f>Table4[[#This Row],[Min. Price]]/Table4[[#This Row],[Saleable Area ]]</f>
        <v>2501.0519888777962</v>
      </c>
      <c r="W16" s="518">
        <f>Table4[[#This Row],[Asking Price]]/Table4[[#This Row],[Saleable Area ]]</f>
        <v>2578.4041122451504</v>
      </c>
      <c r="X16" s="520">
        <f>1-(Table4[[#This Row],[Closing Price]]/Table4[[#This Row],[Asking Price]])</f>
        <v>3.0000000000000027E-2</v>
      </c>
      <c r="Y16" s="555">
        <v>45401</v>
      </c>
      <c r="Z16" s="521">
        <v>45506</v>
      </c>
      <c r="AA16" s="522">
        <v>30312.5</v>
      </c>
      <c r="AB16" s="522"/>
      <c r="AC16" s="521"/>
      <c r="AD16" s="522"/>
      <c r="AE16" s="521"/>
      <c r="AF16" s="522">
        <v>272812.5</v>
      </c>
      <c r="AG16" s="523" t="s">
        <v>103</v>
      </c>
      <c r="AH16" s="509"/>
      <c r="AI16" s="509"/>
      <c r="AJ16" s="509"/>
      <c r="AK16" s="509"/>
      <c r="AL16" s="509"/>
      <c r="AM16" s="509"/>
      <c r="AN16" s="509"/>
      <c r="AO16" s="509"/>
      <c r="AP16" s="509"/>
      <c r="AQ16" s="523" t="s">
        <v>17566</v>
      </c>
      <c r="AR16" s="523" t="s">
        <v>265</v>
      </c>
      <c r="AS16" s="523"/>
      <c r="AT16" s="523"/>
      <c r="AU16" s="518"/>
      <c r="AV16" s="518"/>
    </row>
    <row r="17" spans="1:48" s="476" customFormat="1">
      <c r="A17" s="509">
        <v>16</v>
      </c>
      <c r="B17" s="510" t="s">
        <v>39</v>
      </c>
      <c r="C17" s="510" t="s">
        <v>17127</v>
      </c>
      <c r="D17" s="511" t="s">
        <v>89</v>
      </c>
      <c r="E17" s="510">
        <v>1</v>
      </c>
      <c r="F17" s="510" t="s">
        <v>17111</v>
      </c>
      <c r="G17" s="512">
        <v>112.43</v>
      </c>
      <c r="H17" s="513">
        <v>9.9700000000000006</v>
      </c>
      <c r="I17" s="513"/>
      <c r="J17" s="514"/>
      <c r="K17" s="515">
        <f>G17+H17*0.3+Table4[[#This Row],[Terrace]]*0.2</f>
        <v>115.42100000000001</v>
      </c>
      <c r="L17" s="509" t="s">
        <v>17165</v>
      </c>
      <c r="M17" s="509"/>
      <c r="N17" s="509"/>
      <c r="O17" s="509"/>
      <c r="P17" s="1201"/>
      <c r="Q17" s="509" t="s">
        <v>258</v>
      </c>
      <c r="R17" s="518">
        <v>298275</v>
      </c>
      <c r="S17" s="518">
        <f>Table4[[#This Row],[Asking Price]]*0.97</f>
        <v>298275</v>
      </c>
      <c r="T17" s="518">
        <v>307500</v>
      </c>
      <c r="U17" s="519">
        <f>Table4[[#This Row],[Closing Price]]/Table4[[#This Row],[Saleable Area ]]</f>
        <v>2584.2351045303712</v>
      </c>
      <c r="V17" s="519">
        <f>Table4[[#This Row],[Min. Price]]/Table4[[#This Row],[Saleable Area ]]</f>
        <v>2584.2351045303712</v>
      </c>
      <c r="W17" s="518">
        <f>Table4[[#This Row],[Asking Price]]/Table4[[#This Row],[Saleable Area ]]</f>
        <v>2664.1599015777024</v>
      </c>
      <c r="X17" s="520">
        <f>1-(Table4[[#This Row],[Closing Price]]/Table4[[#This Row],[Asking Price]])</f>
        <v>3.0000000000000027E-2</v>
      </c>
      <c r="Y17" s="555"/>
      <c r="Z17" s="521">
        <v>45506</v>
      </c>
      <c r="AA17" s="522">
        <v>29827.5</v>
      </c>
      <c r="AB17" s="522"/>
      <c r="AC17" s="521"/>
      <c r="AD17" s="522"/>
      <c r="AE17" s="521"/>
      <c r="AF17" s="522">
        <v>268447.5</v>
      </c>
      <c r="AG17" s="509" t="s">
        <v>103</v>
      </c>
      <c r="AH17" s="509"/>
      <c r="AI17" s="509"/>
      <c r="AJ17" s="509"/>
      <c r="AK17" s="509"/>
      <c r="AL17" s="509"/>
      <c r="AM17" s="509"/>
      <c r="AN17" s="509"/>
      <c r="AO17" s="509"/>
      <c r="AP17" s="509"/>
      <c r="AQ17" s="523" t="s">
        <v>17567</v>
      </c>
      <c r="AR17" s="523" t="s">
        <v>265</v>
      </c>
      <c r="AS17" s="523"/>
      <c r="AT17" s="523"/>
      <c r="AU17" s="518"/>
      <c r="AV17" s="518"/>
    </row>
    <row r="18" spans="1:48" s="476" customFormat="1">
      <c r="A18" s="509">
        <v>17</v>
      </c>
      <c r="B18" s="510" t="s">
        <v>40</v>
      </c>
      <c r="C18" s="510" t="s">
        <v>17128</v>
      </c>
      <c r="D18" s="511" t="s">
        <v>89</v>
      </c>
      <c r="E18" s="510">
        <v>2</v>
      </c>
      <c r="F18" s="510" t="s">
        <v>17105</v>
      </c>
      <c r="G18" s="512">
        <v>117.21</v>
      </c>
      <c r="H18" s="513">
        <v>9.35</v>
      </c>
      <c r="I18" s="513"/>
      <c r="J18" s="514"/>
      <c r="K18" s="515">
        <f>G18+H18*0.3+Table4[[#This Row],[Terrace]]*0.2</f>
        <v>120.01499999999999</v>
      </c>
      <c r="L18" s="509" t="s">
        <v>17166</v>
      </c>
      <c r="M18" s="509"/>
      <c r="N18" s="509"/>
      <c r="O18" s="509"/>
      <c r="P18" s="516"/>
      <c r="Q18" s="509" t="s">
        <v>258</v>
      </c>
      <c r="R18" s="517">
        <v>295800</v>
      </c>
      <c r="S18" s="518">
        <f>Table4[[#This Row],[Asking Price]]*0.95</f>
        <v>289750</v>
      </c>
      <c r="T18" s="518">
        <v>305000</v>
      </c>
      <c r="U18" s="519">
        <f>Table4[[#This Row],[Closing Price]]/Table4[[#This Row],[Saleable Area ]]</f>
        <v>2464.6919135108114</v>
      </c>
      <c r="V18" s="519">
        <f>Table4[[#This Row],[Min. Price]]/Table4[[#This Row],[Saleable Area ]]</f>
        <v>2414.2815481398161</v>
      </c>
      <c r="W18" s="518">
        <f>Table4[[#This Row],[Asking Price]]/Table4[[#This Row],[Saleable Area ]]</f>
        <v>2541.3489980419117</v>
      </c>
      <c r="X18" s="520">
        <f>1-(Table4[[#This Row],[Closing Price]]/Table4[[#This Row],[Asking Price]])</f>
        <v>3.0163934426229555E-2</v>
      </c>
      <c r="Y18" s="555"/>
      <c r="Z18" s="555">
        <v>45216</v>
      </c>
      <c r="AA18" s="519">
        <v>29580</v>
      </c>
      <c r="AB18" s="519"/>
      <c r="AC18" s="555"/>
      <c r="AD18" s="519"/>
      <c r="AE18" s="555"/>
      <c r="AF18" s="519">
        <v>266220</v>
      </c>
      <c r="AG18" s="509" t="s">
        <v>17439</v>
      </c>
      <c r="AH18" s="509" t="s">
        <v>765</v>
      </c>
      <c r="AI18" s="529"/>
      <c r="AJ18" s="529"/>
      <c r="AK18" s="529"/>
      <c r="AL18" s="529"/>
      <c r="AM18" s="529"/>
      <c r="AN18" s="529"/>
      <c r="AO18" s="529"/>
      <c r="AP18" s="529"/>
      <c r="AQ18" s="509" t="s">
        <v>17220</v>
      </c>
      <c r="AR18" s="509" t="s">
        <v>265</v>
      </c>
      <c r="AS18" s="509"/>
      <c r="AT18" s="509"/>
      <c r="AU18" s="518"/>
      <c r="AV18" s="518"/>
    </row>
    <row r="19" spans="1:48" s="476" customFormat="1">
      <c r="A19" s="509">
        <v>18</v>
      </c>
      <c r="B19" s="510" t="s">
        <v>41</v>
      </c>
      <c r="C19" s="510" t="s">
        <v>17129</v>
      </c>
      <c r="D19" s="511" t="s">
        <v>89</v>
      </c>
      <c r="E19" s="510">
        <v>2</v>
      </c>
      <c r="F19" s="510" t="s">
        <v>17106</v>
      </c>
      <c r="G19" s="512">
        <v>110.5</v>
      </c>
      <c r="H19" s="513">
        <v>9.06</v>
      </c>
      <c r="I19" s="513"/>
      <c r="J19" s="514"/>
      <c r="K19" s="515">
        <f>G19+H19*0.3+Table4[[#This Row],[Terrace]]*0.2</f>
        <v>113.218</v>
      </c>
      <c r="L19" s="509" t="s">
        <v>17166</v>
      </c>
      <c r="M19" s="509"/>
      <c r="N19" s="509"/>
      <c r="O19" s="509"/>
      <c r="P19" s="1201"/>
      <c r="Q19" s="509" t="s">
        <v>258</v>
      </c>
      <c r="R19" s="517">
        <v>300000</v>
      </c>
      <c r="S19" s="518">
        <f>Table4[[#This Row],[Asking Price]]*0.95</f>
        <v>285000</v>
      </c>
      <c r="T19" s="518">
        <v>300000</v>
      </c>
      <c r="U19" s="519">
        <f>Table4[[#This Row],[Closing Price]]/Table4[[#This Row],[Saleable Area ]]</f>
        <v>2649.7553392570085</v>
      </c>
      <c r="V19" s="519">
        <f>Table4[[#This Row],[Min. Price]]/Table4[[#This Row],[Saleable Area ]]</f>
        <v>2517.2675722941581</v>
      </c>
      <c r="W19" s="518">
        <f>Table4[[#This Row],[Asking Price]]/Table4[[#This Row],[Saleable Area ]]</f>
        <v>2649.7553392570085</v>
      </c>
      <c r="X19" s="520">
        <f>1-(Table4[[#This Row],[Closing Price]]/Table4[[#This Row],[Asking Price]])</f>
        <v>0</v>
      </c>
      <c r="Y19" s="555"/>
      <c r="Z19" s="521">
        <v>45169</v>
      </c>
      <c r="AA19" s="522">
        <f>20%*Table4[[#This Row],[Closing Price]]</f>
        <v>60000</v>
      </c>
      <c r="AB19" s="522"/>
      <c r="AC19" s="521"/>
      <c r="AD19" s="522"/>
      <c r="AE19" s="521"/>
      <c r="AF19" s="522">
        <f>80%*Table4[[#This Row],[Closing Price]]</f>
        <v>240000</v>
      </c>
      <c r="AG19" s="523" t="s">
        <v>103</v>
      </c>
      <c r="AH19" s="509"/>
      <c r="AI19" s="509"/>
      <c r="AJ19" s="509"/>
      <c r="AK19" s="509"/>
      <c r="AL19" s="509"/>
      <c r="AM19" s="509"/>
      <c r="AN19" s="509"/>
      <c r="AO19" s="529"/>
      <c r="AP19" s="529"/>
      <c r="AQ19" s="523" t="s">
        <v>17175</v>
      </c>
      <c r="AR19" s="523" t="s">
        <v>265</v>
      </c>
      <c r="AS19" s="523"/>
      <c r="AT19" s="523"/>
      <c r="AU19" s="518"/>
      <c r="AV19" s="518"/>
    </row>
    <row r="20" spans="1:48" s="476" customFormat="1">
      <c r="A20" s="509">
        <v>19</v>
      </c>
      <c r="B20" s="510" t="s">
        <v>42</v>
      </c>
      <c r="C20" s="510" t="s">
        <v>17130</v>
      </c>
      <c r="D20" s="511" t="s">
        <v>89</v>
      </c>
      <c r="E20" s="510">
        <v>2</v>
      </c>
      <c r="F20" s="510" t="s">
        <v>239</v>
      </c>
      <c r="G20" s="512">
        <v>112.1</v>
      </c>
      <c r="H20" s="513">
        <v>8.39</v>
      </c>
      <c r="I20" s="513"/>
      <c r="J20" s="514"/>
      <c r="K20" s="515">
        <f>G20+H20*0.3+Table4[[#This Row],[Terrace]]*0.2</f>
        <v>114.61699999999999</v>
      </c>
      <c r="L20" s="509" t="s">
        <v>17165</v>
      </c>
      <c r="M20" s="509"/>
      <c r="N20" s="509"/>
      <c r="O20" s="509"/>
      <c r="P20" s="516"/>
      <c r="Q20" s="509" t="s">
        <v>258</v>
      </c>
      <c r="R20" s="1201">
        <v>307795</v>
      </c>
      <c r="S20" s="518">
        <f>Table4[[#This Row],[Asking Price]]*0.97</f>
        <v>307975</v>
      </c>
      <c r="T20" s="1201">
        <v>317500</v>
      </c>
      <c r="U20" s="519">
        <f>Table4[[#This Row],[Closing Price]]/Table4[[#This Row],[Saleable Area ]]</f>
        <v>2685.4218833157388</v>
      </c>
      <c r="V20" s="519">
        <f>Table4[[#This Row],[Min. Price]]/Table4[[#This Row],[Saleable Area ]]</f>
        <v>2686.9923309805704</v>
      </c>
      <c r="W20" s="518">
        <f>Table4[[#This Row],[Asking Price]]/Table4[[#This Row],[Saleable Area ]]</f>
        <v>2770.0951865779075</v>
      </c>
      <c r="X20" s="520">
        <f>1-(Table4[[#This Row],[Closing Price]]/Table4[[#This Row],[Asking Price]])</f>
        <v>3.0566929133858278E-2</v>
      </c>
      <c r="Y20" s="555"/>
      <c r="Z20" s="521">
        <v>45506</v>
      </c>
      <c r="AA20" s="522">
        <v>30797.5</v>
      </c>
      <c r="AB20" s="522"/>
      <c r="AC20" s="521"/>
      <c r="AD20" s="522"/>
      <c r="AE20" s="521"/>
      <c r="AF20" s="522">
        <v>277177.5</v>
      </c>
      <c r="AG20" s="509" t="s">
        <v>103</v>
      </c>
      <c r="AH20" s="509"/>
      <c r="AI20" s="509"/>
      <c r="AJ20" s="509"/>
      <c r="AK20" s="509"/>
      <c r="AL20" s="509"/>
      <c r="AM20" s="509"/>
      <c r="AN20" s="509"/>
      <c r="AO20" s="529"/>
      <c r="AP20" s="529"/>
      <c r="AQ20" s="523" t="s">
        <v>17570</v>
      </c>
      <c r="AR20" s="523" t="s">
        <v>265</v>
      </c>
      <c r="AS20" s="523"/>
      <c r="AT20" s="523"/>
      <c r="AU20" s="518"/>
      <c r="AV20" s="518"/>
    </row>
    <row r="21" spans="1:48" s="476" customFormat="1">
      <c r="A21" s="509">
        <v>20</v>
      </c>
      <c r="B21" s="510" t="s">
        <v>43</v>
      </c>
      <c r="C21" s="510" t="s">
        <v>17131</v>
      </c>
      <c r="D21" s="511" t="s">
        <v>89</v>
      </c>
      <c r="E21" s="510">
        <v>2</v>
      </c>
      <c r="F21" s="510" t="s">
        <v>237</v>
      </c>
      <c r="G21" s="512">
        <v>110.6</v>
      </c>
      <c r="H21" s="513">
        <v>8.8800000000000008</v>
      </c>
      <c r="I21" s="513"/>
      <c r="J21" s="514"/>
      <c r="K21" s="515">
        <f>G21+H21*0.3+Table4[[#This Row],[Terrace]]*0.2</f>
        <v>113.264</v>
      </c>
      <c r="L21" s="509" t="s">
        <v>17165</v>
      </c>
      <c r="M21" s="509"/>
      <c r="N21" s="509"/>
      <c r="O21" s="509"/>
      <c r="P21" s="1201"/>
      <c r="Q21" s="509" t="s">
        <v>258</v>
      </c>
      <c r="R21" s="518">
        <v>300700</v>
      </c>
      <c r="S21" s="518">
        <f>Table4[[#This Row],[Asking Price]]*0.97</f>
        <v>303125</v>
      </c>
      <c r="T21" s="518">
        <v>312500</v>
      </c>
      <c r="U21" s="519">
        <f>Table4[[#This Row],[Closing Price]]/Table4[[#This Row],[Saleable Area ]]</f>
        <v>2654.8594434242127</v>
      </c>
      <c r="V21" s="519">
        <f>Table4[[#This Row],[Min. Price]]/Table4[[#This Row],[Saleable Area ]]</f>
        <v>2676.2696002260209</v>
      </c>
      <c r="W21" s="518">
        <f>Table4[[#This Row],[Asking Price]]/Table4[[#This Row],[Saleable Area ]]</f>
        <v>2759.0408249752791</v>
      </c>
      <c r="X21" s="520">
        <f>1-(Table4[[#This Row],[Closing Price]]/Table4[[#This Row],[Asking Price]])</f>
        <v>3.7760000000000016E-2</v>
      </c>
      <c r="Y21" s="555"/>
      <c r="Z21" s="521">
        <v>45337</v>
      </c>
      <c r="AA21" s="522">
        <v>59520</v>
      </c>
      <c r="AB21" s="522"/>
      <c r="AC21" s="521"/>
      <c r="AD21" s="522"/>
      <c r="AE21" s="521"/>
      <c r="AF21" s="522">
        <v>238080</v>
      </c>
      <c r="AG21" s="509" t="s">
        <v>103</v>
      </c>
      <c r="AH21" s="509"/>
      <c r="AI21" s="509"/>
      <c r="AJ21" s="509"/>
      <c r="AK21" s="509"/>
      <c r="AL21" s="509"/>
      <c r="AM21" s="509"/>
      <c r="AN21" s="509"/>
      <c r="AO21" s="529"/>
      <c r="AP21" s="529"/>
      <c r="AQ21" s="523" t="s">
        <v>17339</v>
      </c>
      <c r="AR21" s="523" t="s">
        <v>265</v>
      </c>
      <c r="AS21" s="523"/>
      <c r="AT21" s="523"/>
      <c r="AU21" s="518"/>
      <c r="AV21" s="518"/>
    </row>
    <row r="22" spans="1:48" s="476" customFormat="1">
      <c r="A22" s="509">
        <v>21</v>
      </c>
      <c r="B22" s="510" t="s">
        <v>44</v>
      </c>
      <c r="C22" s="510" t="s">
        <v>17132</v>
      </c>
      <c r="D22" s="511" t="s">
        <v>89</v>
      </c>
      <c r="E22" s="510">
        <v>2</v>
      </c>
      <c r="F22" s="510" t="s">
        <v>17108</v>
      </c>
      <c r="G22" s="512">
        <v>131.46</v>
      </c>
      <c r="H22" s="513">
        <v>11.9</v>
      </c>
      <c r="I22" s="513"/>
      <c r="J22" s="514"/>
      <c r="K22" s="515">
        <f>G22+H22*0.3+Table4[[#This Row],[Terrace]]*0.2</f>
        <v>135.03</v>
      </c>
      <c r="L22" s="509" t="s">
        <v>17166</v>
      </c>
      <c r="M22" s="509"/>
      <c r="N22" s="509"/>
      <c r="O22" s="509"/>
      <c r="P22" s="516"/>
      <c r="Q22" s="509" t="s">
        <v>258</v>
      </c>
      <c r="R22" s="518">
        <v>340550</v>
      </c>
      <c r="S22" s="518">
        <f>Table4[[#This Row],[Asking Price]]*0.97</f>
        <v>337075</v>
      </c>
      <c r="T22" s="518">
        <v>347500</v>
      </c>
      <c r="U22" s="519">
        <f>Table4[[#This Row],[Closing Price]]/Table4[[#This Row],[Saleable Area ]]</f>
        <v>2522.0321410057022</v>
      </c>
      <c r="V22" s="519">
        <f>Table4[[#This Row],[Min. Price]]/Table4[[#This Row],[Saleable Area ]]</f>
        <v>2496.2971191587053</v>
      </c>
      <c r="W22" s="518">
        <f>Table4[[#This Row],[Asking Price]]/Table4[[#This Row],[Saleable Area ]]</f>
        <v>2573.5021846996965</v>
      </c>
      <c r="X22" s="520">
        <f>1-(Table4[[#This Row],[Closing Price]]/Table4[[#This Row],[Asking Price]])</f>
        <v>2.0000000000000018E-2</v>
      </c>
      <c r="Y22" s="555"/>
      <c r="Z22" s="521">
        <v>45484</v>
      </c>
      <c r="AA22" s="522">
        <v>34055</v>
      </c>
      <c r="AB22" s="522">
        <v>34055</v>
      </c>
      <c r="AC22" s="521"/>
      <c r="AD22" s="522"/>
      <c r="AE22" s="521"/>
      <c r="AF22" s="522">
        <v>272440</v>
      </c>
      <c r="AG22" s="509" t="s">
        <v>103</v>
      </c>
      <c r="AH22" s="509"/>
      <c r="AI22" s="509"/>
      <c r="AJ22" s="509"/>
      <c r="AK22" s="509"/>
      <c r="AL22" s="509"/>
      <c r="AM22" s="509"/>
      <c r="AN22" s="509"/>
      <c r="AO22" s="529"/>
      <c r="AP22" s="529"/>
      <c r="AQ22" s="523" t="s">
        <v>17521</v>
      </c>
      <c r="AR22" s="523" t="s">
        <v>265</v>
      </c>
      <c r="AS22" s="523"/>
      <c r="AT22" s="523"/>
      <c r="AU22" s="518"/>
      <c r="AV22" s="518"/>
    </row>
    <row r="23" spans="1:48" s="476" customFormat="1">
      <c r="A23" s="509">
        <v>22</v>
      </c>
      <c r="B23" s="510" t="s">
        <v>45</v>
      </c>
      <c r="C23" s="510" t="s">
        <v>17133</v>
      </c>
      <c r="D23" s="511" t="s">
        <v>89</v>
      </c>
      <c r="E23" s="510">
        <v>2</v>
      </c>
      <c r="F23" s="510" t="s">
        <v>17110</v>
      </c>
      <c r="G23" s="512">
        <v>128.09</v>
      </c>
      <c r="H23" s="513">
        <v>11</v>
      </c>
      <c r="I23" s="513"/>
      <c r="J23" s="514"/>
      <c r="K23" s="515">
        <f>G23+H23*0.3+Table4[[#This Row],[Terrace]]*0.2</f>
        <v>131.39000000000001</v>
      </c>
      <c r="L23" s="509" t="s">
        <v>17166</v>
      </c>
      <c r="M23" s="509"/>
      <c r="N23" s="509"/>
      <c r="O23" s="509"/>
      <c r="P23" s="1201"/>
      <c r="Q23" s="509" t="s">
        <v>258</v>
      </c>
      <c r="R23" s="518">
        <v>330000</v>
      </c>
      <c r="S23" s="518">
        <f>Table4[[#This Row],[Asking Price]]*0.97</f>
        <v>337075</v>
      </c>
      <c r="T23" s="518">
        <v>347500</v>
      </c>
      <c r="U23" s="519">
        <f>Table4[[#This Row],[Closing Price]]/Table4[[#This Row],[Saleable Area ]]</f>
        <v>2511.6066671740618</v>
      </c>
      <c r="V23" s="519">
        <f>Table4[[#This Row],[Min. Price]]/Table4[[#This Row],[Saleable Area ]]</f>
        <v>2565.4539919324147</v>
      </c>
      <c r="W23" s="518">
        <f>Table4[[#This Row],[Asking Price]]/Table4[[#This Row],[Saleable Area ]]</f>
        <v>2644.7979298272317</v>
      </c>
      <c r="X23" s="520">
        <f>1-(Table4[[#This Row],[Closing Price]]/Table4[[#This Row],[Asking Price]])</f>
        <v>5.0359712230215847E-2</v>
      </c>
      <c r="Y23" s="555"/>
      <c r="Z23" s="521">
        <v>45368</v>
      </c>
      <c r="AA23" s="522">
        <v>87000</v>
      </c>
      <c r="AB23" s="522"/>
      <c r="AC23" s="521"/>
      <c r="AD23" s="522"/>
      <c r="AE23" s="521"/>
      <c r="AF23" s="522">
        <f>Table4[[#This Row],[Closing Price]]-Table4[[#This Row],[CPCV Value]]</f>
        <v>243000</v>
      </c>
      <c r="AG23" s="509" t="s">
        <v>103</v>
      </c>
      <c r="AH23" s="509"/>
      <c r="AI23" s="509"/>
      <c r="AJ23" s="509"/>
      <c r="AK23" s="509"/>
      <c r="AL23" s="509"/>
      <c r="AM23" s="509"/>
      <c r="AN23" s="509"/>
      <c r="AO23" s="509"/>
      <c r="AP23" s="509"/>
      <c r="AQ23" s="523" t="s">
        <v>17424</v>
      </c>
      <c r="AR23" s="523" t="s">
        <v>265</v>
      </c>
      <c r="AS23" s="523"/>
      <c r="AT23" s="523"/>
      <c r="AU23" s="518"/>
      <c r="AV23" s="518"/>
    </row>
    <row r="24" spans="1:48" s="476" customFormat="1">
      <c r="A24" s="509">
        <v>23</v>
      </c>
      <c r="B24" s="526" t="s">
        <v>46</v>
      </c>
      <c r="C24" s="510" t="s">
        <v>17134</v>
      </c>
      <c r="D24" s="511" t="s">
        <v>89</v>
      </c>
      <c r="E24" s="526">
        <v>2</v>
      </c>
      <c r="F24" s="526" t="s">
        <v>17111</v>
      </c>
      <c r="G24" s="527">
        <v>117.14</v>
      </c>
      <c r="H24" s="528">
        <v>13.53</v>
      </c>
      <c r="I24" s="528"/>
      <c r="J24" s="514"/>
      <c r="K24" s="515">
        <f>G24+H24*0.3+Table4[[#This Row],[Terrace]]*0.2</f>
        <v>121.199</v>
      </c>
      <c r="L24" s="509" t="s">
        <v>17165</v>
      </c>
      <c r="M24" s="509"/>
      <c r="N24" s="509"/>
      <c r="O24" s="509"/>
      <c r="P24" s="578"/>
      <c r="Q24" s="509" t="s">
        <v>258</v>
      </c>
      <c r="R24" s="518">
        <v>292800</v>
      </c>
      <c r="S24" s="518">
        <f>Table4[[#This Row],[Asking Price]]*0.97</f>
        <v>305550</v>
      </c>
      <c r="T24" s="518">
        <v>315000</v>
      </c>
      <c r="U24" s="519">
        <f>Table4[[#This Row],[Closing Price]]/Table4[[#This Row],[Saleable Area ]]</f>
        <v>2415.8615170092162</v>
      </c>
      <c r="V24" s="519">
        <f>Table4[[#This Row],[Min. Price]]/Table4[[#This Row],[Saleable Area ]]</f>
        <v>2521.0604047888182</v>
      </c>
      <c r="W24" s="518">
        <f>Table4[[#This Row],[Asking Price]]/Table4[[#This Row],[Saleable Area ]]</f>
        <v>2599.0313451431116</v>
      </c>
      <c r="X24" s="520">
        <f>1-(Table4[[#This Row],[Closing Price]]/Table4[[#This Row],[Asking Price]])</f>
        <v>7.047619047619047E-2</v>
      </c>
      <c r="Y24" s="555"/>
      <c r="Z24" s="521">
        <v>45316</v>
      </c>
      <c r="AA24" s="522">
        <f>20%*Table4[[#This Row],[Closing Price]]</f>
        <v>58560</v>
      </c>
      <c r="AB24" s="522"/>
      <c r="AC24" s="521"/>
      <c r="AD24" s="522"/>
      <c r="AE24" s="521"/>
      <c r="AF24" s="522">
        <f>80%*Table4[[#This Row],[Closing Price]]</f>
        <v>234240</v>
      </c>
      <c r="AG24" s="509" t="s">
        <v>17439</v>
      </c>
      <c r="AH24" s="509" t="s">
        <v>765</v>
      </c>
      <c r="AI24" s="529"/>
      <c r="AJ24" s="529"/>
      <c r="AK24" s="529"/>
      <c r="AL24" s="529"/>
      <c r="AM24" s="529"/>
      <c r="AN24" s="529"/>
      <c r="AO24" s="529"/>
      <c r="AP24" s="529"/>
      <c r="AQ24" s="523" t="s">
        <v>17284</v>
      </c>
      <c r="AR24" s="523" t="s">
        <v>265</v>
      </c>
      <c r="AS24" s="523"/>
      <c r="AT24" s="523"/>
      <c r="AU24" s="518"/>
      <c r="AV24" s="518"/>
    </row>
    <row r="25" spans="1:48" s="476" customFormat="1">
      <c r="A25" s="509">
        <v>24</v>
      </c>
      <c r="B25" s="526" t="s">
        <v>47</v>
      </c>
      <c r="C25" s="510" t="s">
        <v>17135</v>
      </c>
      <c r="D25" s="511" t="s">
        <v>89</v>
      </c>
      <c r="E25" s="526">
        <v>2</v>
      </c>
      <c r="F25" s="526" t="s">
        <v>17111</v>
      </c>
      <c r="G25" s="527">
        <v>112.43</v>
      </c>
      <c r="H25" s="528">
        <v>9.9700000000000006</v>
      </c>
      <c r="I25" s="528"/>
      <c r="J25" s="514"/>
      <c r="K25" s="515">
        <f>G25+H25*0.3+Table4[[#This Row],[Terrace]]*0.2</f>
        <v>115.42100000000001</v>
      </c>
      <c r="L25" s="509" t="s">
        <v>17165</v>
      </c>
      <c r="M25" s="509"/>
      <c r="N25" s="509"/>
      <c r="O25" s="509"/>
      <c r="P25" s="582"/>
      <c r="Q25" s="509" t="s">
        <v>17568</v>
      </c>
      <c r="R25" s="517">
        <v>303125</v>
      </c>
      <c r="S25" s="518">
        <f>Table4[[#This Row],[Asking Price]]*0.97</f>
        <v>303125</v>
      </c>
      <c r="T25" s="518">
        <v>312500</v>
      </c>
      <c r="U25" s="519">
        <f>Table4[[#This Row],[Closing Price]]/Table4[[#This Row],[Saleable Area ]]</f>
        <v>2626.255187530865</v>
      </c>
      <c r="V25" s="519">
        <f>Table4[[#This Row],[Min. Price]]/Table4[[#This Row],[Saleable Area ]]</f>
        <v>2626.255187530865</v>
      </c>
      <c r="W25" s="518">
        <f>Table4[[#This Row],[Asking Price]]/Table4[[#This Row],[Saleable Area ]]</f>
        <v>2707.4795747740877</v>
      </c>
      <c r="X25" s="520">
        <f>1-(Table4[[#This Row],[Closing Price]]/Table4[[#This Row],[Asking Price]])</f>
        <v>3.0000000000000027E-2</v>
      </c>
      <c r="Y25" s="555"/>
      <c r="Z25" s="521">
        <v>45506</v>
      </c>
      <c r="AA25" s="522">
        <v>30312.5</v>
      </c>
      <c r="AB25" s="522"/>
      <c r="AC25" s="521"/>
      <c r="AD25" s="522"/>
      <c r="AE25" s="521"/>
      <c r="AF25" s="522">
        <v>272812.5</v>
      </c>
      <c r="AG25" s="509" t="s">
        <v>103</v>
      </c>
      <c r="AH25" s="509"/>
      <c r="AI25" s="529"/>
      <c r="AJ25" s="529"/>
      <c r="AK25" s="529"/>
      <c r="AL25" s="529"/>
      <c r="AM25" s="529"/>
      <c r="AN25" s="529"/>
      <c r="AO25" s="529"/>
      <c r="AP25" s="529"/>
      <c r="AQ25" s="523" t="s">
        <v>17567</v>
      </c>
      <c r="AR25" s="523" t="s">
        <v>265</v>
      </c>
      <c r="AS25" s="523"/>
      <c r="AT25" s="523"/>
      <c r="AU25" s="518"/>
      <c r="AV25" s="518"/>
    </row>
    <row r="26" spans="1:48" s="476" customFormat="1">
      <c r="A26" s="509">
        <v>25</v>
      </c>
      <c r="B26" s="510" t="s">
        <v>48</v>
      </c>
      <c r="C26" s="510" t="s">
        <v>17136</v>
      </c>
      <c r="D26" s="511" t="s">
        <v>89</v>
      </c>
      <c r="E26" s="510">
        <v>3</v>
      </c>
      <c r="F26" s="510" t="s">
        <v>17105</v>
      </c>
      <c r="G26" s="512">
        <v>117.21</v>
      </c>
      <c r="H26" s="513">
        <v>9.35</v>
      </c>
      <c r="I26" s="513"/>
      <c r="J26" s="514"/>
      <c r="K26" s="515">
        <f>G26+H26*0.3+Table4[[#This Row],[Terrace]]*0.2</f>
        <v>120.01499999999999</v>
      </c>
      <c r="L26" s="509" t="s">
        <v>17161</v>
      </c>
      <c r="M26" s="509"/>
      <c r="N26" s="509"/>
      <c r="O26" s="509"/>
      <c r="P26" s="516"/>
      <c r="Q26" s="509" t="s">
        <v>258</v>
      </c>
      <c r="R26" s="517">
        <v>294500</v>
      </c>
      <c r="S26" s="518">
        <f>Table4[[#This Row],[Asking Price]]*0.95</f>
        <v>294500</v>
      </c>
      <c r="T26" s="518">
        <v>310000</v>
      </c>
      <c r="U26" s="519">
        <f>Table4[[#This Row],[Closing Price]]/Table4[[#This Row],[Saleable Area ]]</f>
        <v>2453.859934174895</v>
      </c>
      <c r="V26" s="519">
        <f>Table4[[#This Row],[Min. Price]]/Table4[[#This Row],[Saleable Area ]]</f>
        <v>2453.859934174895</v>
      </c>
      <c r="W26" s="518">
        <f>Table4[[#This Row],[Asking Price]]/Table4[[#This Row],[Saleable Area ]]</f>
        <v>2583.0104570262051</v>
      </c>
      <c r="X26" s="520">
        <f>1-(Table4[[#This Row],[Closing Price]]/Table4[[#This Row],[Asking Price]])</f>
        <v>5.0000000000000044E-2</v>
      </c>
      <c r="Y26" s="555"/>
      <c r="Z26" s="521">
        <v>45237</v>
      </c>
      <c r="AA26" s="522">
        <v>29450</v>
      </c>
      <c r="AB26" s="522"/>
      <c r="AC26" s="521"/>
      <c r="AD26" s="522"/>
      <c r="AE26" s="521"/>
      <c r="AF26" s="522">
        <v>265050</v>
      </c>
      <c r="AG26" s="509" t="s">
        <v>17439</v>
      </c>
      <c r="AH26" s="509"/>
      <c r="AI26" s="529"/>
      <c r="AJ26" s="529"/>
      <c r="AK26" s="529"/>
      <c r="AL26" s="529"/>
      <c r="AM26" s="529"/>
      <c r="AN26" s="529"/>
      <c r="AO26" s="529"/>
      <c r="AP26" s="529"/>
      <c r="AQ26" s="523" t="s">
        <v>17253</v>
      </c>
      <c r="AR26" s="523" t="s">
        <v>265</v>
      </c>
      <c r="AS26" s="523"/>
      <c r="AT26" s="523"/>
      <c r="AU26" s="518"/>
      <c r="AV26" s="518"/>
    </row>
    <row r="27" spans="1:48" s="476" customFormat="1">
      <c r="A27" s="509">
        <v>26</v>
      </c>
      <c r="B27" s="510" t="s">
        <v>49</v>
      </c>
      <c r="C27" s="510" t="s">
        <v>17137</v>
      </c>
      <c r="D27" s="511" t="s">
        <v>89</v>
      </c>
      <c r="E27" s="510">
        <v>3</v>
      </c>
      <c r="F27" s="510" t="s">
        <v>17106</v>
      </c>
      <c r="G27" s="512">
        <v>110.5</v>
      </c>
      <c r="H27" s="513">
        <v>9.06</v>
      </c>
      <c r="I27" s="513"/>
      <c r="J27" s="514"/>
      <c r="K27" s="515">
        <f>G27+H27*0.3+Table4[[#This Row],[Terrace]]*0.2</f>
        <v>113.218</v>
      </c>
      <c r="L27" s="509" t="s">
        <v>17166</v>
      </c>
      <c r="M27" s="509"/>
      <c r="N27" s="509"/>
      <c r="O27" s="509"/>
      <c r="P27" s="1201"/>
      <c r="Q27" s="509" t="s">
        <v>258</v>
      </c>
      <c r="R27" s="517">
        <v>295850</v>
      </c>
      <c r="S27" s="518">
        <f>Table4[[#This Row],[Asking Price]]*0.95</f>
        <v>289750</v>
      </c>
      <c r="T27" s="518">
        <v>305000</v>
      </c>
      <c r="U27" s="519">
        <f>Table4[[#This Row],[Closing Price]]/Table4[[#This Row],[Saleable Area ]]</f>
        <v>2613.1003903972864</v>
      </c>
      <c r="V27" s="519">
        <f>Table4[[#This Row],[Min. Price]]/Table4[[#This Row],[Saleable Area ]]</f>
        <v>2559.2220318323939</v>
      </c>
      <c r="W27" s="518">
        <f>Table4[[#This Row],[Asking Price]]/Table4[[#This Row],[Saleable Area ]]</f>
        <v>2693.9179282446253</v>
      </c>
      <c r="X27" s="520">
        <f>1-(Table4[[#This Row],[Closing Price]]/Table4[[#This Row],[Asking Price]])</f>
        <v>3.0000000000000027E-2</v>
      </c>
      <c r="Y27" s="555"/>
      <c r="Z27" s="521">
        <v>45201</v>
      </c>
      <c r="AA27" s="522">
        <v>59170</v>
      </c>
      <c r="AB27" s="522"/>
      <c r="AC27" s="521"/>
      <c r="AD27" s="522"/>
      <c r="AE27" s="521"/>
      <c r="AF27" s="522">
        <v>236680</v>
      </c>
      <c r="AG27" s="509" t="s">
        <v>103</v>
      </c>
      <c r="AH27" s="509"/>
      <c r="AI27" s="509"/>
      <c r="AJ27" s="509"/>
      <c r="AK27" s="509"/>
      <c r="AL27" s="509"/>
      <c r="AM27" s="509"/>
      <c r="AN27" s="509"/>
      <c r="AO27" s="509"/>
      <c r="AP27" s="509"/>
      <c r="AQ27" s="523" t="s">
        <v>17235</v>
      </c>
      <c r="AR27" s="523" t="s">
        <v>265</v>
      </c>
      <c r="AS27" s="523"/>
      <c r="AT27" s="523"/>
      <c r="AU27" s="518"/>
      <c r="AV27" s="518"/>
    </row>
    <row r="28" spans="1:48" s="476" customFormat="1">
      <c r="A28" s="509">
        <v>27</v>
      </c>
      <c r="B28" s="510" t="s">
        <v>50</v>
      </c>
      <c r="C28" s="510" t="s">
        <v>17138</v>
      </c>
      <c r="D28" s="511" t="s">
        <v>89</v>
      </c>
      <c r="E28" s="510">
        <v>3</v>
      </c>
      <c r="F28" s="510" t="s">
        <v>239</v>
      </c>
      <c r="G28" s="512">
        <v>112.1</v>
      </c>
      <c r="H28" s="513">
        <v>8.39</v>
      </c>
      <c r="I28" s="513"/>
      <c r="J28" s="514"/>
      <c r="K28" s="515">
        <f>G28+H28*0.3+Table4[[#This Row],[Terrace]]*0.2</f>
        <v>114.61699999999999</v>
      </c>
      <c r="L28" s="509" t="s">
        <v>17166</v>
      </c>
      <c r="M28" s="509"/>
      <c r="N28" s="509"/>
      <c r="O28" s="509"/>
      <c r="P28" s="516"/>
      <c r="Q28" s="509" t="s">
        <v>258</v>
      </c>
      <c r="R28" s="517">
        <v>312825</v>
      </c>
      <c r="S28" s="518">
        <f>Table4[[#This Row],[Asking Price]]*0.97</f>
        <v>312825</v>
      </c>
      <c r="T28" s="518">
        <v>322500</v>
      </c>
      <c r="U28" s="519">
        <f>Table4[[#This Row],[Closing Price]]/Table4[[#This Row],[Saleable Area ]]</f>
        <v>2729.3071708385319</v>
      </c>
      <c r="V28" s="519">
        <f>Table4[[#This Row],[Min. Price]]/Table4[[#This Row],[Saleable Area ]]</f>
        <v>2729.3071708385319</v>
      </c>
      <c r="W28" s="518">
        <f>Table4[[#This Row],[Asking Price]]/Table4[[#This Row],[Saleable Area ]]</f>
        <v>2813.7187328232289</v>
      </c>
      <c r="X28" s="520">
        <f>1-(Table4[[#This Row],[Closing Price]]/Table4[[#This Row],[Asking Price]])</f>
        <v>3.0000000000000027E-2</v>
      </c>
      <c r="Y28" s="555"/>
      <c r="Z28" s="521">
        <v>45505</v>
      </c>
      <c r="AA28" s="522">
        <v>62565</v>
      </c>
      <c r="AB28" s="522"/>
      <c r="AC28" s="521"/>
      <c r="AD28" s="522"/>
      <c r="AE28" s="521"/>
      <c r="AF28" s="522">
        <v>256260</v>
      </c>
      <c r="AG28" s="509" t="s">
        <v>103</v>
      </c>
      <c r="AH28" s="509"/>
      <c r="AI28" s="509"/>
      <c r="AJ28" s="509"/>
      <c r="AK28" s="509"/>
      <c r="AL28" s="509"/>
      <c r="AM28" s="509"/>
      <c r="AN28" s="509"/>
      <c r="AO28" s="509"/>
      <c r="AP28" s="509"/>
      <c r="AQ28" s="523" t="s">
        <v>17619</v>
      </c>
      <c r="AR28" s="523" t="s">
        <v>265</v>
      </c>
      <c r="AS28" s="523"/>
      <c r="AT28" s="523"/>
      <c r="AU28" s="518"/>
      <c r="AV28" s="518"/>
    </row>
    <row r="29" spans="1:48" s="476" customFormat="1">
      <c r="A29" s="509">
        <v>28</v>
      </c>
      <c r="B29" s="510" t="s">
        <v>51</v>
      </c>
      <c r="C29" s="510" t="s">
        <v>17139</v>
      </c>
      <c r="D29" s="511" t="s">
        <v>89</v>
      </c>
      <c r="E29" s="510">
        <v>3</v>
      </c>
      <c r="F29" s="510" t="s">
        <v>237</v>
      </c>
      <c r="G29" s="512">
        <v>110.6</v>
      </c>
      <c r="H29" s="513">
        <v>8.8800000000000008</v>
      </c>
      <c r="I29" s="513"/>
      <c r="J29" s="514"/>
      <c r="K29" s="515">
        <f>G29+H29*0.3+Table4[[#This Row],[Terrace]]*0.2</f>
        <v>113.264</v>
      </c>
      <c r="L29" s="509" t="s">
        <v>17166</v>
      </c>
      <c r="M29" s="509"/>
      <c r="N29" s="509"/>
      <c r="O29" s="509"/>
      <c r="P29" s="1201"/>
      <c r="Q29" s="509" t="s">
        <v>258</v>
      </c>
      <c r="R29" s="517">
        <v>314000</v>
      </c>
      <c r="S29" s="518">
        <f>Table4[[#This Row],[Asking Price]]*0.97</f>
        <v>310400</v>
      </c>
      <c r="T29" s="518">
        <v>320000</v>
      </c>
      <c r="U29" s="519">
        <f>Table4[[#This Row],[Closing Price]]/Table4[[#This Row],[Saleable Area ]]</f>
        <v>2772.2842209351606</v>
      </c>
      <c r="V29" s="519">
        <f>Table4[[#This Row],[Min. Price]]/Table4[[#This Row],[Saleable Area ]]</f>
        <v>2740.5000706314454</v>
      </c>
      <c r="W29" s="518">
        <f>Table4[[#This Row],[Asking Price]]/Table4[[#This Row],[Saleable Area ]]</f>
        <v>2825.2578047746856</v>
      </c>
      <c r="X29" s="520">
        <f>1-(Table4[[#This Row],[Closing Price]]/Table4[[#This Row],[Asking Price]])</f>
        <v>1.8750000000000044E-2</v>
      </c>
      <c r="Y29" s="555"/>
      <c r="Z29" s="521">
        <v>45527</v>
      </c>
      <c r="AA29" s="522">
        <v>31400</v>
      </c>
      <c r="AB29" s="522"/>
      <c r="AC29" s="521"/>
      <c r="AD29" s="522"/>
      <c r="AE29" s="521"/>
      <c r="AF29" s="522">
        <v>282600</v>
      </c>
      <c r="AG29" s="509" t="s">
        <v>103</v>
      </c>
      <c r="AH29" s="509"/>
      <c r="AI29" s="509"/>
      <c r="AJ29" s="509"/>
      <c r="AK29" s="509"/>
      <c r="AL29" s="509"/>
      <c r="AM29" s="509"/>
      <c r="AN29" s="509"/>
      <c r="AO29" s="509"/>
      <c r="AP29" s="509"/>
      <c r="AQ29" s="523" t="s">
        <v>17603</v>
      </c>
      <c r="AR29" s="523" t="s">
        <v>565</v>
      </c>
      <c r="AS29" s="523"/>
      <c r="AT29" s="523"/>
      <c r="AU29" s="518"/>
      <c r="AV29" s="518"/>
    </row>
    <row r="30" spans="1:48" s="476" customFormat="1">
      <c r="A30" s="509">
        <v>29</v>
      </c>
      <c r="B30" s="510" t="s">
        <v>52</v>
      </c>
      <c r="C30" s="510" t="s">
        <v>17140</v>
      </c>
      <c r="D30" s="511" t="s">
        <v>89</v>
      </c>
      <c r="E30" s="510">
        <v>3</v>
      </c>
      <c r="F30" s="510" t="s">
        <v>17108</v>
      </c>
      <c r="G30" s="512">
        <v>131.46</v>
      </c>
      <c r="H30" s="513">
        <v>11.9</v>
      </c>
      <c r="I30" s="513"/>
      <c r="J30" s="514"/>
      <c r="K30" s="515">
        <f>G30+H30*0.3+Table4[[#This Row],[Terrace]]*0.2</f>
        <v>135.03</v>
      </c>
      <c r="L30" s="509" t="s">
        <v>17166</v>
      </c>
      <c r="M30" s="509"/>
      <c r="N30" s="509"/>
      <c r="O30" s="509"/>
      <c r="P30" s="516"/>
      <c r="Q30" s="509" t="s">
        <v>258</v>
      </c>
      <c r="R30" s="517">
        <v>344350</v>
      </c>
      <c r="S30" s="518">
        <f>Table4[[#This Row],[Asking Price]]*0.97</f>
        <v>344350</v>
      </c>
      <c r="T30" s="518">
        <v>355000</v>
      </c>
      <c r="U30" s="519">
        <f>Table4[[#This Row],[Closing Price]]/Table4[[#This Row],[Saleable Area ]]</f>
        <v>2550.174035399541</v>
      </c>
      <c r="V30" s="519">
        <f>Table4[[#This Row],[Min. Price]]/Table4[[#This Row],[Saleable Area ]]</f>
        <v>2550.174035399541</v>
      </c>
      <c r="W30" s="518">
        <f>Table4[[#This Row],[Asking Price]]/Table4[[#This Row],[Saleable Area ]]</f>
        <v>2629.0453973191143</v>
      </c>
      <c r="X30" s="520">
        <f>1-(Table4[[#This Row],[Closing Price]]/Table4[[#This Row],[Asking Price]])</f>
        <v>3.0000000000000027E-2</v>
      </c>
      <c r="Y30" s="555"/>
      <c r="Z30" s="521">
        <v>45524</v>
      </c>
      <c r="AA30" s="522">
        <f>10%*Table4[[#This Row],[Closing Price]]</f>
        <v>34435</v>
      </c>
      <c r="AB30" s="522"/>
      <c r="AC30" s="521"/>
      <c r="AD30" s="522"/>
      <c r="AE30" s="521"/>
      <c r="AF30" s="522">
        <f>90%*Table4[[#This Row],[Closing Price]]</f>
        <v>309915</v>
      </c>
      <c r="AG30" s="509" t="s">
        <v>103</v>
      </c>
      <c r="AH30" s="509"/>
      <c r="AI30" s="509"/>
      <c r="AJ30" s="509"/>
      <c r="AK30" s="509"/>
      <c r="AL30" s="509"/>
      <c r="AM30" s="509"/>
      <c r="AN30" s="509"/>
      <c r="AO30" s="509"/>
      <c r="AP30" s="509"/>
      <c r="AQ30" s="523" t="s">
        <v>17597</v>
      </c>
      <c r="AR30" s="523" t="s">
        <v>265</v>
      </c>
      <c r="AS30" s="523"/>
      <c r="AT30" s="523"/>
      <c r="AU30" s="518"/>
      <c r="AV30" s="518"/>
    </row>
    <row r="31" spans="1:48" s="476" customFormat="1">
      <c r="A31" s="509">
        <v>30</v>
      </c>
      <c r="B31" s="526" t="s">
        <v>53</v>
      </c>
      <c r="C31" s="510" t="s">
        <v>17141</v>
      </c>
      <c r="D31" s="511" t="s">
        <v>89</v>
      </c>
      <c r="E31" s="526">
        <v>3</v>
      </c>
      <c r="F31" s="526" t="s">
        <v>17110</v>
      </c>
      <c r="G31" s="527">
        <v>128.09</v>
      </c>
      <c r="H31" s="528">
        <v>11</v>
      </c>
      <c r="I31" s="528"/>
      <c r="J31" s="514"/>
      <c r="K31" s="515">
        <f>G31+H31*0.3+Table4[[#This Row],[Terrace]]*0.2</f>
        <v>131.39000000000001</v>
      </c>
      <c r="L31" s="509" t="s">
        <v>17166</v>
      </c>
      <c r="M31" s="509"/>
      <c r="N31" s="509"/>
      <c r="O31" s="509"/>
      <c r="P31" s="582"/>
      <c r="Q31" s="509" t="s">
        <v>258</v>
      </c>
      <c r="R31" s="518">
        <v>342500</v>
      </c>
      <c r="S31" s="518">
        <f>Table4[[#This Row],[Asking Price]]*0.97</f>
        <v>332225</v>
      </c>
      <c r="T31" s="518">
        <v>342500</v>
      </c>
      <c r="U31" s="519">
        <f>Table4[[#This Row],[Closing Price]]/Table4[[#This Row],[Saleable Area ]]</f>
        <v>2606.7432833548974</v>
      </c>
      <c r="V31" s="519">
        <f>Table4[[#This Row],[Min. Price]]/Table4[[#This Row],[Saleable Area ]]</f>
        <v>2528.5409848542504</v>
      </c>
      <c r="W31" s="518">
        <f>Table4[[#This Row],[Asking Price]]/Table4[[#This Row],[Saleable Area ]]</f>
        <v>2606.7432833548974</v>
      </c>
      <c r="X31" s="520">
        <f>1-(Table4[[#This Row],[Closing Price]]/Table4[[#This Row],[Asking Price]])</f>
        <v>0</v>
      </c>
      <c r="Y31" s="555"/>
      <c r="Z31" s="521">
        <v>45317</v>
      </c>
      <c r="AA31" s="522">
        <v>51375</v>
      </c>
      <c r="AB31" s="522"/>
      <c r="AC31" s="521"/>
      <c r="AD31" s="522"/>
      <c r="AE31" s="521"/>
      <c r="AF31" s="522">
        <v>291125</v>
      </c>
      <c r="AG31" s="509" t="s">
        <v>103</v>
      </c>
      <c r="AH31" s="509"/>
      <c r="AI31" s="529"/>
      <c r="AJ31" s="529"/>
      <c r="AK31" s="529"/>
      <c r="AL31" s="529"/>
      <c r="AM31" s="529"/>
      <c r="AN31" s="529"/>
      <c r="AO31" s="529"/>
      <c r="AP31" s="529"/>
      <c r="AQ31" s="523" t="s">
        <v>17287</v>
      </c>
      <c r="AR31" s="523" t="s">
        <v>265</v>
      </c>
      <c r="AS31" s="523"/>
      <c r="AT31" s="523"/>
      <c r="AU31" s="518"/>
      <c r="AV31" s="518"/>
    </row>
    <row r="32" spans="1:48" s="476" customFormat="1">
      <c r="A32" s="509">
        <v>31</v>
      </c>
      <c r="B32" s="526" t="s">
        <v>54</v>
      </c>
      <c r="C32" s="510" t="s">
        <v>17142</v>
      </c>
      <c r="D32" s="511" t="s">
        <v>89</v>
      </c>
      <c r="E32" s="526">
        <v>3</v>
      </c>
      <c r="F32" s="526" t="s">
        <v>17111</v>
      </c>
      <c r="G32" s="527">
        <v>117.14</v>
      </c>
      <c r="H32" s="528">
        <v>13.53</v>
      </c>
      <c r="I32" s="528"/>
      <c r="J32" s="514"/>
      <c r="K32" s="515">
        <f>G32+H32*0.3+Table4[[#This Row],[Terrace]]*0.2</f>
        <v>121.199</v>
      </c>
      <c r="L32" s="509" t="s">
        <v>17165</v>
      </c>
      <c r="M32" s="509"/>
      <c r="N32" s="509"/>
      <c r="O32" s="509"/>
      <c r="P32" s="578"/>
      <c r="Q32" s="509" t="s">
        <v>258</v>
      </c>
      <c r="R32" s="518">
        <f>Table4[[#This Row],[Asking Price]]*0.97</f>
        <v>310400</v>
      </c>
      <c r="S32" s="518">
        <f>Table4[[#This Row],[Asking Price]]*0.97</f>
        <v>310400</v>
      </c>
      <c r="T32" s="518">
        <v>320000</v>
      </c>
      <c r="U32" s="519">
        <f>Table4[[#This Row],[Closing Price]]/Table4[[#This Row],[Saleable Area ]]</f>
        <v>2561.0772366108631</v>
      </c>
      <c r="V32" s="519">
        <f>Table4[[#This Row],[Min. Price]]/Table4[[#This Row],[Saleable Area ]]</f>
        <v>2561.0772366108631</v>
      </c>
      <c r="W32" s="518">
        <f>Table4[[#This Row],[Asking Price]]/Table4[[#This Row],[Saleable Area ]]</f>
        <v>2640.285810939034</v>
      </c>
      <c r="X32" s="520">
        <f>1-(Table4[[#This Row],[Closing Price]]/Table4[[#This Row],[Asking Price]])</f>
        <v>3.0000000000000027E-2</v>
      </c>
      <c r="Y32" s="555"/>
      <c r="Z32" s="521">
        <v>45324</v>
      </c>
      <c r="AA32" s="522">
        <v>12400</v>
      </c>
      <c r="AB32" s="522">
        <v>59520</v>
      </c>
      <c r="AC32" s="521"/>
      <c r="AD32" s="522"/>
      <c r="AE32" s="521"/>
      <c r="AF32" s="522">
        <v>238080</v>
      </c>
      <c r="AG32" s="509" t="s">
        <v>17439</v>
      </c>
      <c r="AH32" s="509" t="s">
        <v>17295</v>
      </c>
      <c r="AI32" s="529"/>
      <c r="AJ32" s="529"/>
      <c r="AK32" s="529"/>
      <c r="AL32" s="509"/>
      <c r="AM32" s="509"/>
      <c r="AN32" s="509"/>
      <c r="AO32" s="529"/>
      <c r="AP32" s="509"/>
      <c r="AQ32" s="523" t="s">
        <v>17294</v>
      </c>
      <c r="AR32" s="523" t="s">
        <v>265</v>
      </c>
      <c r="AS32" s="523"/>
      <c r="AT32" s="523"/>
      <c r="AU32" s="518"/>
      <c r="AV32" s="518"/>
    </row>
    <row r="33" spans="1:48" s="476" customFormat="1">
      <c r="A33" s="509">
        <v>32</v>
      </c>
      <c r="B33" s="510" t="s">
        <v>55</v>
      </c>
      <c r="C33" s="510" t="s">
        <v>17143</v>
      </c>
      <c r="D33" s="511" t="s">
        <v>89</v>
      </c>
      <c r="E33" s="510">
        <v>3</v>
      </c>
      <c r="F33" s="510" t="s">
        <v>17111</v>
      </c>
      <c r="G33" s="512">
        <v>112.43</v>
      </c>
      <c r="H33" s="513">
        <v>9.9700000000000006</v>
      </c>
      <c r="I33" s="513"/>
      <c r="J33" s="514"/>
      <c r="K33" s="515">
        <f>G33+H33*0.3+Table4[[#This Row],[Terrace]]*0.2</f>
        <v>115.42100000000001</v>
      </c>
      <c r="L33" s="509" t="s">
        <v>17165</v>
      </c>
      <c r="M33" s="509"/>
      <c r="N33" s="509"/>
      <c r="O33" s="509"/>
      <c r="P33" s="1201"/>
      <c r="Q33" s="509" t="s">
        <v>258</v>
      </c>
      <c r="R33" s="517">
        <v>289750</v>
      </c>
      <c r="S33" s="518">
        <f>Table4[[#This Row],[Asking Price]]*0.95</f>
        <v>289750</v>
      </c>
      <c r="T33" s="518">
        <v>305000</v>
      </c>
      <c r="U33" s="519">
        <f>Table4[[#This Row],[Closing Price]]/Table4[[#This Row],[Saleable Area ]]</f>
        <v>2510.3750617305341</v>
      </c>
      <c r="V33" s="519">
        <f>Table4[[#This Row],[Min. Price]]/Table4[[#This Row],[Saleable Area ]]</f>
        <v>2510.3750617305341</v>
      </c>
      <c r="W33" s="518">
        <f>Table4[[#This Row],[Asking Price]]/Table4[[#This Row],[Saleable Area ]]</f>
        <v>2642.5000649795097</v>
      </c>
      <c r="X33" s="520">
        <f>1-(Table4[[#This Row],[Closing Price]]/Table4[[#This Row],[Asking Price]])</f>
        <v>5.0000000000000044E-2</v>
      </c>
      <c r="Y33" s="555"/>
      <c r="Z33" s="521">
        <v>45259</v>
      </c>
      <c r="AA33" s="522">
        <v>28975</v>
      </c>
      <c r="AB33" s="522"/>
      <c r="AC33" s="521"/>
      <c r="AD33" s="522"/>
      <c r="AE33" s="521"/>
      <c r="AF33" s="522">
        <v>260775</v>
      </c>
      <c r="AG33" s="509" t="s">
        <v>103</v>
      </c>
      <c r="AH33" s="509"/>
      <c r="AI33" s="509"/>
      <c r="AJ33" s="509"/>
      <c r="AK33" s="509"/>
      <c r="AL33" s="509"/>
      <c r="AM33" s="509"/>
      <c r="AN33" s="509"/>
      <c r="AO33" s="509"/>
      <c r="AP33" s="509"/>
      <c r="AQ33" s="523" t="s">
        <v>17250</v>
      </c>
      <c r="AR33" s="523" t="s">
        <v>265</v>
      </c>
      <c r="AS33" s="523"/>
      <c r="AT33" s="523"/>
      <c r="AU33" s="518"/>
      <c r="AV33" s="518"/>
    </row>
    <row r="34" spans="1:48" s="476" customFormat="1">
      <c r="A34" s="509">
        <v>33</v>
      </c>
      <c r="B34" s="510" t="s">
        <v>56</v>
      </c>
      <c r="C34" s="510" t="s">
        <v>17144</v>
      </c>
      <c r="D34" s="511" t="s">
        <v>89</v>
      </c>
      <c r="E34" s="510">
        <v>4</v>
      </c>
      <c r="F34" s="510" t="s">
        <v>17105</v>
      </c>
      <c r="G34" s="512">
        <v>117.21</v>
      </c>
      <c r="H34" s="513">
        <v>9.35</v>
      </c>
      <c r="I34" s="513"/>
      <c r="J34" s="514"/>
      <c r="K34" s="515">
        <f>G34+H34*0.3+Table4[[#This Row],[Terrace]]*0.2</f>
        <v>120.01499999999999</v>
      </c>
      <c r="L34" s="509" t="s">
        <v>17164</v>
      </c>
      <c r="M34" s="509"/>
      <c r="N34" s="509"/>
      <c r="O34" s="509"/>
      <c r="P34" s="516"/>
      <c r="Q34" s="509" t="s">
        <v>258</v>
      </c>
      <c r="R34" s="517">
        <f>0.91*Table4[[#This Row],[Asking Price]]</f>
        <v>286650</v>
      </c>
      <c r="S34" s="518">
        <f>Table4[[#This Row],[Asking Price]]*0.95</f>
        <v>299250</v>
      </c>
      <c r="T34" s="518">
        <v>315000</v>
      </c>
      <c r="U34" s="519">
        <f>Table4[[#This Row],[Closing Price]]/Table4[[#This Row],[Saleable Area ]]</f>
        <v>2388.4514435695542</v>
      </c>
      <c r="V34" s="519">
        <f>Table4[[#This Row],[Min. Price]]/Table4[[#This Row],[Saleable Area ]]</f>
        <v>2493.4383202099739</v>
      </c>
      <c r="W34" s="518">
        <f>Table4[[#This Row],[Asking Price]]/Table4[[#This Row],[Saleable Area ]]</f>
        <v>2624.671916010499</v>
      </c>
      <c r="X34" s="520">
        <f>1-(Table4[[#This Row],[Closing Price]]/Table4[[#This Row],[Asking Price]])</f>
        <v>8.9999999999999969E-2</v>
      </c>
      <c r="Y34" s="555"/>
      <c r="Z34" s="521">
        <v>45233</v>
      </c>
      <c r="AA34" s="522">
        <v>28665</v>
      </c>
      <c r="AB34" s="522"/>
      <c r="AC34" s="521"/>
      <c r="AD34" s="522"/>
      <c r="AE34" s="521"/>
      <c r="AF34" s="522">
        <v>257985</v>
      </c>
      <c r="AG34" s="509" t="s">
        <v>17440</v>
      </c>
      <c r="AH34" s="509" t="s">
        <v>455</v>
      </c>
      <c r="AI34" s="509"/>
      <c r="AJ34" s="509"/>
      <c r="AK34" s="509"/>
      <c r="AL34" s="509"/>
      <c r="AM34" s="509"/>
      <c r="AN34" s="509"/>
      <c r="AO34" s="509"/>
      <c r="AP34" s="509"/>
      <c r="AQ34" s="523" t="s">
        <v>17212</v>
      </c>
      <c r="AR34" s="523" t="s">
        <v>265</v>
      </c>
      <c r="AS34" s="523"/>
      <c r="AT34" s="523"/>
      <c r="AU34" s="518"/>
      <c r="AV34" s="518"/>
    </row>
    <row r="35" spans="1:48" s="476" customFormat="1">
      <c r="A35" s="509">
        <v>34</v>
      </c>
      <c r="B35" s="510" t="s">
        <v>57</v>
      </c>
      <c r="C35" s="510" t="s">
        <v>17145</v>
      </c>
      <c r="D35" s="511" t="s">
        <v>89</v>
      </c>
      <c r="E35" s="510">
        <v>4</v>
      </c>
      <c r="F35" s="510" t="s">
        <v>17106</v>
      </c>
      <c r="G35" s="512">
        <v>110.5</v>
      </c>
      <c r="H35" s="513">
        <v>9.06</v>
      </c>
      <c r="I35" s="513"/>
      <c r="J35" s="514"/>
      <c r="K35" s="515">
        <f>G35+H35*0.3+Table4[[#This Row],[Terrace]]*0.2</f>
        <v>113.218</v>
      </c>
      <c r="L35" s="509" t="s">
        <v>17162</v>
      </c>
      <c r="M35" s="509"/>
      <c r="N35" s="509"/>
      <c r="O35" s="509"/>
      <c r="P35" s="1201"/>
      <c r="Q35" s="509" t="s">
        <v>258</v>
      </c>
      <c r="R35" s="517">
        <v>316050</v>
      </c>
      <c r="S35" s="518">
        <f>Table4[[#This Row],[Asking Price]]*0.97</f>
        <v>312825</v>
      </c>
      <c r="T35" s="518">
        <v>322500</v>
      </c>
      <c r="U35" s="519">
        <f>Table4[[#This Row],[Closing Price]]/Table4[[#This Row],[Saleable Area ]]</f>
        <v>2791.5172499072587</v>
      </c>
      <c r="V35" s="519">
        <f>Table4[[#This Row],[Min. Price]]/Table4[[#This Row],[Saleable Area ]]</f>
        <v>2763.0323800102456</v>
      </c>
      <c r="W35" s="518">
        <f>Table4[[#This Row],[Asking Price]]/Table4[[#This Row],[Saleable Area ]]</f>
        <v>2848.4869897012841</v>
      </c>
      <c r="X35" s="520">
        <f>1-(Table4[[#This Row],[Closing Price]]/Table4[[#This Row],[Asking Price]])</f>
        <v>2.0000000000000018E-2</v>
      </c>
      <c r="Y35" s="555">
        <v>45394</v>
      </c>
      <c r="Z35" s="521">
        <v>45492</v>
      </c>
      <c r="AA35" s="522">
        <f>10%*Table4[[#This Row],[Closing Price]]</f>
        <v>31605</v>
      </c>
      <c r="AB35" s="522"/>
      <c r="AC35" s="521"/>
      <c r="AD35" s="522"/>
      <c r="AE35" s="521"/>
      <c r="AF35" s="522">
        <f>90%*Table4[[#This Row],[Closing Price]]</f>
        <v>284445</v>
      </c>
      <c r="AG35" s="509" t="s">
        <v>103</v>
      </c>
      <c r="AH35" s="509"/>
      <c r="AI35" s="509"/>
      <c r="AJ35" s="509"/>
      <c r="AK35" s="509"/>
      <c r="AL35" s="509"/>
      <c r="AM35" s="509"/>
      <c r="AN35" s="509"/>
      <c r="AO35" s="509"/>
      <c r="AP35" s="509"/>
      <c r="AQ35" s="523" t="s">
        <v>17545</v>
      </c>
      <c r="AR35" s="523" t="s">
        <v>265</v>
      </c>
      <c r="AS35" s="523"/>
      <c r="AT35" s="523"/>
      <c r="AU35" s="518"/>
      <c r="AV35" s="518"/>
    </row>
    <row r="36" spans="1:48" s="476" customFormat="1">
      <c r="A36" s="509">
        <v>35</v>
      </c>
      <c r="B36" s="510" t="s">
        <v>58</v>
      </c>
      <c r="C36" s="510" t="s">
        <v>17146</v>
      </c>
      <c r="D36" s="511" t="s">
        <v>89</v>
      </c>
      <c r="E36" s="510">
        <v>4</v>
      </c>
      <c r="F36" s="510" t="s">
        <v>239</v>
      </c>
      <c r="G36" s="512">
        <v>112.1</v>
      </c>
      <c r="H36" s="513">
        <v>8.39</v>
      </c>
      <c r="I36" s="513"/>
      <c r="J36" s="514"/>
      <c r="K36" s="515">
        <f>G36+H36*0.3+Table4[[#This Row],[Terrace]]*0.2</f>
        <v>114.61699999999999</v>
      </c>
      <c r="L36" s="509" t="s">
        <v>17166</v>
      </c>
      <c r="M36" s="509"/>
      <c r="N36" s="509"/>
      <c r="O36" s="509"/>
      <c r="P36" s="516"/>
      <c r="Q36" s="509" t="s">
        <v>258</v>
      </c>
      <c r="R36" s="517">
        <v>317675</v>
      </c>
      <c r="S36" s="518">
        <f>Table4[[#This Row],[Asking Price]]*0.97</f>
        <v>317675</v>
      </c>
      <c r="T36" s="518">
        <v>327500</v>
      </c>
      <c r="U36" s="519">
        <f>Table4[[#This Row],[Closing Price]]/Table4[[#This Row],[Saleable Area ]]</f>
        <v>2771.6220106964938</v>
      </c>
      <c r="V36" s="519">
        <f>Table4[[#This Row],[Min. Price]]/Table4[[#This Row],[Saleable Area ]]</f>
        <v>2771.6220106964938</v>
      </c>
      <c r="W36" s="518">
        <f>Table4[[#This Row],[Asking Price]]/Table4[[#This Row],[Saleable Area ]]</f>
        <v>2857.3422790685504</v>
      </c>
      <c r="X36" s="520">
        <f>1-(Table4[[#This Row],[Closing Price]]/Table4[[#This Row],[Asking Price]])</f>
        <v>3.0000000000000027E-2</v>
      </c>
      <c r="Y36" s="555" t="s">
        <v>17682</v>
      </c>
      <c r="Z36" s="521">
        <v>45572</v>
      </c>
      <c r="AA36" s="522">
        <v>33222</v>
      </c>
      <c r="AB36" s="522"/>
      <c r="AC36" s="521"/>
      <c r="AD36" s="522"/>
      <c r="AE36" s="521"/>
      <c r="AF36" s="522">
        <v>299003</v>
      </c>
      <c r="AG36" s="509" t="s">
        <v>103</v>
      </c>
      <c r="AH36" s="509"/>
      <c r="AI36" s="509"/>
      <c r="AJ36" s="509"/>
      <c r="AK36" s="509"/>
      <c r="AL36" s="509"/>
      <c r="AM36" s="509"/>
      <c r="AN36" s="509"/>
      <c r="AO36" s="509"/>
      <c r="AP36" s="509"/>
      <c r="AQ36" s="523" t="s">
        <v>17683</v>
      </c>
      <c r="AR36" s="523" t="s">
        <v>265</v>
      </c>
      <c r="AS36" s="523"/>
      <c r="AT36" s="523"/>
      <c r="AU36" s="518"/>
      <c r="AV36" s="518"/>
    </row>
    <row r="37" spans="1:48" s="476" customFormat="1">
      <c r="A37" s="509">
        <v>36</v>
      </c>
      <c r="B37" s="510" t="s">
        <v>59</v>
      </c>
      <c r="C37" s="510" t="s">
        <v>17147</v>
      </c>
      <c r="D37" s="511" t="s">
        <v>89</v>
      </c>
      <c r="E37" s="510">
        <v>4</v>
      </c>
      <c r="F37" s="510" t="s">
        <v>237</v>
      </c>
      <c r="G37" s="512">
        <v>110.6</v>
      </c>
      <c r="H37" s="513">
        <v>8.8800000000000008</v>
      </c>
      <c r="I37" s="513"/>
      <c r="J37" s="514"/>
      <c r="K37" s="515">
        <f>G37+H37*0.3+Table4[[#This Row],[Terrace]]*0.2</f>
        <v>113.264</v>
      </c>
      <c r="L37" s="509" t="s">
        <v>17166</v>
      </c>
      <c r="M37" s="509"/>
      <c r="N37" s="509"/>
      <c r="O37" s="509"/>
      <c r="P37" s="1201"/>
      <c r="Q37" s="509" t="s">
        <v>258</v>
      </c>
      <c r="R37" s="518">
        <v>310400</v>
      </c>
      <c r="S37" s="518">
        <f>Table4[[#This Row],[Asking Price]]*0.97</f>
        <v>312825</v>
      </c>
      <c r="T37" s="518">
        <v>322500</v>
      </c>
      <c r="U37" s="519">
        <f>Table4[[#This Row],[Closing Price]]/Table4[[#This Row],[Saleable Area ]]</f>
        <v>2740.5000706314454</v>
      </c>
      <c r="V37" s="519">
        <f>Table4[[#This Row],[Min. Price]]/Table4[[#This Row],[Saleable Area ]]</f>
        <v>2761.9102274332536</v>
      </c>
      <c r="W37" s="518">
        <f>Table4[[#This Row],[Asking Price]]/Table4[[#This Row],[Saleable Area ]]</f>
        <v>2847.3301313744882</v>
      </c>
      <c r="X37" s="520">
        <f>1-(Table4[[#This Row],[Closing Price]]/Table4[[#This Row],[Asking Price]])</f>
        <v>3.7519379844961231E-2</v>
      </c>
      <c r="Y37" s="555" t="s">
        <v>17370</v>
      </c>
      <c r="Z37" s="521">
        <v>45352</v>
      </c>
      <c r="AA37" s="522">
        <v>62080</v>
      </c>
      <c r="AB37" s="522"/>
      <c r="AC37" s="521"/>
      <c r="AD37" s="522"/>
      <c r="AE37" s="521"/>
      <c r="AF37" s="522">
        <v>248320</v>
      </c>
      <c r="AG37" s="509" t="s">
        <v>103</v>
      </c>
      <c r="AH37" s="509"/>
      <c r="AI37" s="509"/>
      <c r="AJ37" s="509"/>
      <c r="AK37" s="509"/>
      <c r="AL37" s="509"/>
      <c r="AM37" s="509"/>
      <c r="AN37" s="509"/>
      <c r="AO37" s="509"/>
      <c r="AP37" s="509"/>
      <c r="AQ37" s="523" t="s">
        <v>17349</v>
      </c>
      <c r="AR37" s="523" t="s">
        <v>265</v>
      </c>
      <c r="AS37" s="523"/>
      <c r="AT37" s="523"/>
      <c r="AU37" s="518"/>
      <c r="AV37" s="518"/>
    </row>
    <row r="38" spans="1:48" s="476" customFormat="1">
      <c r="A38" s="509">
        <v>37</v>
      </c>
      <c r="B38" s="526" t="s">
        <v>60</v>
      </c>
      <c r="C38" s="510" t="s">
        <v>17148</v>
      </c>
      <c r="D38" s="511" t="s">
        <v>89</v>
      </c>
      <c r="E38" s="526">
        <v>4</v>
      </c>
      <c r="F38" s="526" t="s">
        <v>17108</v>
      </c>
      <c r="G38" s="527">
        <v>131.46</v>
      </c>
      <c r="H38" s="528">
        <v>11.9</v>
      </c>
      <c r="I38" s="528"/>
      <c r="J38" s="514"/>
      <c r="K38" s="515">
        <f>G38+H38*0.3+Table4[[#This Row],[Terrace]]*0.2</f>
        <v>135.03</v>
      </c>
      <c r="L38" s="509" t="s">
        <v>17161</v>
      </c>
      <c r="M38" s="509"/>
      <c r="N38" s="509"/>
      <c r="O38" s="509"/>
      <c r="P38" s="578"/>
      <c r="Q38" s="509" t="s">
        <v>258</v>
      </c>
      <c r="R38" s="517">
        <v>330125</v>
      </c>
      <c r="S38" s="518">
        <f>Table4[[#This Row],[Asking Price]]*0.95</f>
        <v>330125</v>
      </c>
      <c r="T38" s="582">
        <v>347500</v>
      </c>
      <c r="U38" s="519">
        <f>Table4[[#This Row],[Closing Price]]/Table4[[#This Row],[Saleable Area ]]</f>
        <v>2444.8270754647115</v>
      </c>
      <c r="V38" s="519">
        <f>Table4[[#This Row],[Min. Price]]/Table4[[#This Row],[Saleable Area ]]</f>
        <v>2444.8270754647115</v>
      </c>
      <c r="W38" s="518">
        <f>Table4[[#This Row],[Asking Price]]/Table4[[#This Row],[Saleable Area ]]</f>
        <v>2573.5021846996965</v>
      </c>
      <c r="X38" s="520">
        <f>1-(Table4[[#This Row],[Closing Price]]/Table4[[#This Row],[Asking Price]])</f>
        <v>5.0000000000000044E-2</v>
      </c>
      <c r="Y38" s="555"/>
      <c r="Z38" s="521">
        <v>45254</v>
      </c>
      <c r="AA38" s="522">
        <v>33125</v>
      </c>
      <c r="AB38" s="522"/>
      <c r="AC38" s="521"/>
      <c r="AD38" s="522"/>
      <c r="AE38" s="521"/>
      <c r="AF38" s="522">
        <v>297000</v>
      </c>
      <c r="AG38" s="509" t="s">
        <v>103</v>
      </c>
      <c r="AH38" s="509"/>
      <c r="AI38" s="529"/>
      <c r="AJ38" s="529"/>
      <c r="AK38" s="529"/>
      <c r="AL38" s="529"/>
      <c r="AM38" s="509"/>
      <c r="AN38" s="529"/>
      <c r="AO38" s="529"/>
      <c r="AP38" s="529"/>
      <c r="AQ38" s="523" t="s">
        <v>17249</v>
      </c>
      <c r="AR38" s="523" t="s">
        <v>265</v>
      </c>
      <c r="AS38" s="523"/>
      <c r="AT38" s="523"/>
      <c r="AU38" s="518"/>
      <c r="AV38" s="518"/>
    </row>
    <row r="39" spans="1:48" s="476" customFormat="1">
      <c r="A39" s="509">
        <v>38</v>
      </c>
      <c r="B39" s="510" t="s">
        <v>61</v>
      </c>
      <c r="C39" s="510" t="s">
        <v>17149</v>
      </c>
      <c r="D39" s="511" t="s">
        <v>89</v>
      </c>
      <c r="E39" s="510">
        <v>4</v>
      </c>
      <c r="F39" s="510" t="s">
        <v>17110</v>
      </c>
      <c r="G39" s="512">
        <v>128.09</v>
      </c>
      <c r="H39" s="513">
        <v>11</v>
      </c>
      <c r="I39" s="513"/>
      <c r="J39" s="514"/>
      <c r="K39" s="515">
        <f>G39+H39*0.3+Table4[[#This Row],[Terrace]]*0.2</f>
        <v>131.39000000000001</v>
      </c>
      <c r="L39" s="509" t="s">
        <v>17166</v>
      </c>
      <c r="M39" s="509"/>
      <c r="N39" s="509"/>
      <c r="O39" s="509"/>
      <c r="P39" s="1201"/>
      <c r="Q39" s="509" t="s">
        <v>258</v>
      </c>
      <c r="R39" s="517">
        <v>340000</v>
      </c>
      <c r="S39" s="518">
        <v>340000</v>
      </c>
      <c r="T39" s="518">
        <v>347500</v>
      </c>
      <c r="U39" s="519">
        <f>Table4[[#This Row],[Closing Price]]/Table4[[#This Row],[Saleable Area ]]</f>
        <v>2587.71596011873</v>
      </c>
      <c r="V39" s="519">
        <f>Table4[[#This Row],[Min. Price]]/Table4[[#This Row],[Saleable Area ]]</f>
        <v>2587.71596011873</v>
      </c>
      <c r="W39" s="518">
        <f>Table4[[#This Row],[Asking Price]]/Table4[[#This Row],[Saleable Area ]]</f>
        <v>2644.7979298272317</v>
      </c>
      <c r="X39" s="520">
        <f>1-(Table4[[#This Row],[Closing Price]]/Table4[[#This Row],[Asking Price]])</f>
        <v>2.1582733812949617E-2</v>
      </c>
      <c r="Y39" s="555"/>
      <c r="Z39" s="521">
        <v>45219</v>
      </c>
      <c r="AA39" s="522">
        <v>34000</v>
      </c>
      <c r="AB39" s="522"/>
      <c r="AC39" s="521"/>
      <c r="AD39" s="522"/>
      <c r="AE39" s="521"/>
      <c r="AF39" s="522">
        <v>306000</v>
      </c>
      <c r="AG39" s="509" t="s">
        <v>17439</v>
      </c>
      <c r="AH39" s="509"/>
      <c r="AI39" s="509"/>
      <c r="AJ39" s="509"/>
      <c r="AK39" s="509"/>
      <c r="AL39" s="509"/>
      <c r="AM39" s="509"/>
      <c r="AN39" s="509"/>
      <c r="AO39" s="509"/>
      <c r="AP39" s="509"/>
      <c r="AQ39" s="523" t="s">
        <v>17213</v>
      </c>
      <c r="AR39" s="523" t="s">
        <v>265</v>
      </c>
      <c r="AS39" s="523"/>
      <c r="AT39" s="523"/>
      <c r="AU39" s="518"/>
      <c r="AV39" s="518"/>
    </row>
    <row r="40" spans="1:48" s="476" customFormat="1">
      <c r="A40" s="509">
        <v>39</v>
      </c>
      <c r="B40" s="510" t="s">
        <v>62</v>
      </c>
      <c r="C40" s="510" t="s">
        <v>17150</v>
      </c>
      <c r="D40" s="511" t="s">
        <v>89</v>
      </c>
      <c r="E40" s="510">
        <v>4</v>
      </c>
      <c r="F40" s="510" t="s">
        <v>17111</v>
      </c>
      <c r="G40" s="512">
        <v>117.14</v>
      </c>
      <c r="H40" s="513">
        <v>13.53</v>
      </c>
      <c r="I40" s="513"/>
      <c r="J40" s="514"/>
      <c r="K40" s="515">
        <f>G40+H40*0.3+Table4[[#This Row],[Terrace]]*0.2</f>
        <v>121.199</v>
      </c>
      <c r="L40" s="509" t="s">
        <v>17164</v>
      </c>
      <c r="M40" s="509"/>
      <c r="N40" s="509"/>
      <c r="O40" s="509"/>
      <c r="P40" s="516"/>
      <c r="Q40" s="509" t="s">
        <v>258</v>
      </c>
      <c r="R40" s="517">
        <v>299250</v>
      </c>
      <c r="S40" s="518">
        <f>Table4[[#This Row],[Asking Price]]*0.95</f>
        <v>299250</v>
      </c>
      <c r="T40" s="518">
        <v>315000</v>
      </c>
      <c r="U40" s="519">
        <f>Table4[[#This Row],[Closing Price]]/Table4[[#This Row],[Saleable Area ]]</f>
        <v>2469.079777885956</v>
      </c>
      <c r="V40" s="519">
        <f>Table4[[#This Row],[Min. Price]]/Table4[[#This Row],[Saleable Area ]]</f>
        <v>2469.079777885956</v>
      </c>
      <c r="W40" s="518">
        <f>Table4[[#This Row],[Asking Price]]/Table4[[#This Row],[Saleable Area ]]</f>
        <v>2599.0313451431116</v>
      </c>
      <c r="X40" s="520">
        <f>1-(Table4[[#This Row],[Closing Price]]/Table4[[#This Row],[Asking Price]])</f>
        <v>5.0000000000000044E-2</v>
      </c>
      <c r="Y40" s="555"/>
      <c r="Z40" s="1830">
        <v>45225</v>
      </c>
      <c r="AA40" s="1831">
        <f>10%*Table4[[#This Row],[Closing Price]]</f>
        <v>29925</v>
      </c>
      <c r="AB40" s="1831"/>
      <c r="AC40" s="1830"/>
      <c r="AD40" s="1831"/>
      <c r="AE40" s="1830"/>
      <c r="AF40" s="1831">
        <f>90%*Table4[[#This Row],[Closing Price]]</f>
        <v>269325</v>
      </c>
      <c r="AG40" s="509" t="s">
        <v>17439</v>
      </c>
      <c r="AH40" s="509"/>
      <c r="AI40" s="509"/>
      <c r="AJ40" s="509"/>
      <c r="AK40" s="509"/>
      <c r="AL40" s="509"/>
      <c r="AM40" s="509"/>
      <c r="AN40" s="509"/>
      <c r="AO40" s="509"/>
      <c r="AP40" s="509"/>
      <c r="AQ40" s="1829" t="s">
        <v>17234</v>
      </c>
      <c r="AR40" s="1829" t="s">
        <v>265</v>
      </c>
      <c r="AS40" s="1829"/>
      <c r="AT40" s="1829"/>
      <c r="AU40" s="518"/>
      <c r="AV40" s="518"/>
    </row>
    <row r="41" spans="1:48" s="476" customFormat="1">
      <c r="A41" s="509">
        <v>40</v>
      </c>
      <c r="B41" s="526" t="s">
        <v>63</v>
      </c>
      <c r="C41" s="510" t="s">
        <v>17151</v>
      </c>
      <c r="D41" s="511" t="s">
        <v>89</v>
      </c>
      <c r="E41" s="526">
        <v>4</v>
      </c>
      <c r="F41" s="526" t="s">
        <v>17111</v>
      </c>
      <c r="G41" s="527">
        <v>112.43</v>
      </c>
      <c r="H41" s="528">
        <v>9.9700000000000006</v>
      </c>
      <c r="I41" s="528"/>
      <c r="J41" s="514"/>
      <c r="K41" s="515">
        <f>G41+H41*0.3+Table4[[#This Row],[Terrace]]*0.2</f>
        <v>115.42100000000001</v>
      </c>
      <c r="L41" s="509" t="s">
        <v>17165</v>
      </c>
      <c r="M41" s="509"/>
      <c r="N41" s="509"/>
      <c r="O41" s="509"/>
      <c r="P41" s="582"/>
      <c r="Q41" s="509" t="s">
        <v>258</v>
      </c>
      <c r="R41" s="517">
        <v>316000</v>
      </c>
      <c r="S41" s="518">
        <f>Table4[[#This Row],[Asking Price]]*0.97</f>
        <v>312825</v>
      </c>
      <c r="T41" s="518">
        <v>322500</v>
      </c>
      <c r="U41" s="519">
        <f>Table4[[#This Row],[Closing Price]]/Table4[[#This Row],[Saleable Area ]]</f>
        <v>2737.8033460115576</v>
      </c>
      <c r="V41" s="519">
        <f>Table4[[#This Row],[Min. Price]]/Table4[[#This Row],[Saleable Area ]]</f>
        <v>2710.2953535318529</v>
      </c>
      <c r="W41" s="518">
        <f>Table4[[#This Row],[Asking Price]]/Table4[[#This Row],[Saleable Area ]]</f>
        <v>2794.1189211668584</v>
      </c>
      <c r="X41" s="520">
        <f>1-(Table4[[#This Row],[Closing Price]]/Table4[[#This Row],[Asking Price]])</f>
        <v>2.0155038759689936E-2</v>
      </c>
      <c r="Y41" s="555"/>
      <c r="Z41" s="521">
        <v>45513</v>
      </c>
      <c r="AA41" s="522">
        <v>63200</v>
      </c>
      <c r="AB41" s="522"/>
      <c r="AC41" s="521"/>
      <c r="AD41" s="522"/>
      <c r="AE41" s="521"/>
      <c r="AF41" s="522">
        <v>252800</v>
      </c>
      <c r="AG41" s="509" t="s">
        <v>103</v>
      </c>
      <c r="AH41" s="509"/>
      <c r="AI41" s="529"/>
      <c r="AJ41" s="529"/>
      <c r="AK41" s="529"/>
      <c r="AL41" s="529"/>
      <c r="AM41" s="529"/>
      <c r="AN41" s="529"/>
      <c r="AO41" s="529"/>
      <c r="AP41" s="529"/>
      <c r="AQ41" s="523" t="s">
        <v>17591</v>
      </c>
      <c r="AR41" s="523" t="s">
        <v>265</v>
      </c>
      <c r="AS41" s="523"/>
      <c r="AT41" s="523"/>
      <c r="AU41" s="518"/>
      <c r="AV41" s="518"/>
    </row>
    <row r="42" spans="1:48" s="476" customFormat="1">
      <c r="A42" s="509">
        <v>41</v>
      </c>
      <c r="B42" s="510" t="s">
        <v>64</v>
      </c>
      <c r="C42" s="510" t="s">
        <v>17152</v>
      </c>
      <c r="D42" s="511" t="s">
        <v>89</v>
      </c>
      <c r="E42" s="510">
        <v>5</v>
      </c>
      <c r="F42" s="510" t="s">
        <v>17109</v>
      </c>
      <c r="G42" s="512">
        <v>137.32</v>
      </c>
      <c r="H42" s="513"/>
      <c r="I42" s="513">
        <v>45.04</v>
      </c>
      <c r="J42" s="514"/>
      <c r="K42" s="515">
        <f>G42+H42*0.3+Table4[[#This Row],[Terrace]]*0.2</f>
        <v>146.328</v>
      </c>
      <c r="L42" s="509" t="s">
        <v>17161</v>
      </c>
      <c r="M42" s="509"/>
      <c r="N42" s="509"/>
      <c r="O42" s="509"/>
      <c r="P42" s="516"/>
      <c r="Q42" s="509" t="s">
        <v>258</v>
      </c>
      <c r="R42" s="518">
        <v>420000</v>
      </c>
      <c r="S42" s="518">
        <f>Table4[[#This Row],[Asking Price]]*0.97</f>
        <v>426800</v>
      </c>
      <c r="T42" s="518">
        <v>440000</v>
      </c>
      <c r="U42" s="519">
        <f>Table4[[#This Row],[Closing Price]]/Table4[[#This Row],[Saleable Area ]]</f>
        <v>2870.264064293915</v>
      </c>
      <c r="V42" s="519">
        <f>Table4[[#This Row],[Min. Price]]/Table4[[#This Row],[Saleable Area ]]</f>
        <v>2916.7350062872451</v>
      </c>
      <c r="W42" s="518">
        <f>Table4[[#This Row],[Asking Price]]/Table4[[#This Row],[Saleable Area ]]</f>
        <v>3006.9433054507681</v>
      </c>
      <c r="X42" s="520">
        <f>1-(Table4[[#This Row],[Closing Price]]/Table4[[#This Row],[Asking Price]])</f>
        <v>4.5454545454545414E-2</v>
      </c>
      <c r="Y42" s="555"/>
      <c r="Z42" s="521">
        <v>45621</v>
      </c>
      <c r="AA42" s="522">
        <f>10%*Table4[[#This Row],[Closing Price]]</f>
        <v>42000</v>
      </c>
      <c r="AB42" s="522"/>
      <c r="AC42" s="521"/>
      <c r="AD42" s="522"/>
      <c r="AE42" s="521"/>
      <c r="AF42" s="522">
        <f>90%*420000</f>
        <v>378000</v>
      </c>
      <c r="AG42" s="509" t="s">
        <v>103</v>
      </c>
      <c r="AH42" s="509"/>
      <c r="AI42" s="509"/>
      <c r="AJ42" s="509"/>
      <c r="AK42" s="509"/>
      <c r="AL42" s="509"/>
      <c r="AM42" s="509"/>
      <c r="AN42" s="509"/>
      <c r="AO42" s="509"/>
      <c r="AP42" s="509"/>
      <c r="AQ42" s="523" t="s">
        <v>17731</v>
      </c>
      <c r="AR42" s="523" t="s">
        <v>265</v>
      </c>
      <c r="AS42" s="523"/>
      <c r="AT42" s="523"/>
      <c r="AU42" s="518"/>
      <c r="AV42" s="518"/>
    </row>
    <row r="43" spans="1:48" s="476" customFormat="1">
      <c r="A43" s="509">
        <v>42</v>
      </c>
      <c r="B43" s="510" t="s">
        <v>65</v>
      </c>
      <c r="C43" s="510" t="s">
        <v>17153</v>
      </c>
      <c r="D43" s="511" t="s">
        <v>90</v>
      </c>
      <c r="E43" s="510">
        <v>5</v>
      </c>
      <c r="F43" s="510" t="s">
        <v>239</v>
      </c>
      <c r="G43" s="512">
        <v>52.08</v>
      </c>
      <c r="H43" s="513"/>
      <c r="I43" s="513">
        <v>3.46</v>
      </c>
      <c r="J43" s="514"/>
      <c r="K43" s="515">
        <f>G43+H43*0.3+Table4[[#This Row],[Terrace]]*0.2</f>
        <v>52.771999999999998</v>
      </c>
      <c r="L43" s="509" t="s">
        <v>17165</v>
      </c>
      <c r="M43" s="509"/>
      <c r="N43" s="509"/>
      <c r="O43" s="509"/>
      <c r="P43" s="1201"/>
      <c r="Q43" s="509" t="s">
        <v>258</v>
      </c>
      <c r="R43" s="517">
        <v>169750</v>
      </c>
      <c r="S43" s="518">
        <v>174000</v>
      </c>
      <c r="T43" s="518">
        <v>174000</v>
      </c>
      <c r="U43" s="519">
        <f>Table4[[#This Row],[Closing Price]]/Table4[[#This Row],[Saleable Area ]]</f>
        <v>3216.667929962859</v>
      </c>
      <c r="V43" s="519">
        <f>Table4[[#This Row],[Min. Price]]/Table4[[#This Row],[Saleable Area ]]</f>
        <v>3297.2030622299703</v>
      </c>
      <c r="W43" s="518">
        <f>Table4[[#This Row],[Asking Price]]/Table4[[#This Row],[Saleable Area ]]</f>
        <v>3297.2030622299703</v>
      </c>
      <c r="X43" s="520">
        <f>1-(Table4[[#This Row],[Closing Price]]/Table4[[#This Row],[Asking Price]])</f>
        <v>2.4425287356321879E-2</v>
      </c>
      <c r="Y43" s="555"/>
      <c r="Z43" s="521">
        <v>45162</v>
      </c>
      <c r="AA43" s="522">
        <v>25462.5</v>
      </c>
      <c r="AB43" s="522">
        <v>25462.5</v>
      </c>
      <c r="AC43" s="521">
        <v>45406</v>
      </c>
      <c r="AD43" s="522"/>
      <c r="AE43" s="521"/>
      <c r="AF43" s="522">
        <v>118825</v>
      </c>
      <c r="AG43" s="509" t="s">
        <v>103</v>
      </c>
      <c r="AH43" s="509"/>
      <c r="AI43" s="509"/>
      <c r="AJ43" s="509"/>
      <c r="AK43" s="509"/>
      <c r="AL43" s="509"/>
      <c r="AM43" s="509"/>
      <c r="AN43" s="509"/>
      <c r="AO43" s="509"/>
      <c r="AP43" s="509"/>
      <c r="AQ43" s="523" t="s">
        <v>17181</v>
      </c>
      <c r="AR43" s="523" t="s">
        <v>265</v>
      </c>
      <c r="AS43" s="523"/>
      <c r="AT43" s="523"/>
      <c r="AU43" s="518"/>
      <c r="AV43" s="518"/>
    </row>
    <row r="44" spans="1:48" s="476" customFormat="1">
      <c r="A44" s="509">
        <v>43</v>
      </c>
      <c r="B44" s="526" t="s">
        <v>66</v>
      </c>
      <c r="C44" s="510" t="s">
        <v>17154</v>
      </c>
      <c r="D44" s="511" t="s">
        <v>89</v>
      </c>
      <c r="E44" s="526">
        <v>5</v>
      </c>
      <c r="F44" s="526" t="s">
        <v>239</v>
      </c>
      <c r="G44" s="527">
        <v>112.1</v>
      </c>
      <c r="H44" s="528">
        <v>8.39</v>
      </c>
      <c r="I44" s="528"/>
      <c r="J44" s="514"/>
      <c r="K44" s="515">
        <f>G44+H44*0.3+Table4[[#This Row],[Terrace]]*0.2</f>
        <v>114.61699999999999</v>
      </c>
      <c r="L44" s="509" t="s">
        <v>17163</v>
      </c>
      <c r="M44" s="509"/>
      <c r="N44" s="509"/>
      <c r="O44" s="509"/>
      <c r="P44" s="578"/>
      <c r="Q44" s="509" t="s">
        <v>258</v>
      </c>
      <c r="R44" s="518">
        <v>305000</v>
      </c>
      <c r="S44" s="518">
        <f>Table4[[#This Row],[Asking Price]]*0.95</f>
        <v>301625</v>
      </c>
      <c r="T44" s="518">
        <v>317500</v>
      </c>
      <c r="U44" s="519">
        <f>Table4[[#This Row],[Closing Price]]/Table4[[#This Row],[Saleable Area ]]</f>
        <v>2661.0363209646039</v>
      </c>
      <c r="V44" s="519">
        <f>Table4[[#This Row],[Min. Price]]/Table4[[#This Row],[Saleable Area ]]</f>
        <v>2631.590427249012</v>
      </c>
      <c r="W44" s="518">
        <f>Table4[[#This Row],[Asking Price]]/Table4[[#This Row],[Saleable Area ]]</f>
        <v>2770.0951865779075</v>
      </c>
      <c r="X44" s="520">
        <f>1-(Table4[[#This Row],[Closing Price]]/Table4[[#This Row],[Asking Price]])</f>
        <v>3.9370078740157521E-2</v>
      </c>
      <c r="Y44" s="555"/>
      <c r="Z44" s="521">
        <v>45316</v>
      </c>
      <c r="AA44" s="522">
        <v>61000</v>
      </c>
      <c r="AB44" s="522"/>
      <c r="AC44" s="521"/>
      <c r="AD44" s="522"/>
      <c r="AE44" s="521"/>
      <c r="AF44" s="522">
        <v>244000</v>
      </c>
      <c r="AG44" s="509" t="s">
        <v>17439</v>
      </c>
      <c r="AH44" s="509"/>
      <c r="AI44" s="529"/>
      <c r="AJ44" s="529"/>
      <c r="AK44" s="529"/>
      <c r="AL44" s="529"/>
      <c r="AM44" s="529"/>
      <c r="AN44" s="529"/>
      <c r="AO44" s="509"/>
      <c r="AP44" s="509"/>
      <c r="AQ44" s="523" t="s">
        <v>17291</v>
      </c>
      <c r="AR44" s="523" t="s">
        <v>565</v>
      </c>
      <c r="AS44" s="523"/>
      <c r="AT44" s="523"/>
      <c r="AU44" s="518"/>
      <c r="AV44" s="518"/>
    </row>
    <row r="45" spans="1:48" s="476" customFormat="1">
      <c r="A45" s="509">
        <v>44</v>
      </c>
      <c r="B45" s="510" t="s">
        <v>67</v>
      </c>
      <c r="C45" s="510" t="s">
        <v>17155</v>
      </c>
      <c r="D45" s="511" t="s">
        <v>89</v>
      </c>
      <c r="E45" s="510">
        <v>5</v>
      </c>
      <c r="F45" s="510" t="s">
        <v>237</v>
      </c>
      <c r="G45" s="512">
        <v>110.6</v>
      </c>
      <c r="H45" s="513">
        <v>8.8800000000000008</v>
      </c>
      <c r="I45" s="513"/>
      <c r="J45" s="514"/>
      <c r="K45" s="515">
        <f>G45+H45*0.3+Table4[[#This Row],[Terrace]]*0.2</f>
        <v>113.264</v>
      </c>
      <c r="L45" s="509" t="s">
        <v>17165</v>
      </c>
      <c r="M45" s="509"/>
      <c r="N45" s="509"/>
      <c r="O45" s="509"/>
      <c r="P45" s="1201"/>
      <c r="Q45" s="509" t="s">
        <v>258</v>
      </c>
      <c r="R45" s="517">
        <v>317675</v>
      </c>
      <c r="S45" s="518">
        <f>Table4[[#This Row],[Asking Price]]*0.97</f>
        <v>317675</v>
      </c>
      <c r="T45" s="518">
        <v>327500</v>
      </c>
      <c r="U45" s="519">
        <f>Table4[[#This Row],[Closing Price]]/Table4[[#This Row],[Saleable Area ]]</f>
        <v>2804.7305410368699</v>
      </c>
      <c r="V45" s="519">
        <f>Table4[[#This Row],[Min. Price]]/Table4[[#This Row],[Saleable Area ]]</f>
        <v>2804.7305410368699</v>
      </c>
      <c r="W45" s="518">
        <f>Table4[[#This Row],[Asking Price]]/Table4[[#This Row],[Saleable Area ]]</f>
        <v>2891.4747845740926</v>
      </c>
      <c r="X45" s="520">
        <f>1-(Table4[[#This Row],[Closing Price]]/Table4[[#This Row],[Asking Price]])</f>
        <v>3.0000000000000027E-2</v>
      </c>
      <c r="Y45" s="555"/>
      <c r="Z45" s="521">
        <v>45509</v>
      </c>
      <c r="AA45" s="522">
        <v>31767</v>
      </c>
      <c r="AB45" s="522"/>
      <c r="AC45" s="521"/>
      <c r="AD45" s="522"/>
      <c r="AE45" s="521"/>
      <c r="AF45" s="522">
        <v>285908</v>
      </c>
      <c r="AG45" s="509" t="s">
        <v>103</v>
      </c>
      <c r="AH45" s="509"/>
      <c r="AI45" s="509"/>
      <c r="AJ45" s="509"/>
      <c r="AK45" s="509"/>
      <c r="AL45" s="509"/>
      <c r="AM45" s="509"/>
      <c r="AN45" s="509"/>
      <c r="AO45" s="509"/>
      <c r="AP45" s="509"/>
      <c r="AQ45" s="523" t="s">
        <v>17576</v>
      </c>
      <c r="AR45" s="523" t="s">
        <v>265</v>
      </c>
      <c r="AS45" s="523"/>
      <c r="AT45" s="523"/>
      <c r="AU45" s="518"/>
      <c r="AV45" s="518"/>
    </row>
    <row r="46" spans="1:48" s="476" customFormat="1">
      <c r="A46" s="509">
        <v>45</v>
      </c>
      <c r="B46" s="510" t="s">
        <v>68</v>
      </c>
      <c r="C46" s="510" t="s">
        <v>17156</v>
      </c>
      <c r="D46" s="511" t="s">
        <v>89</v>
      </c>
      <c r="E46" s="510">
        <v>5</v>
      </c>
      <c r="F46" s="510" t="s">
        <v>17108</v>
      </c>
      <c r="G46" s="512">
        <v>131.46</v>
      </c>
      <c r="H46" s="513">
        <v>11.9</v>
      </c>
      <c r="I46" s="513"/>
      <c r="J46" s="514"/>
      <c r="K46" s="515">
        <f>G46+H46*0.3+Table4[[#This Row],[Terrace]]*0.2</f>
        <v>135.03</v>
      </c>
      <c r="L46" s="509" t="s">
        <v>17161</v>
      </c>
      <c r="M46" s="509"/>
      <c r="N46" s="509"/>
      <c r="O46" s="509"/>
      <c r="P46" s="516"/>
      <c r="Q46" s="509" t="s">
        <v>258</v>
      </c>
      <c r="R46" s="518">
        <v>365000</v>
      </c>
      <c r="S46" s="518">
        <f>Table4[[#This Row],[Asking Price]]*0.97</f>
        <v>363750</v>
      </c>
      <c r="T46" s="518">
        <v>375000</v>
      </c>
      <c r="U46" s="519">
        <f>Table4[[#This Row],[Closing Price]]/Table4[[#This Row],[Saleable Area ]]</f>
        <v>2703.1030141450046</v>
      </c>
      <c r="V46" s="519">
        <f>Table4[[#This Row],[Min. Price]]/Table4[[#This Row],[Saleable Area ]]</f>
        <v>2693.8458120417686</v>
      </c>
      <c r="W46" s="518">
        <f>Table4[[#This Row],[Asking Price]]/Table4[[#This Row],[Saleable Area ]]</f>
        <v>2777.1606309708955</v>
      </c>
      <c r="X46" s="520">
        <f>1-(Table4[[#This Row],[Closing Price]]/Table4[[#This Row],[Asking Price]])</f>
        <v>2.6666666666666616E-2</v>
      </c>
      <c r="Y46" s="555"/>
      <c r="Z46" s="521">
        <v>45399</v>
      </c>
      <c r="AA46" s="522">
        <v>36500</v>
      </c>
      <c r="AB46" s="522">
        <v>36500</v>
      </c>
      <c r="AC46" s="521">
        <v>45504</v>
      </c>
      <c r="AD46" s="522"/>
      <c r="AE46" s="521"/>
      <c r="AF46" s="522">
        <v>255500</v>
      </c>
      <c r="AG46" s="509" t="s">
        <v>103</v>
      </c>
      <c r="AH46" s="509"/>
      <c r="AI46" s="509"/>
      <c r="AJ46" s="509"/>
      <c r="AK46" s="509"/>
      <c r="AL46" s="509"/>
      <c r="AM46" s="509"/>
      <c r="AN46" s="509"/>
      <c r="AO46" s="509"/>
      <c r="AP46" s="509"/>
      <c r="AQ46" s="523"/>
      <c r="AR46" s="523" t="s">
        <v>265</v>
      </c>
      <c r="AS46" s="523"/>
      <c r="AT46" s="523"/>
      <c r="AU46" s="518"/>
      <c r="AV46" s="518"/>
    </row>
    <row r="47" spans="1:48" s="476" customFormat="1">
      <c r="A47" s="509">
        <v>46</v>
      </c>
      <c r="B47" s="526" t="s">
        <v>69</v>
      </c>
      <c r="C47" s="510" t="s">
        <v>17157</v>
      </c>
      <c r="D47" s="511" t="s">
        <v>89</v>
      </c>
      <c r="E47" s="526">
        <v>5</v>
      </c>
      <c r="F47" s="526" t="s">
        <v>17110</v>
      </c>
      <c r="G47" s="527">
        <v>128.09</v>
      </c>
      <c r="H47" s="528">
        <v>11</v>
      </c>
      <c r="I47" s="528"/>
      <c r="J47" s="514"/>
      <c r="K47" s="515">
        <f>G47+H47*0.3+Table4[[#This Row],[Terrace]]*0.2</f>
        <v>131.39000000000001</v>
      </c>
      <c r="L47" s="509" t="s">
        <v>17164</v>
      </c>
      <c r="M47" s="509"/>
      <c r="N47" s="509"/>
      <c r="O47" s="509"/>
      <c r="P47" s="582"/>
      <c r="Q47" s="509" t="s">
        <v>258</v>
      </c>
      <c r="R47" s="517">
        <v>334875</v>
      </c>
      <c r="S47" s="518">
        <f>Table4[[#This Row],[Asking Price]]*0.95</f>
        <v>334875</v>
      </c>
      <c r="T47" s="518">
        <v>352500</v>
      </c>
      <c r="U47" s="519">
        <f>Table4[[#This Row],[Closing Price]]/Table4[[#This Row],[Saleable Area ]]</f>
        <v>2548.7099474845877</v>
      </c>
      <c r="V47" s="519">
        <f>Table4[[#This Row],[Min. Price]]/Table4[[#This Row],[Saleable Area ]]</f>
        <v>2548.7099474845877</v>
      </c>
      <c r="W47" s="518">
        <f>Table4[[#This Row],[Asking Price]]/Table4[[#This Row],[Saleable Area ]]</f>
        <v>2682.852576299566</v>
      </c>
      <c r="X47" s="520">
        <f>1-(Table4[[#This Row],[Closing Price]]/Table4[[#This Row],[Asking Price]])</f>
        <v>5.0000000000000044E-2</v>
      </c>
      <c r="Y47" s="555"/>
      <c r="Z47" s="521">
        <v>45239</v>
      </c>
      <c r="AA47" s="1832">
        <v>33487.5</v>
      </c>
      <c r="AB47" s="522">
        <v>33487.5</v>
      </c>
      <c r="AC47" s="521">
        <f>Table4[[#This Row],[Date of CPCV]]+240</f>
        <v>45479</v>
      </c>
      <c r="AD47" s="522"/>
      <c r="AE47" s="521"/>
      <c r="AF47" s="522">
        <v>267900</v>
      </c>
      <c r="AG47" s="509" t="s">
        <v>103</v>
      </c>
      <c r="AH47" s="509"/>
      <c r="AI47" s="529"/>
      <c r="AJ47" s="529"/>
      <c r="AK47" s="529"/>
      <c r="AL47" s="509"/>
      <c r="AM47" s="509"/>
      <c r="AN47" s="509"/>
      <c r="AO47" s="529"/>
      <c r="AP47" s="509"/>
      <c r="AQ47" s="523" t="s">
        <v>17238</v>
      </c>
      <c r="AR47" s="523" t="s">
        <v>17219</v>
      </c>
      <c r="AS47" s="523"/>
      <c r="AT47" s="523"/>
      <c r="AU47" s="518"/>
      <c r="AV47" s="518"/>
    </row>
    <row r="48" spans="1:48" s="476" customFormat="1">
      <c r="A48" s="509">
        <v>47</v>
      </c>
      <c r="B48" s="510" t="s">
        <v>70</v>
      </c>
      <c r="C48" s="510" t="s">
        <v>17158</v>
      </c>
      <c r="D48" s="511" t="s">
        <v>89</v>
      </c>
      <c r="E48" s="510">
        <v>5</v>
      </c>
      <c r="F48" s="510" t="s">
        <v>17111</v>
      </c>
      <c r="G48" s="512">
        <v>117.14</v>
      </c>
      <c r="H48" s="513">
        <v>13.53</v>
      </c>
      <c r="I48" s="513"/>
      <c r="J48" s="514"/>
      <c r="K48" s="515">
        <f>G48+H48*0.3+Table4[[#This Row],[Terrace]]*0.2</f>
        <v>121.199</v>
      </c>
      <c r="L48" s="509" t="s">
        <v>17161</v>
      </c>
      <c r="M48" s="509"/>
      <c r="N48" s="509"/>
      <c r="O48" s="509"/>
      <c r="P48" s="516"/>
      <c r="Q48" s="509" t="s">
        <v>258</v>
      </c>
      <c r="R48" s="518">
        <v>322525</v>
      </c>
      <c r="S48" s="518">
        <f>Table4[[#This Row],[Asking Price]]*0.97</f>
        <v>322525</v>
      </c>
      <c r="T48" s="518">
        <v>332500</v>
      </c>
      <c r="U48" s="519">
        <f>Table4[[#This Row],[Closing Price]]/Table4[[#This Row],[Saleable Area ]]</f>
        <v>2661.1193161659749</v>
      </c>
      <c r="V48" s="519">
        <f>Table4[[#This Row],[Min. Price]]/Table4[[#This Row],[Saleable Area ]]</f>
        <v>2661.1193161659749</v>
      </c>
      <c r="W48" s="518">
        <f>Table4[[#This Row],[Asking Price]]/Table4[[#This Row],[Saleable Area ]]</f>
        <v>2743.4219754288401</v>
      </c>
      <c r="X48" s="520">
        <f>1-(Table4[[#This Row],[Closing Price]]/Table4[[#This Row],[Asking Price]])</f>
        <v>3.0000000000000027E-2</v>
      </c>
      <c r="Y48" s="555"/>
      <c r="Z48" s="521">
        <v>45352</v>
      </c>
      <c r="AA48" s="522">
        <v>32252.5</v>
      </c>
      <c r="AB48" s="522">
        <v>64505</v>
      </c>
      <c r="AC48" s="521">
        <v>45627</v>
      </c>
      <c r="AD48" s="522"/>
      <c r="AE48" s="521"/>
      <c r="AF48" s="522">
        <v>225494.5</v>
      </c>
      <c r="AG48" s="509" t="s">
        <v>17439</v>
      </c>
      <c r="AH48" s="509"/>
      <c r="AI48" s="509"/>
      <c r="AJ48" s="509"/>
      <c r="AK48" s="509"/>
      <c r="AL48" s="509"/>
      <c r="AM48" s="509"/>
      <c r="AN48" s="509"/>
      <c r="AO48" s="509"/>
      <c r="AP48" s="509"/>
      <c r="AQ48" s="523" t="s">
        <v>17347</v>
      </c>
      <c r="AR48" s="523" t="s">
        <v>265</v>
      </c>
      <c r="AS48" s="523"/>
      <c r="AT48" s="523"/>
      <c r="AU48" s="518"/>
      <c r="AV48" s="518"/>
    </row>
    <row r="49" spans="1:48" s="476" customFormat="1">
      <c r="A49" s="509">
        <v>48</v>
      </c>
      <c r="B49" s="510" t="s">
        <v>71</v>
      </c>
      <c r="C49" s="510" t="s">
        <v>17159</v>
      </c>
      <c r="D49" s="511" t="s">
        <v>89</v>
      </c>
      <c r="E49" s="510">
        <v>5</v>
      </c>
      <c r="F49" s="510" t="s">
        <v>17111</v>
      </c>
      <c r="G49" s="512">
        <v>112.43</v>
      </c>
      <c r="H49" s="513">
        <v>9.9700000000000006</v>
      </c>
      <c r="I49" s="513"/>
      <c r="J49" s="514"/>
      <c r="K49" s="515">
        <f>G49+H49*0.3+Table4[[#This Row],[Terrace]]*0.2</f>
        <v>115.42100000000001</v>
      </c>
      <c r="L49" s="509" t="s">
        <v>17164</v>
      </c>
      <c r="M49" s="509"/>
      <c r="N49" s="509"/>
      <c r="O49" s="509"/>
      <c r="P49" s="1201"/>
      <c r="Q49" s="509" t="s">
        <v>258</v>
      </c>
      <c r="R49" s="517">
        <v>295000</v>
      </c>
      <c r="S49" s="518">
        <f>Table4[[#This Row],[Asking Price]]*0.97</f>
        <v>317675</v>
      </c>
      <c r="T49" s="1201">
        <v>327500</v>
      </c>
      <c r="U49" s="519">
        <f>Table4[[#This Row],[Closing Price]]/Table4[[#This Row],[Saleable Area ]]</f>
        <v>2555.860718586739</v>
      </c>
      <c r="V49" s="519">
        <f>Table4[[#This Row],[Min. Price]]/Table4[[#This Row],[Saleable Area ]]</f>
        <v>2752.3154365323467</v>
      </c>
      <c r="W49" s="518">
        <f>Table4[[#This Row],[Asking Price]]/Table4[[#This Row],[Saleable Area ]]</f>
        <v>2837.4385943632437</v>
      </c>
      <c r="X49" s="520">
        <f>1-(Table4[[#This Row],[Closing Price]]/Table4[[#This Row],[Asking Price]])</f>
        <v>9.92366412213741E-2</v>
      </c>
      <c r="Y49" s="555"/>
      <c r="Z49" s="521">
        <v>45632</v>
      </c>
      <c r="AA49" s="522">
        <v>29500</v>
      </c>
      <c r="AB49" s="522"/>
      <c r="AC49" s="521"/>
      <c r="AD49" s="522"/>
      <c r="AE49" s="521"/>
      <c r="AF49" s="522">
        <f>295000-Table4[[#This Row],[CPCV Value]]</f>
        <v>265500</v>
      </c>
      <c r="AG49" s="509" t="s">
        <v>17440</v>
      </c>
      <c r="AH49" s="509"/>
      <c r="AI49" s="509"/>
      <c r="AJ49" s="509"/>
      <c r="AK49" s="509"/>
      <c r="AL49" s="509"/>
      <c r="AM49" s="509"/>
      <c r="AN49" s="509"/>
      <c r="AO49" s="509"/>
      <c r="AP49" s="509"/>
      <c r="AQ49" s="523" t="s">
        <v>17772</v>
      </c>
      <c r="AR49" s="523" t="s">
        <v>265</v>
      </c>
      <c r="AS49" s="523"/>
      <c r="AT49" s="523"/>
      <c r="AU49" s="518"/>
      <c r="AV49" s="518"/>
    </row>
    <row r="50" spans="1:48" customFormat="1" ht="15.75" thickBot="1">
      <c r="A50" s="2087" t="s">
        <v>298</v>
      </c>
      <c r="B50" s="2088"/>
      <c r="C50" s="2088"/>
      <c r="D50" s="2088"/>
      <c r="E50" s="2088"/>
      <c r="F50" s="2088"/>
      <c r="G50" s="496">
        <f>SUM(G2:G49)</f>
        <v>5427.420000000001</v>
      </c>
      <c r="H50" s="496">
        <f>SUM(H2:H49)</f>
        <v>427.87999999999994</v>
      </c>
      <c r="I50" s="496">
        <f>SUM(I2:I49)</f>
        <v>350.63</v>
      </c>
      <c r="J50" s="496">
        <f>SUM(J2:J49)</f>
        <v>0</v>
      </c>
      <c r="K50" s="496">
        <f>SUM(K2:K49)</f>
        <v>5625.9100000000008</v>
      </c>
      <c r="L50" s="40"/>
      <c r="M50" s="40"/>
      <c r="N50" s="40"/>
      <c r="O50" s="40"/>
      <c r="P50" s="40"/>
      <c r="Q50" s="40"/>
      <c r="R50" s="41"/>
      <c r="S50" s="40"/>
      <c r="T50" s="42"/>
      <c r="U50" s="43"/>
      <c r="V50" s="43"/>
      <c r="W50" s="43"/>
      <c r="X50" s="234"/>
      <c r="Y50" s="43"/>
      <c r="Z50" s="44"/>
      <c r="AA50" s="317"/>
      <c r="AB50" s="317"/>
      <c r="AC50" s="44"/>
      <c r="AD50" s="317"/>
      <c r="AE50" s="44"/>
      <c r="AF50" s="317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5"/>
      <c r="AR50" s="45"/>
      <c r="AS50" s="45"/>
      <c r="AT50" s="45"/>
      <c r="AU50" s="41"/>
      <c r="AV50" s="41"/>
    </row>
    <row r="51" spans="1:48" customFormat="1" ht="15.75" thickBo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289"/>
      <c r="L51" s="341"/>
      <c r="M51" s="289"/>
      <c r="N51" s="289"/>
      <c r="O51" s="289"/>
      <c r="P51" s="289"/>
      <c r="Q51" s="289"/>
      <c r="R51" s="289"/>
      <c r="S51" s="292"/>
      <c r="T51" s="289"/>
      <c r="U51" s="289"/>
      <c r="V51" s="289"/>
      <c r="W51" s="289"/>
      <c r="X51" s="338"/>
      <c r="Y51" s="289"/>
      <c r="Z51" s="340"/>
      <c r="AA51" s="339"/>
      <c r="AB51" s="339"/>
      <c r="AC51" s="340"/>
      <c r="AD51" s="339"/>
      <c r="AE51" s="340"/>
      <c r="AF51" s="318"/>
      <c r="AQ51" s="19"/>
      <c r="AU51" s="23"/>
      <c r="AV51" s="23"/>
    </row>
    <row r="52" spans="1:48" customFormat="1" ht="15.75" thickBot="1">
      <c r="A52" s="2073" t="s">
        <v>358</v>
      </c>
      <c r="B52" s="2073"/>
      <c r="C52" s="2073"/>
      <c r="D52" s="2073"/>
      <c r="E52" s="2073"/>
      <c r="F52" s="106"/>
      <c r="G52" s="106"/>
      <c r="H52" s="106"/>
      <c r="I52" s="106"/>
      <c r="J52" s="106"/>
      <c r="K52" s="289"/>
      <c r="L52" s="341"/>
      <c r="M52" s="289"/>
      <c r="N52" s="289"/>
      <c r="O52" s="289"/>
      <c r="P52" s="289"/>
      <c r="Q52" s="289"/>
      <c r="R52" s="289"/>
      <c r="S52" s="292"/>
      <c r="T52" s="339"/>
      <c r="U52" s="289"/>
      <c r="V52" s="289"/>
      <c r="W52" s="289"/>
      <c r="X52" s="338"/>
      <c r="Y52" s="289"/>
      <c r="Z52" s="340"/>
      <c r="AA52" s="339"/>
      <c r="AB52" s="339"/>
      <c r="AC52" s="340"/>
      <c r="AD52" s="339"/>
      <c r="AE52" s="340"/>
      <c r="AF52" s="318"/>
      <c r="AQ52" s="19"/>
      <c r="AU52" s="23"/>
      <c r="AV52" s="23"/>
    </row>
    <row r="53" spans="1:48" customFormat="1">
      <c r="A53" s="395"/>
      <c r="B53" s="396"/>
      <c r="C53" s="397" t="s">
        <v>139</v>
      </c>
      <c r="D53" s="397" t="s">
        <v>140</v>
      </c>
      <c r="E53" s="398" t="s">
        <v>17</v>
      </c>
      <c r="F53" s="502"/>
      <c r="G53" s="1915" t="s">
        <v>289</v>
      </c>
      <c r="H53" s="1916"/>
      <c r="I53" s="106"/>
      <c r="J53" s="289"/>
      <c r="K53" s="341"/>
      <c r="L53" s="341"/>
      <c r="M53" s="289"/>
      <c r="N53" s="289"/>
      <c r="O53" s="289"/>
      <c r="P53" s="289"/>
      <c r="Q53" s="289"/>
      <c r="R53" s="289"/>
      <c r="S53" s="292"/>
      <c r="T53" s="289"/>
      <c r="U53" s="289"/>
      <c r="V53" s="289"/>
      <c r="W53" s="289"/>
      <c r="X53" s="338"/>
      <c r="Y53" s="289"/>
      <c r="Z53" s="340"/>
      <c r="AA53" s="339"/>
      <c r="AB53" s="339"/>
      <c r="AC53" s="340"/>
      <c r="AD53" s="339"/>
      <c r="AE53" s="340"/>
      <c r="AF53" s="318"/>
      <c r="AQ53" s="19"/>
      <c r="AU53" s="23"/>
      <c r="AV53" s="23"/>
    </row>
    <row r="54" spans="1:48" customFormat="1">
      <c r="A54" s="2054" t="s">
        <v>258</v>
      </c>
      <c r="B54" s="2055"/>
      <c r="C54" s="126">
        <f>COUNTIF(Table4[Status],A54)</f>
        <v>48</v>
      </c>
      <c r="D54" s="276">
        <f>SUMIF(Table4[Status],A54,Table4[Closing Price])</f>
        <v>14545595</v>
      </c>
      <c r="E54" s="399">
        <f>AVERAGEIF(Table4[Status],A54,Table4[€/m² sold])</f>
        <v>2592.3718637328434</v>
      </c>
      <c r="F54" s="502"/>
      <c r="G54" s="225">
        <v>2023</v>
      </c>
      <c r="H54" s="227">
        <f>COUNTIFS(Z2:Z49,"&gt;="&amp;DATE(2023,1,1),Z2:Z49,"&lt;="&amp;DATE(2023,12,31))</f>
        <v>16</v>
      </c>
      <c r="I54" s="106"/>
      <c r="J54" s="289"/>
      <c r="K54" s="341"/>
      <c r="L54" s="341"/>
      <c r="M54" s="289"/>
      <c r="N54" s="289"/>
      <c r="O54" s="289"/>
      <c r="P54" s="289"/>
      <c r="Q54" s="289"/>
      <c r="R54" s="289"/>
      <c r="S54" s="292"/>
      <c r="T54" s="289"/>
      <c r="U54" s="289"/>
      <c r="V54" s="289"/>
      <c r="W54" s="289"/>
      <c r="X54" s="338"/>
      <c r="Y54" s="289"/>
      <c r="Z54" s="340"/>
      <c r="AA54" s="339"/>
      <c r="AB54" s="339"/>
      <c r="AC54" s="340"/>
      <c r="AD54" s="339"/>
      <c r="AE54" s="340"/>
      <c r="AF54" s="318"/>
      <c r="AQ54" s="19"/>
      <c r="AU54" s="23"/>
      <c r="AV54" s="23"/>
    </row>
    <row r="55" spans="1:48" customFormat="1">
      <c r="A55" s="2056" t="s">
        <v>102</v>
      </c>
      <c r="B55" s="2057"/>
      <c r="C55" s="401">
        <f>COUNTIF(Table4[Status],A55)</f>
        <v>0</v>
      </c>
      <c r="D55" s="402">
        <f>SUMIF(Table4[Status],A55,Table4[Asking Price])</f>
        <v>0</v>
      </c>
      <c r="E55" s="403" t="e">
        <f>AVERAGEIF(Table4[Status],A55,Table4[€/m² min price price])</f>
        <v>#DIV/0!</v>
      </c>
      <c r="F55" s="502"/>
      <c r="G55" s="225">
        <v>2024</v>
      </c>
      <c r="H55" s="227">
        <f>COUNTIFS(Z2:Z49,"&gt;="&amp;DATE(2024,1,1),Z2:Z49,"&lt;="&amp;DATE(2024,12,31))</f>
        <v>32</v>
      </c>
      <c r="I55" s="106"/>
      <c r="J55" s="2018" t="s">
        <v>17457</v>
      </c>
      <c r="K55" s="2018"/>
      <c r="L55" s="2018"/>
      <c r="M55" s="2018"/>
      <c r="N55" s="2018"/>
      <c r="O55" s="2018"/>
      <c r="P55" s="2018"/>
      <c r="Q55" s="2018"/>
      <c r="R55" s="2018"/>
      <c r="S55" s="2018"/>
      <c r="T55" s="2018"/>
      <c r="U55" s="2018"/>
      <c r="V55" s="289"/>
      <c r="W55" s="289"/>
      <c r="X55" s="338"/>
      <c r="Y55" s="289"/>
      <c r="Z55" s="340"/>
      <c r="AA55" s="339"/>
      <c r="AB55" s="339"/>
      <c r="AC55" s="340"/>
      <c r="AD55" s="339"/>
      <c r="AE55" s="340"/>
      <c r="AF55" s="318"/>
      <c r="AQ55" s="19"/>
      <c r="AU55" s="23"/>
      <c r="AV55" s="23"/>
    </row>
    <row r="56" spans="1:48" customFormat="1" ht="15.75" thickBot="1">
      <c r="A56" s="2063" t="s">
        <v>138</v>
      </c>
      <c r="B56" s="2075"/>
      <c r="C56" s="129">
        <f>COUNTIF(Table4[Status],"")</f>
        <v>0</v>
      </c>
      <c r="D56" s="191">
        <f>SUMIF(Table4[Status],"",Table4[Min. Price])</f>
        <v>0</v>
      </c>
      <c r="E56" s="407" t="e">
        <f>AVERAGEIF(Table4[Status],"",Table4[€/m² min price price])</f>
        <v>#DIV/0!</v>
      </c>
      <c r="F56" s="502"/>
      <c r="G56" s="226">
        <v>2025</v>
      </c>
      <c r="H56" s="216">
        <f>COUNTIFS(Z2:Z49,"&gt;="&amp;DATE(2025,1,1),Z2:Z49,"&lt;="&amp;DATE(2025,12,31))</f>
        <v>0</v>
      </c>
      <c r="I56" s="106"/>
      <c r="J56" s="691" t="s">
        <v>17303</v>
      </c>
      <c r="K56" s="691" t="s">
        <v>17304</v>
      </c>
      <c r="L56" s="692" t="s">
        <v>17305</v>
      </c>
      <c r="M56" s="693" t="s">
        <v>17306</v>
      </c>
      <c r="N56" s="693" t="s">
        <v>17307</v>
      </c>
      <c r="O56" s="693" t="s">
        <v>17308</v>
      </c>
      <c r="P56" s="694" t="s">
        <v>17309</v>
      </c>
      <c r="Q56" s="694" t="s">
        <v>17310</v>
      </c>
      <c r="R56" s="694" t="s">
        <v>17311</v>
      </c>
      <c r="S56" s="694" t="s">
        <v>17312</v>
      </c>
      <c r="T56" s="694" t="s">
        <v>17313</v>
      </c>
      <c r="U56" s="694" t="s">
        <v>17314</v>
      </c>
      <c r="V56" s="289"/>
      <c r="W56" s="289"/>
      <c r="X56" s="338"/>
      <c r="Y56" s="289"/>
      <c r="Z56" s="340"/>
      <c r="AA56" s="339"/>
      <c r="AB56" s="339"/>
      <c r="AC56" s="340"/>
      <c r="AD56" s="339"/>
      <c r="AE56" s="340"/>
      <c r="AF56" s="318"/>
      <c r="AQ56" s="19"/>
      <c r="AU56" s="23"/>
      <c r="AV56" s="23"/>
    </row>
    <row r="57" spans="1:48" customFormat="1" ht="15.75" thickBot="1">
      <c r="A57" s="2076" t="s">
        <v>210</v>
      </c>
      <c r="B57" s="2077"/>
      <c r="C57" s="301">
        <f>COUNTIF(Table4[Status],A57)</f>
        <v>0</v>
      </c>
      <c r="D57" s="302">
        <f>SUMIF(Table4[Status],A57,Table4[Closing Price])</f>
        <v>0</v>
      </c>
      <c r="E57" s="410" t="e">
        <f>AVERAGEIF(Table4[Status],A57,Table4[€/m² sold])</f>
        <v>#DIV/0!</v>
      </c>
      <c r="F57" s="502"/>
      <c r="G57" s="107"/>
      <c r="H57" s="107"/>
      <c r="I57" s="106"/>
      <c r="J57" s="2012" t="s">
        <v>455</v>
      </c>
      <c r="K57" s="2013"/>
      <c r="L57" s="2013"/>
      <c r="M57" s="2013"/>
      <c r="N57" s="2013"/>
      <c r="O57" s="2013"/>
      <c r="P57" s="2014"/>
      <c r="Q57" s="695">
        <f>COUNTIFS(Table4[Date of CPCV],"&gt;="&amp;DATE(2023,8,1),Table4[Date of CPCV],"&lt;="&amp;DATE(2023,8,31))</f>
        <v>5</v>
      </c>
      <c r="R57" s="695">
        <f>COUNTIFS(Table4[Date of CPCV],"&gt;="&amp;DATE(2023,9,1),Table4[Date of CPCV],"&lt;="&amp;DATE(2023,9,31))</f>
        <v>1</v>
      </c>
      <c r="S57" s="695">
        <f>COUNTIFS(Table4[Date of CPCV],"&gt;="&amp;DATE(2023,10,1),Table4[Date of CPCV],"&lt;="&amp;DATE(2023,10,31))</f>
        <v>4</v>
      </c>
      <c r="T57" s="695">
        <f>COUNTIFS(Table4[Date of CPCV],"&gt;="&amp;DATE(2023,11,1),Table4[Date of CPCV],"&lt;="&amp;DATE(2023,11,31))</f>
        <v>6</v>
      </c>
      <c r="U57" s="695">
        <f>COUNTIFS(Table4[Date of CPCV],"&gt;="&amp;DATE(2023,12,1),Table4[Date of CPCV],"&lt;="&amp;DATE(2023,12,31))</f>
        <v>0</v>
      </c>
      <c r="V57" s="289"/>
      <c r="W57" s="289"/>
      <c r="X57" s="338"/>
      <c r="Y57" s="289"/>
      <c r="Z57" s="340"/>
      <c r="AA57" s="339"/>
      <c r="AB57" s="339"/>
      <c r="AC57" s="340"/>
      <c r="AD57" s="339"/>
      <c r="AE57" s="340"/>
      <c r="AF57" s="318"/>
      <c r="AQ57" s="19"/>
      <c r="AU57" s="23"/>
      <c r="AV57" s="23"/>
    </row>
    <row r="58" spans="1:48" customFormat="1" ht="15.75" thickBot="1">
      <c r="A58" s="2019" t="s">
        <v>269</v>
      </c>
      <c r="B58" s="2072"/>
      <c r="C58" s="391">
        <f>SUBTOTAL(9,C54:C57)</f>
        <v>48</v>
      </c>
      <c r="D58" s="392">
        <f>SUM(D54:D57)</f>
        <v>14545595</v>
      </c>
      <c r="E58" s="393">
        <f>D58/K50</f>
        <v>2585.4652847272705</v>
      </c>
      <c r="F58" s="502"/>
      <c r="G58" s="394" t="s">
        <v>544</v>
      </c>
      <c r="H58" s="309">
        <f>C54/C58</f>
        <v>1</v>
      </c>
      <c r="I58" s="106"/>
      <c r="J58" s="2018" t="s">
        <v>17315</v>
      </c>
      <c r="K58" s="2018"/>
      <c r="L58" s="2018"/>
      <c r="M58" s="2018"/>
      <c r="N58" s="2018"/>
      <c r="O58" s="2018"/>
      <c r="P58" s="2018"/>
      <c r="Q58" s="2018"/>
      <c r="R58" s="2018"/>
      <c r="S58" s="2018"/>
      <c r="T58" s="2018"/>
      <c r="U58" s="2018"/>
      <c r="V58" s="289"/>
      <c r="W58" s="289"/>
      <c r="X58" s="338"/>
      <c r="Y58" s="289"/>
      <c r="Z58" s="340"/>
      <c r="AA58" s="339"/>
      <c r="AB58" s="339"/>
      <c r="AC58" s="340"/>
      <c r="AD58" s="339"/>
      <c r="AE58" s="340"/>
      <c r="AF58" s="318"/>
      <c r="AQ58" s="19"/>
      <c r="AU58" s="23"/>
      <c r="AV58" s="23"/>
    </row>
    <row r="59" spans="1:48" customFormat="1" ht="15.75" thickBot="1">
      <c r="A59" s="106"/>
      <c r="B59" s="106"/>
      <c r="C59" s="106"/>
      <c r="D59" s="106"/>
      <c r="E59" s="106"/>
      <c r="F59" s="2061"/>
      <c r="G59" s="2062"/>
      <c r="H59" s="106"/>
      <c r="I59" s="106"/>
      <c r="J59" s="691" t="s">
        <v>17303</v>
      </c>
      <c r="K59" s="691" t="s">
        <v>17304</v>
      </c>
      <c r="L59" s="692" t="s">
        <v>17305</v>
      </c>
      <c r="M59" s="693" t="s">
        <v>17306</v>
      </c>
      <c r="N59" s="693" t="s">
        <v>17307</v>
      </c>
      <c r="O59" s="693" t="s">
        <v>17308</v>
      </c>
      <c r="P59" s="694" t="s">
        <v>17309</v>
      </c>
      <c r="Q59" s="694" t="s">
        <v>17310</v>
      </c>
      <c r="R59" s="694" t="s">
        <v>17311</v>
      </c>
      <c r="S59" s="694" t="s">
        <v>17312</v>
      </c>
      <c r="T59" s="694" t="s">
        <v>17313</v>
      </c>
      <c r="U59" s="694" t="s">
        <v>17314</v>
      </c>
      <c r="V59" s="289"/>
      <c r="W59" s="289"/>
      <c r="X59" s="338"/>
      <c r="Y59" s="289"/>
      <c r="Z59" s="340"/>
      <c r="AA59" s="339"/>
      <c r="AB59" s="339"/>
      <c r="AC59" s="340"/>
      <c r="AD59" s="339"/>
      <c r="AE59" s="340"/>
      <c r="AF59" s="318"/>
      <c r="AQ59" s="19"/>
      <c r="AU59" s="23"/>
      <c r="AV59" s="23"/>
    </row>
    <row r="60" spans="1:48" customFormat="1" ht="15.75" thickBot="1">
      <c r="A60" s="2074" t="s">
        <v>139</v>
      </c>
      <c r="B60" s="2073"/>
      <c r="C60" s="411" t="s">
        <v>90</v>
      </c>
      <c r="D60" s="411" t="s">
        <v>92</v>
      </c>
      <c r="E60" s="411" t="s">
        <v>91</v>
      </c>
      <c r="F60" s="411" t="s">
        <v>365</v>
      </c>
      <c r="G60" s="411" t="s">
        <v>89</v>
      </c>
      <c r="H60" s="398" t="s">
        <v>141</v>
      </c>
      <c r="I60" s="40"/>
      <c r="J60" s="695">
        <f>COUNTIFS(Table4[Date of CPCV],"&gt;="&amp;DATE(2024,1,1),Table4[Date of CPCV],"&lt;="&amp;DATE(2024,1,31))</f>
        <v>4</v>
      </c>
      <c r="K60" s="695">
        <f>COUNTIFS(Table4[Date of CPCV],"&gt;="&amp;DATE(2024,2,1),Table4[Date of CPCV],"&lt;="&amp;DATE(2024,2,29))</f>
        <v>3</v>
      </c>
      <c r="L60" s="695">
        <f>COUNTIFS(Table4[Date of CPCV],"&gt;="&amp;DATE(2024,3,1),Table4[Date of CPCV],"&lt;="&amp;DATE(2024,3,31))</f>
        <v>5</v>
      </c>
      <c r="M60" s="695">
        <f>COUNTIFS(Table4[Date of CPCV],"&gt;="&amp;DATE(2024,4,1),Table4[Date of CPCV],"&lt;="&amp;DATE(2024,4,31))</f>
        <v>1</v>
      </c>
      <c r="N60" s="695">
        <f>COUNTIFS(Table4[Date of CPCV],"&gt;="&amp;DATE(2024,5,1),Table4[Date of CPCV],"&lt;="&amp;DATE(2024,5,31))</f>
        <v>0</v>
      </c>
      <c r="O60" s="695">
        <f>COUNTIFS(Table4[Date of CPCV],"&gt;="&amp;DATE(2024,6,1),Table4[Date of CPCV],"&lt;="&amp;DATE(2024,6,31))</f>
        <v>0</v>
      </c>
      <c r="P60" s="695">
        <f>COUNTIFS(Table4[Date of CPCV],"&gt;="&amp;DATE(2024,7,1),Table4[Date of CPCV],"&lt;="&amp;DATE(2024,7,31))</f>
        <v>2</v>
      </c>
      <c r="Q60" s="695">
        <f>COUNTIFS(Table4[Date of CPCV],"&gt;="&amp;DATE(2024,8,1),Table4[Date of CPCV],"&lt;="&amp;DATE(2024,8,31))</f>
        <v>12</v>
      </c>
      <c r="R60" s="695">
        <f>COUNTIFS(Table4[Date of CPCV],"&gt;="&amp;DATE(2024,9,1),Table4[Date of CPCV],"&lt;="&amp;DATE(2024,9,31))</f>
        <v>1</v>
      </c>
      <c r="S60" s="695">
        <f>COUNTIFS(Table4[Date of CPCV],"&gt;="&amp;DATE(2024,10,1),Table4[Date of CPCV],"&lt;="&amp;DATE(2024,10,31))</f>
        <v>2</v>
      </c>
      <c r="T60" s="695">
        <f>COUNTIFS(Table4[Date of CPCV],"&gt;="&amp;DATE(2024,11,1),Table4[Date of CPCV],"&lt;="&amp;DATE(2024,11,30))</f>
        <v>1</v>
      </c>
      <c r="U60" s="695">
        <f>COUNTIFS(Table4[Date of CPCV],"&gt;="&amp;DATE(2024,12,1),Table4[Date of CPCV],"&lt;="&amp;DATE(2024,12,31))</f>
        <v>1</v>
      </c>
      <c r="V60" s="289"/>
      <c r="W60" s="338"/>
      <c r="X60" s="340"/>
      <c r="Y60" s="289"/>
      <c r="Z60" s="339"/>
      <c r="AA60" s="339"/>
      <c r="AB60" s="340"/>
      <c r="AC60" s="339"/>
      <c r="AD60" s="340"/>
      <c r="AE60" s="318"/>
      <c r="AF60" s="318"/>
      <c r="AP60" s="19"/>
      <c r="AT60" s="23"/>
      <c r="AU60" s="23"/>
    </row>
    <row r="61" spans="1:48" customFormat="1">
      <c r="A61" s="2054" t="s">
        <v>258</v>
      </c>
      <c r="B61" s="2055"/>
      <c r="C61" s="95">
        <f>COUNTIFS($Q$2:$Q$49,A61,Table4[Layout],C60)</f>
        <v>1</v>
      </c>
      <c r="D61" s="95">
        <f>COUNTIFS($Q$2:$Q$49,A61,Table4[Layout],D60)</f>
        <v>1</v>
      </c>
      <c r="E61" s="95">
        <f>COUNTIFS($Q$2:$Q$49,A61,Table4[Layout],E60)</f>
        <v>5</v>
      </c>
      <c r="F61" s="95">
        <f>COUNTIFS($Q$2:$Q$49,A61,Table4[Layout],F60)</f>
        <v>1</v>
      </c>
      <c r="G61" s="95">
        <f>COUNTIFS($Q$2:$Q$49,A61,Table4[Layout],G60)</f>
        <v>40</v>
      </c>
      <c r="H61" s="412">
        <f>SUM(C61:G61)</f>
        <v>48</v>
      </c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289"/>
      <c r="W61" s="338"/>
      <c r="X61" s="340"/>
      <c r="Y61" s="289"/>
      <c r="Z61" s="339"/>
      <c r="AA61" s="339"/>
      <c r="AB61" s="340"/>
      <c r="AC61" s="339"/>
      <c r="AD61" s="340"/>
      <c r="AE61" s="318"/>
      <c r="AF61" s="318"/>
      <c r="AP61" s="19"/>
      <c r="AT61" s="23"/>
      <c r="AU61" s="23"/>
    </row>
    <row r="62" spans="1:48" customFormat="1" ht="15.75" thickBot="1">
      <c r="A62" s="2056" t="s">
        <v>102</v>
      </c>
      <c r="B62" s="2069"/>
      <c r="C62" s="400">
        <f>COUNTIFS($Q$2:$Q$49,$A$62,Table4[Layout],C60)</f>
        <v>0</v>
      </c>
      <c r="D62" s="400">
        <f>COUNTIFS($Q$2:$Q$49,$A$62,Table4[Floor],D60)</f>
        <v>0</v>
      </c>
      <c r="E62" s="400">
        <f>COUNTIFS($Q$2:$Q$49,$A$62,Table4[Directions],E60)</f>
        <v>0</v>
      </c>
      <c r="F62" s="400">
        <f>COUNTIFS($Q$2:$Q$49,$A$62,Table4[Main area],F60)</f>
        <v>0</v>
      </c>
      <c r="G62" s="400">
        <f>COUNTIFS($Q$2:$Q$49,$A$62,Table4[Layout],G60)</f>
        <v>0</v>
      </c>
      <c r="H62" s="414">
        <f>SUM(C62:G62)</f>
        <v>0</v>
      </c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289"/>
      <c r="W62" s="338"/>
      <c r="X62" s="340"/>
      <c r="Y62" s="289"/>
      <c r="Z62" s="339"/>
      <c r="AA62" s="339"/>
      <c r="AB62" s="340"/>
      <c r="AC62" s="339"/>
      <c r="AD62" s="340"/>
      <c r="AE62" s="318"/>
      <c r="AF62" s="318"/>
      <c r="AP62" s="19"/>
      <c r="AT62" s="23"/>
      <c r="AU62" s="23"/>
    </row>
    <row r="63" spans="1:48" customFormat="1" ht="15.75" thickBot="1">
      <c r="A63" s="2063" t="s">
        <v>138</v>
      </c>
      <c r="B63" s="2064"/>
      <c r="C63" s="31">
        <f>COUNTIFS(Q2:Q49,"",D2:D49,C60)</f>
        <v>0</v>
      </c>
      <c r="D63" s="31">
        <f>COUNTIFS(Q2:Q49,"",D2:D49,D60)</f>
        <v>0</v>
      </c>
      <c r="E63" s="31">
        <f>COUNTIFS(Q2:Q49,"",D2:D49,E60)</f>
        <v>0</v>
      </c>
      <c r="F63" s="31">
        <f>COUNTIFS(Q2:Q49,"",D2:D49,F60)</f>
        <v>0</v>
      </c>
      <c r="G63" s="31">
        <f>COUNTIFS(Q2:Q49,"",D2:D49,G60)</f>
        <v>0</v>
      </c>
      <c r="H63" s="416">
        <f>SUM(C63:G63)</f>
        <v>0</v>
      </c>
      <c r="I63" s="40"/>
      <c r="J63" s="1890" t="s">
        <v>17437</v>
      </c>
      <c r="K63" s="1891"/>
      <c r="L63" s="1891"/>
      <c r="M63" s="1892"/>
      <c r="N63" s="40"/>
      <c r="O63" s="1890" t="s">
        <v>17441</v>
      </c>
      <c r="P63" s="1891"/>
      <c r="Q63" s="1891"/>
      <c r="R63" s="1892"/>
      <c r="S63" s="40"/>
      <c r="T63" s="40"/>
      <c r="U63" s="40"/>
      <c r="V63" s="289"/>
      <c r="W63" s="338"/>
      <c r="X63" s="340"/>
      <c r="Y63" s="289"/>
      <c r="Z63" s="339"/>
      <c r="AA63" s="339"/>
      <c r="AB63" s="340"/>
      <c r="AC63" s="339"/>
      <c r="AD63" s="340"/>
      <c r="AE63" s="318"/>
      <c r="AF63" s="318"/>
      <c r="AP63" s="19"/>
      <c r="AT63" s="23"/>
      <c r="AU63" s="23"/>
    </row>
    <row r="64" spans="1:48" customFormat="1" ht="15.75" thickBot="1">
      <c r="A64" s="2070" t="s">
        <v>210</v>
      </c>
      <c r="B64" s="2071"/>
      <c r="C64" s="417">
        <f>COUNTIFS(Q2:Q49,A64,D2:D49,C60)</f>
        <v>0</v>
      </c>
      <c r="D64" s="417">
        <f>COUNTIFS(Q2:Q49,A64,D2:D49,D60)</f>
        <v>0</v>
      </c>
      <c r="E64" s="417">
        <f>COUNTIFS(Q2:Q49,A64,D2:D49,E60)</f>
        <v>0</v>
      </c>
      <c r="F64" s="417">
        <f>COUNTIFS(Q2:Q49,A64,D2:D49,F60)</f>
        <v>0</v>
      </c>
      <c r="G64" s="417">
        <f>COUNTIFS(Q2:Q49,A64,D2:D49,G60)</f>
        <v>0</v>
      </c>
      <c r="H64" s="418">
        <f>SUM(C64:G64)</f>
        <v>0</v>
      </c>
      <c r="I64" s="40"/>
      <c r="J64" s="1010"/>
      <c r="K64" s="1011" t="s">
        <v>17438</v>
      </c>
      <c r="L64" s="1011">
        <v>2024</v>
      </c>
      <c r="M64" s="1011" t="s">
        <v>17444</v>
      </c>
      <c r="N64" s="40"/>
      <c r="O64" s="1010"/>
      <c r="P64" s="1011" t="s">
        <v>17438</v>
      </c>
      <c r="Q64" s="1011">
        <v>2024</v>
      </c>
      <c r="R64" s="1013" t="s">
        <v>17444</v>
      </c>
      <c r="S64" s="40"/>
      <c r="T64" s="40"/>
      <c r="U64" s="40"/>
      <c r="V64" s="289"/>
      <c r="W64" s="338"/>
      <c r="X64" s="340"/>
      <c r="Y64" s="289"/>
      <c r="Z64" s="339"/>
      <c r="AA64" s="339"/>
      <c r="AB64" s="340"/>
      <c r="AC64" s="339"/>
      <c r="AD64" s="340"/>
      <c r="AE64" s="318"/>
      <c r="AF64" s="318"/>
      <c r="AP64" s="19"/>
      <c r="AT64" s="23"/>
      <c r="AU64" s="23"/>
    </row>
    <row r="65" spans="1:48" customFormat="1" ht="15.75" thickBot="1">
      <c r="A65" s="2065" t="s">
        <v>141</v>
      </c>
      <c r="B65" s="2066"/>
      <c r="C65" s="404">
        <f t="shared" ref="C65:H65" si="0">SUM(C61:C64)</f>
        <v>1</v>
      </c>
      <c r="D65" s="404">
        <f t="shared" si="0"/>
        <v>1</v>
      </c>
      <c r="E65" s="404">
        <f t="shared" si="0"/>
        <v>5</v>
      </c>
      <c r="F65" s="404">
        <f t="shared" si="0"/>
        <v>1</v>
      </c>
      <c r="G65" s="404">
        <f t="shared" si="0"/>
        <v>40</v>
      </c>
      <c r="H65" s="419">
        <f t="shared" si="0"/>
        <v>48</v>
      </c>
      <c r="I65" s="40"/>
      <c r="J65" s="31" t="s">
        <v>17439</v>
      </c>
      <c r="K65" s="129">
        <f>COUNTIFS(Table4[Status],Q4,Table4[Brokers company],J65)</f>
        <v>10</v>
      </c>
      <c r="L65" s="129">
        <f>COUNTIFS(Table4[Date of CPCV],"&gt;="&amp;DATE(2024,1,1),Table4[Date of CPCV],"&lt;="&amp;DATE(2024,12,31),Table4[Brokers company],J65)</f>
        <v>5</v>
      </c>
      <c r="M65" s="343">
        <f>K65/(K65+K66+K67)</f>
        <v>0.20833333333333334</v>
      </c>
      <c r="N65" s="40"/>
      <c r="O65" s="34" t="s">
        <v>265</v>
      </c>
      <c r="P65" s="719">
        <f>COUNTIFS($Q$2:$Q$49,Q47,Table4[Client
Nationality],AR5)</f>
        <v>43</v>
      </c>
      <c r="Q65" s="129">
        <f>COUNTIFS(Table4[Date of CPCV],"&gt;="&amp;DATE(2024,1,1),Table4[Date of CPCV],"&lt;="&amp;DATE(2024,12,31),Table4[Client
Nationality],O65)</f>
        <v>29</v>
      </c>
      <c r="R65" s="1014">
        <f>P65/(SUM($P$65:$P$71))</f>
        <v>0.89583333333333337</v>
      </c>
      <c r="S65" s="40"/>
      <c r="T65" s="40"/>
      <c r="U65" s="40"/>
      <c r="V65" s="289"/>
      <c r="W65" s="338"/>
      <c r="X65" s="340"/>
      <c r="Y65" s="289"/>
      <c r="Z65" s="339"/>
      <c r="AA65" s="339"/>
      <c r="AB65" s="340"/>
      <c r="AC65" s="339"/>
      <c r="AD65" s="340"/>
      <c r="AE65" s="318"/>
      <c r="AF65" s="318"/>
      <c r="AP65" s="19"/>
      <c r="AT65" s="23"/>
      <c r="AU65" s="23"/>
    </row>
    <row r="66" spans="1:48" customFormat="1">
      <c r="A66" s="106"/>
      <c r="B66" s="106"/>
      <c r="C66" s="40"/>
      <c r="D66" s="40"/>
      <c r="E66" s="40"/>
      <c r="F66" s="40"/>
      <c r="G66" s="40"/>
      <c r="H66" s="40"/>
      <c r="I66" s="40"/>
      <c r="J66" s="665" t="s">
        <v>17440</v>
      </c>
      <c r="K66" s="129">
        <f>COUNTIFS(Table4[Status],Q4,Table4[Brokers company],J66)</f>
        <v>2</v>
      </c>
      <c r="L66" s="129">
        <f>COUNTIFS(Table4[Date of CPCV],"&gt;="&amp;DATE(2024,1,1),Table4[Date of CPCV],"&lt;="&amp;DATE(2024,12,31),Table4[Brokers company],J66)</f>
        <v>1</v>
      </c>
      <c r="M66" s="343">
        <f>K66/(K65+K66+K67)</f>
        <v>4.1666666666666664E-2</v>
      </c>
      <c r="N66" s="40"/>
      <c r="O66" s="34" t="s">
        <v>517</v>
      </c>
      <c r="P66" s="719">
        <f>COUNTIFS($Q$2:$Q$49,Q47,Table4[Client
Nationality],O66)</f>
        <v>0</v>
      </c>
      <c r="Q66" s="129">
        <f>COUNTIFS(Table4[Date of CPCV],"&gt;="&amp;DATE(2024,1,1),Table4[Date of CPCV],"&lt;="&amp;DATE(2024,12,31),Table4[Client
Nationality],O66)</f>
        <v>0</v>
      </c>
      <c r="R66" s="1014">
        <f t="shared" ref="R66:R71" si="1">P66/(SUM($P$65:$P$71))</f>
        <v>0</v>
      </c>
      <c r="S66" s="40"/>
      <c r="T66" s="40"/>
      <c r="U66" s="40"/>
      <c r="V66" s="289"/>
      <c r="W66" s="338"/>
      <c r="X66" s="340"/>
      <c r="Y66" s="289"/>
      <c r="Z66" s="339"/>
      <c r="AA66" s="339"/>
      <c r="AB66" s="340"/>
      <c r="AC66" s="339"/>
      <c r="AD66" s="340"/>
      <c r="AE66" s="318"/>
      <c r="AF66" s="318"/>
      <c r="AP66" s="19"/>
      <c r="AT66" s="23"/>
      <c r="AU66" s="23"/>
    </row>
    <row r="67" spans="1:48" customFormat="1" ht="15.75" thickBot="1">
      <c r="A67" s="106"/>
      <c r="B67" s="106"/>
      <c r="C67" s="106"/>
      <c r="D67" s="106"/>
      <c r="E67" s="106"/>
      <c r="F67" s="106"/>
      <c r="G67" s="106"/>
      <c r="H67" s="40"/>
      <c r="I67" s="40"/>
      <c r="J67" s="665" t="s">
        <v>17447</v>
      </c>
      <c r="K67" s="129">
        <f>COUNTIFS(Table4[Status],Q4,Table4[Brokers company],J67)</f>
        <v>36</v>
      </c>
      <c r="L67" s="129">
        <f>COUNTIFS(Table4[Date of CPCV],"&gt;="&amp;DATE(2024,1,1),Table4[Date of CPCV],"&lt;="&amp;DATE(2024,12,31),Table4[Brokers company],J67)</f>
        <v>26</v>
      </c>
      <c r="M67" s="343">
        <f>K67/(K65+K66+K67)</f>
        <v>0.75</v>
      </c>
      <c r="N67" s="40"/>
      <c r="O67" s="34" t="s">
        <v>565</v>
      </c>
      <c r="P67" s="719">
        <f>COUNTIFS($Q$2:$Q$49,Q47,Table4[Client
Nationality],O67)</f>
        <v>2</v>
      </c>
      <c r="Q67" s="129">
        <f>COUNTIFS(Table4[Date of CPCV],"&gt;="&amp;DATE(2024,1,1),Table4[Date of CPCV],"&lt;="&amp;DATE(2024,12,31),Table4[Client
Nationality],O67)</f>
        <v>2</v>
      </c>
      <c r="R67" s="1014">
        <f t="shared" si="1"/>
        <v>4.1666666666666664E-2</v>
      </c>
      <c r="S67" s="40"/>
      <c r="T67" s="40"/>
      <c r="U67" s="40"/>
      <c r="V67" s="289"/>
      <c r="W67" s="289"/>
      <c r="X67" s="338"/>
      <c r="Y67" s="340"/>
      <c r="Z67" s="289"/>
      <c r="AA67" s="339"/>
      <c r="AB67" s="339"/>
      <c r="AC67" s="340"/>
      <c r="AD67" s="339"/>
      <c r="AE67" s="340"/>
      <c r="AF67" s="318"/>
      <c r="AG67" s="318"/>
      <c r="AQ67" s="19"/>
      <c r="AU67" s="23"/>
      <c r="AV67" s="23"/>
    </row>
    <row r="68" spans="1:48" customFormat="1">
      <c r="A68" s="2052" t="s">
        <v>142</v>
      </c>
      <c r="B68" s="2053"/>
      <c r="C68" s="411" t="s">
        <v>90</v>
      </c>
      <c r="D68" s="411" t="s">
        <v>92</v>
      </c>
      <c r="E68" s="411" t="s">
        <v>91</v>
      </c>
      <c r="F68" s="411" t="s">
        <v>365</v>
      </c>
      <c r="G68" s="411" t="s">
        <v>89</v>
      </c>
      <c r="H68" s="398" t="s">
        <v>141</v>
      </c>
      <c r="I68" s="40"/>
      <c r="J68" s="40"/>
      <c r="K68" s="40"/>
      <c r="L68" s="40"/>
      <c r="M68" s="40"/>
      <c r="N68" s="40"/>
      <c r="O68" s="22" t="s">
        <v>563</v>
      </c>
      <c r="P68" s="719">
        <f>COUNTIFS($Q$2:$Q$49,Q47,Table4[Client
Nationality],O68)</f>
        <v>1</v>
      </c>
      <c r="Q68" s="5">
        <f>COUNTIFS(Table4[Date of CPCV],"&gt;="&amp;DATE(2024,1,1),Table4[Date of CPCV],"&lt;="&amp;DATE(2024,12,31),Table4[Client
Nationality],O68)</f>
        <v>0</v>
      </c>
      <c r="R68" s="1014">
        <f t="shared" si="1"/>
        <v>2.0833333333333332E-2</v>
      </c>
      <c r="S68" s="40"/>
      <c r="T68" s="40"/>
      <c r="U68" s="40"/>
      <c r="V68" s="289"/>
      <c r="W68" s="338"/>
      <c r="X68" s="340"/>
      <c r="Y68" s="289"/>
      <c r="Z68" s="339"/>
      <c r="AA68" s="339"/>
      <c r="AB68" s="340"/>
      <c r="AC68" s="339"/>
      <c r="AD68" s="340"/>
      <c r="AE68" s="318"/>
      <c r="AF68" s="318"/>
      <c r="AP68" s="19"/>
      <c r="AT68" s="23"/>
      <c r="AU68" s="23"/>
    </row>
    <row r="69" spans="1:48" customFormat="1">
      <c r="A69" s="2054" t="s">
        <v>258</v>
      </c>
      <c r="B69" s="2055"/>
      <c r="C69" s="276">
        <f>AVERAGEIFS(U2:U49,Q2:Q49,A69,D2:D49,C68)</f>
        <v>3216.667929962859</v>
      </c>
      <c r="D69" s="276">
        <f>AVERAGEIFS(U2:U49,Q2:Q49,A69,D2:D49,D68)</f>
        <v>2679.3413819122557</v>
      </c>
      <c r="E69" s="276">
        <f>AVERAGEIFS(U2:U49,Q2:Q49,A69,D2:D49,E68)</f>
        <v>2391.7266291719716</v>
      </c>
      <c r="F69" s="276">
        <f>AVERAGEIFS(U2:U49,Q2:Q49,A69,D2:D49,F68)</f>
        <v>2562.8050691863327</v>
      </c>
      <c r="G69" s="276">
        <f>AVERAGEIFS(U2:U49,Q2:Q49,A69,D2:D49,G68)</f>
        <v>2600.4100483063789</v>
      </c>
      <c r="H69" s="420">
        <f>AVERAGEIF(Q2:Q49,A69,U2:U49)</f>
        <v>2592.3718637328434</v>
      </c>
      <c r="I69" s="40"/>
      <c r="J69" s="40"/>
      <c r="K69" s="40"/>
      <c r="L69" s="40"/>
      <c r="M69" s="40"/>
      <c r="N69" s="40"/>
      <c r="O69" s="130" t="s">
        <v>730</v>
      </c>
      <c r="P69" s="719">
        <f>COUNTIFS($Q$2:$Q$49,Q47,Table4[Client
Nationality],O69)</f>
        <v>1</v>
      </c>
      <c r="Q69" s="5">
        <f>COUNTIFS(Table4[Date of CPCV],"&gt;="&amp;DATE(2024,1,1),Table4[Date of CPCV],"&lt;="&amp;DATE(2024,12,31),Table4[Client
Nationality],O69)</f>
        <v>1</v>
      </c>
      <c r="R69" s="1014">
        <f t="shared" si="1"/>
        <v>2.0833333333333332E-2</v>
      </c>
      <c r="S69" s="40"/>
      <c r="T69" s="40"/>
      <c r="U69" s="40"/>
      <c r="V69" s="289"/>
      <c r="W69" s="338"/>
      <c r="X69" s="340"/>
      <c r="Y69" s="289"/>
      <c r="Z69" s="339"/>
      <c r="AA69" s="339"/>
      <c r="AB69" s="340"/>
      <c r="AC69" s="339"/>
      <c r="AD69" s="340"/>
      <c r="AE69" s="318"/>
      <c r="AF69" s="318"/>
      <c r="AP69" s="19"/>
      <c r="AT69" s="23"/>
      <c r="AU69" s="23"/>
    </row>
    <row r="70" spans="1:48" customFormat="1">
      <c r="A70" s="2056" t="s">
        <v>102</v>
      </c>
      <c r="B70" s="2057"/>
      <c r="C70" s="402" t="e">
        <f>AVERAGEIFS(W2:W49,Q2:Q49,A70,D2:D49,C68)</f>
        <v>#DIV/0!</v>
      </c>
      <c r="D70" s="402" t="e">
        <f>AVERAGEIFS(W2:W49,Q2:Q49,A70,D2:D49,D68)</f>
        <v>#DIV/0!</v>
      </c>
      <c r="E70" s="402" t="e">
        <f>AVERAGEIFS(W2:W49,Q2:Q49,A70,D2:D49,E68)</f>
        <v>#DIV/0!</v>
      </c>
      <c r="F70" s="402" t="e">
        <f>AVERAGEIFS(W2:W49,Q2:Q49,A70,D2:D49,F68)</f>
        <v>#DIV/0!</v>
      </c>
      <c r="G70" s="402" t="e">
        <f>AVERAGEIFS(W2:W49,Q2:Q49,A70,D2:D49,G68)</f>
        <v>#DIV/0!</v>
      </c>
      <c r="H70" s="422" t="e">
        <f>AVERAGEIF(Q23:Q50,A70,W23:W50)</f>
        <v>#DIV/0!</v>
      </c>
      <c r="I70" s="40"/>
      <c r="J70" s="40"/>
      <c r="K70" s="40"/>
      <c r="L70" s="40"/>
      <c r="M70" s="40"/>
      <c r="N70" s="40"/>
      <c r="O70" s="5" t="s">
        <v>17219</v>
      </c>
      <c r="P70" s="719">
        <f>COUNTIFS($Q$2:$Q$49,Q47,Table4[Client
Nationality],O70)</f>
        <v>1</v>
      </c>
      <c r="Q70" s="5">
        <f>COUNTIFS(Table4[Date of CPCV],"&gt;="&amp;DATE(2024,1,1),Table4[Date of CPCV],"&lt;="&amp;DATE(2024,12,31),Table4[Client
Nationality],O70)</f>
        <v>0</v>
      </c>
      <c r="R70" s="1014">
        <f t="shared" si="1"/>
        <v>2.0833333333333332E-2</v>
      </c>
      <c r="S70" s="40"/>
      <c r="T70" s="40"/>
      <c r="U70" s="40"/>
      <c r="V70" s="289"/>
      <c r="W70" s="338"/>
      <c r="X70" s="340"/>
      <c r="Y70" s="289"/>
      <c r="Z70" s="339"/>
      <c r="AA70" s="339"/>
      <c r="AB70" s="340"/>
      <c r="AC70" s="339"/>
      <c r="AD70" s="340"/>
      <c r="AE70" s="318"/>
      <c r="AF70" s="318"/>
      <c r="AP70" s="19"/>
      <c r="AT70" s="23"/>
      <c r="AU70" s="23"/>
    </row>
    <row r="71" spans="1:48" customFormat="1">
      <c r="A71" s="2067" t="s">
        <v>138</v>
      </c>
      <c r="B71" s="2068"/>
      <c r="C71" s="108" t="e">
        <f>AVERAGEIFS(W2:W49,Q2:Q49,"",D2:D49,C68)</f>
        <v>#DIV/0!</v>
      </c>
      <c r="D71" s="108" t="e">
        <f>AVERAGEIFS(W2:W49,Q2:Q49,"",D2:D49,D68)</f>
        <v>#DIV/0!</v>
      </c>
      <c r="E71" s="108" t="e">
        <f>AVERAGEIFS(Table4[€/m² min price price],Q2:Q49,"",D2:D49,E68)</f>
        <v>#DIV/0!</v>
      </c>
      <c r="F71" s="108" t="e">
        <f>AVERAGEIFS(V2:V49,Q2:Q49,"",D2:D49,F68)</f>
        <v>#DIV/0!</v>
      </c>
      <c r="G71" s="108" t="e">
        <f>AVERAGEIFS(V2:V49,Q2:Q49,"",D2:D49,G68)</f>
        <v>#DIV/0!</v>
      </c>
      <c r="H71" s="161" t="e">
        <f>AVERAGEIF(Q2:Q49,"",Table4[€/m² min price price])</f>
        <v>#DIV/0!</v>
      </c>
      <c r="I71" s="40"/>
      <c r="J71" s="40"/>
      <c r="K71" s="40"/>
      <c r="L71" s="40"/>
      <c r="M71" s="40"/>
      <c r="N71" s="40"/>
      <c r="O71" s="5" t="s">
        <v>17421</v>
      </c>
      <c r="P71" s="719">
        <f>COUNTIFS($Q$2:$Q$49,Q47,Table4[Client
Nationality],O71)</f>
        <v>0</v>
      </c>
      <c r="Q71" s="5">
        <f>COUNTIFS(Table4[Date of CPCV],"&gt;="&amp;DATE(2024,1,1),Table4[Date of CPCV],"&lt;="&amp;DATE(2024,12,31),Table4[Client
Nationality],O71)</f>
        <v>0</v>
      </c>
      <c r="R71" s="1014">
        <f t="shared" si="1"/>
        <v>0</v>
      </c>
      <c r="S71" s="40"/>
      <c r="T71" s="40"/>
      <c r="U71" s="40"/>
      <c r="V71" s="289"/>
      <c r="W71" s="338"/>
      <c r="X71" s="340"/>
      <c r="Y71" s="289"/>
      <c r="Z71" s="339"/>
      <c r="AA71" s="339"/>
      <c r="AB71" s="340"/>
      <c r="AC71" s="339"/>
      <c r="AD71" s="340"/>
      <c r="AE71" s="318"/>
      <c r="AF71" s="318"/>
      <c r="AP71" s="19"/>
      <c r="AT71" s="23"/>
      <c r="AU71" s="23"/>
    </row>
    <row r="72" spans="1:48" customFormat="1" ht="15.75" thickBot="1">
      <c r="A72" s="2076" t="s">
        <v>210</v>
      </c>
      <c r="B72" s="2077"/>
      <c r="C72" s="409" t="e">
        <f>AVERAGEIFS(T2:T49,P2:P49,#REF!,C2:C49,C68)</f>
        <v>#DIV/0!</v>
      </c>
      <c r="D72" s="409" t="e">
        <f>AVERAGEIFS(U2:U49,Q2:Q49,A72,D2:D49,D68)</f>
        <v>#DIV/0!</v>
      </c>
      <c r="E72" s="409" t="e">
        <f>AVERAGEIFS(U2:U49,Q2:Q49,A72,D2:D49,E68)</f>
        <v>#DIV/0!</v>
      </c>
      <c r="F72" s="409" t="e">
        <f>AVERAGEIFS(U2:U49,Q2:Q49,A72,D2:D49,F68)</f>
        <v>#DIV/0!</v>
      </c>
      <c r="G72" s="409" t="e">
        <f>AVERAGEIFS(U2:U49,Q2:Q49,A72,D2:D49,G68)</f>
        <v>#DIV/0!</v>
      </c>
      <c r="H72" s="425" t="e">
        <f>AVERAGEIF(Q23:Q50,A72,U23:U50)</f>
        <v>#DIV/0!</v>
      </c>
      <c r="I72" s="40"/>
      <c r="J72" s="289"/>
      <c r="K72" s="341"/>
      <c r="L72" s="289"/>
      <c r="M72" s="289"/>
      <c r="N72" s="289"/>
      <c r="O72" s="289"/>
      <c r="P72" s="289"/>
      <c r="Q72" s="289"/>
      <c r="R72" s="292"/>
      <c r="S72" s="289"/>
      <c r="T72" s="289"/>
      <c r="U72" s="289"/>
      <c r="V72" s="289"/>
      <c r="W72" s="338"/>
      <c r="X72" s="340"/>
      <c r="Y72" s="289"/>
      <c r="Z72" s="339"/>
      <c r="AA72" s="339"/>
      <c r="AB72" s="340"/>
      <c r="AC72" s="339"/>
      <c r="AD72" s="340"/>
      <c r="AE72" s="318"/>
      <c r="AF72" s="318"/>
      <c r="AP72" s="19"/>
      <c r="AT72" s="23"/>
      <c r="AU72" s="23"/>
    </row>
    <row r="73" spans="1:48" customFormat="1" ht="15.75" thickBot="1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289"/>
      <c r="L73" s="341"/>
      <c r="M73" s="289"/>
      <c r="N73" s="289"/>
      <c r="O73" s="289"/>
      <c r="P73" s="289"/>
      <c r="Q73" s="289"/>
      <c r="R73" s="289"/>
      <c r="S73" s="292"/>
      <c r="T73" s="289"/>
      <c r="U73" s="289"/>
      <c r="V73" s="289"/>
      <c r="W73" s="289"/>
      <c r="X73" s="338"/>
      <c r="Y73" s="340"/>
      <c r="Z73" s="289"/>
      <c r="AA73" s="339"/>
      <c r="AB73" s="339"/>
      <c r="AC73" s="340"/>
      <c r="AD73" s="339"/>
      <c r="AE73" s="340"/>
      <c r="AF73" s="318"/>
      <c r="AG73" s="318"/>
      <c r="AQ73" s="19"/>
      <c r="AU73" s="23"/>
      <c r="AV73" s="23"/>
    </row>
    <row r="74" spans="1:48" customFormat="1">
      <c r="A74" s="2052" t="s">
        <v>192</v>
      </c>
      <c r="B74" s="2053"/>
      <c r="C74" s="411" t="s">
        <v>90</v>
      </c>
      <c r="D74" s="411" t="s">
        <v>92</v>
      </c>
      <c r="E74" s="411" t="s">
        <v>91</v>
      </c>
      <c r="F74" s="411" t="s">
        <v>365</v>
      </c>
      <c r="G74" s="411" t="s">
        <v>89</v>
      </c>
      <c r="H74" s="398" t="s">
        <v>141</v>
      </c>
      <c r="I74" s="40"/>
      <c r="J74" s="289"/>
      <c r="K74" s="341"/>
      <c r="L74" s="289"/>
      <c r="M74" s="289"/>
      <c r="N74" s="289"/>
      <c r="O74" s="289"/>
      <c r="P74" s="289"/>
      <c r="Q74" s="289"/>
      <c r="R74" s="292"/>
      <c r="S74" s="289"/>
      <c r="T74" s="289"/>
      <c r="U74" s="289"/>
      <c r="V74" s="289"/>
      <c r="W74" s="338"/>
      <c r="X74" s="340"/>
      <c r="Y74" s="289"/>
      <c r="Z74" s="339"/>
      <c r="AA74" s="339"/>
      <c r="AB74" s="340"/>
      <c r="AC74" s="339"/>
      <c r="AD74" s="340"/>
      <c r="AE74" s="318"/>
      <c r="AF74" s="318"/>
      <c r="AP74" s="19"/>
      <c r="AT74" s="23"/>
      <c r="AU74" s="23"/>
    </row>
    <row r="75" spans="1:48" customFormat="1">
      <c r="A75" s="2054" t="s">
        <v>258</v>
      </c>
      <c r="B75" s="2055"/>
      <c r="C75" s="115">
        <f>AVERAGEIFS(R2:R49,Q2:Q49,A75,D2:D49,C74)</f>
        <v>169750</v>
      </c>
      <c r="D75" s="276">
        <f>AVERAGEIFS(R2:R49,Q2:Q49,A75,D2:D49,D74)</f>
        <v>198850</v>
      </c>
      <c r="E75" s="276">
        <f>AVERAGEIFS(R2:R49,Q2:Q49,A75,D2:D49,E74)</f>
        <v>247865</v>
      </c>
      <c r="F75" s="276">
        <f>AVERAGEIFS(R2:R49,Q2:Q49,A75,D2:D49,F74)</f>
        <v>286150</v>
      </c>
      <c r="G75" s="276">
        <f>AVERAGEIFS(R2:R49,Q2:Q49,A75,D2:D49,G74)</f>
        <v>316288</v>
      </c>
      <c r="H75" s="420">
        <f>AVERAGEIF(Table4[Status],A75,Table4[Closing Price])</f>
        <v>303033.22916666669</v>
      </c>
      <c r="I75" s="40"/>
      <c r="J75" s="289"/>
      <c r="K75" s="341"/>
      <c r="L75" s="289"/>
      <c r="M75" s="289"/>
      <c r="N75" s="289"/>
      <c r="O75" s="289"/>
      <c r="P75" s="289"/>
      <c r="Q75" s="289"/>
      <c r="R75" s="292"/>
      <c r="S75" s="289"/>
      <c r="T75" s="289"/>
      <c r="U75" s="289"/>
      <c r="V75" s="289"/>
      <c r="W75" s="338"/>
      <c r="X75" s="340"/>
      <c r="Y75" s="289"/>
      <c r="Z75" s="339"/>
      <c r="AA75" s="339"/>
      <c r="AB75" s="340"/>
      <c r="AC75" s="339"/>
      <c r="AD75" s="340"/>
      <c r="AE75" s="318"/>
      <c r="AF75" s="318"/>
      <c r="AP75" s="19"/>
      <c r="AT75" s="23"/>
      <c r="AU75" s="23"/>
    </row>
    <row r="76" spans="1:48" customFormat="1">
      <c r="A76" s="2056" t="s">
        <v>102</v>
      </c>
      <c r="B76" s="2057"/>
      <c r="C76" s="421" t="e">
        <f>AVERAGEIFS(T2:T49,Q2:Q49,A76,C2:C49,C74)</f>
        <v>#DIV/0!</v>
      </c>
      <c r="D76" s="402" t="e">
        <f>AVERAGEIFS(T2:T49,Q2:Q49,A76,D2:D49,D74)</f>
        <v>#DIV/0!</v>
      </c>
      <c r="E76" s="402" t="e">
        <f>AVERAGEIFS(T2:T49,Q2:Q49,A76,D2:D49,E74)</f>
        <v>#DIV/0!</v>
      </c>
      <c r="F76" s="402" t="e">
        <f>AVERAGEIFS(T2:T49,Q2:Q49,A76,D2:D49,F74)</f>
        <v>#DIV/0!</v>
      </c>
      <c r="G76" s="402" t="e">
        <f>AVERAGEIFS(T2:T49,Q2:Q49,A76,D2:D49,G74)</f>
        <v>#DIV/0!</v>
      </c>
      <c r="H76" s="422" t="e">
        <f>AVERAGEIF(Table4[Status],A76,Table4[Min. Price])</f>
        <v>#DIV/0!</v>
      </c>
      <c r="I76" s="40"/>
      <c r="J76" s="289"/>
      <c r="K76" s="341"/>
      <c r="L76" s="289"/>
      <c r="M76" s="289"/>
      <c r="N76" s="289"/>
      <c r="O76" s="289"/>
      <c r="P76" s="289"/>
      <c r="Q76" s="289"/>
      <c r="R76" s="292"/>
      <c r="S76" s="289"/>
      <c r="T76" s="289"/>
      <c r="U76" s="289"/>
      <c r="V76" s="289"/>
      <c r="W76" s="338"/>
      <c r="X76" s="340"/>
      <c r="Y76" s="289"/>
      <c r="Z76" s="339"/>
      <c r="AA76" s="339"/>
      <c r="AB76" s="340"/>
      <c r="AC76" s="339"/>
      <c r="AD76" s="340"/>
      <c r="AE76" s="318"/>
      <c r="AF76" s="318"/>
      <c r="AP76" s="19"/>
      <c r="AT76" s="23"/>
      <c r="AU76" s="23"/>
    </row>
    <row r="77" spans="1:48" customFormat="1" ht="15.75" thickBot="1">
      <c r="A77" s="2063" t="s">
        <v>138</v>
      </c>
      <c r="B77" s="2075"/>
      <c r="C77" s="426" t="e">
        <f>AVERAGEIFS(T2:T49,Q2:Q49,"",D2:D49,C74)</f>
        <v>#DIV/0!</v>
      </c>
      <c r="D77" s="427" t="e">
        <f>AVERAGEIFS(T2:T49,Q2:Q49,"",D2:D49,D74)</f>
        <v>#DIV/0!</v>
      </c>
      <c r="E77" s="427" t="e">
        <f>AVERAGEIFS(Table4[Min. Price],Q2:Q49,"",D2:D49,E74)</f>
        <v>#DIV/0!</v>
      </c>
      <c r="F77" s="427" t="e">
        <f>AVERAGEIFS(Table4[Min. Price],Q2:Q49,"",D2:D49,F74)</f>
        <v>#DIV/0!</v>
      </c>
      <c r="G77" s="427" t="e">
        <f>AVERAGEIFS(Table4[Min. Price],Q2:Q49,"",D2:D49,G74)</f>
        <v>#DIV/0!</v>
      </c>
      <c r="H77" s="428" t="e">
        <f>AVERAGEIF(Table4[Status],"",Table4[Min. Price])</f>
        <v>#DIV/0!</v>
      </c>
      <c r="I77" s="40"/>
      <c r="J77" s="289"/>
      <c r="K77" s="341"/>
      <c r="L77" s="289"/>
      <c r="M77" s="289"/>
      <c r="N77" s="289"/>
      <c r="O77" s="289"/>
      <c r="P77" s="289"/>
      <c r="Q77" s="289"/>
      <c r="R77" s="292"/>
      <c r="S77" s="289"/>
      <c r="T77" s="289"/>
      <c r="U77" s="289"/>
      <c r="V77" s="289"/>
      <c r="W77" s="338"/>
      <c r="X77" s="340"/>
      <c r="Y77" s="289"/>
      <c r="Z77" s="339"/>
      <c r="AA77" s="339"/>
      <c r="AB77" s="340"/>
      <c r="AC77" s="339"/>
      <c r="AD77" s="340"/>
      <c r="AE77" s="318"/>
      <c r="AF77" s="318"/>
      <c r="AP77" s="19"/>
      <c r="AT77" s="23"/>
      <c r="AU77" s="23"/>
    </row>
    <row r="78" spans="1:48" customFormat="1" ht="15.75" thickBot="1">
      <c r="A78" s="2076" t="s">
        <v>210</v>
      </c>
      <c r="B78" s="2077"/>
      <c r="C78" s="424" t="e">
        <f>AVERAGEIFS(R2:R49,Q2:Q49,A78,D2:D49,C74)</f>
        <v>#DIV/0!</v>
      </c>
      <c r="D78" s="409" t="e">
        <f>AVERAGEIFS(R2:R49,Q2:Q49,A78,D2:D49,D74)</f>
        <v>#DIV/0!</v>
      </c>
      <c r="E78" s="409" t="e">
        <f>AVERAGEIFS(R2:R49,Q2:Q49,A78,D2:D49,E74)</f>
        <v>#DIV/0!</v>
      </c>
      <c r="F78" s="409" t="e">
        <f>AVERAGEIFS(R2:R49,Q2:Q49,A78,D2:D49,F74)</f>
        <v>#DIV/0!</v>
      </c>
      <c r="G78" s="409" t="e">
        <f>AVERAGEIFS(R2:R49,Q2:Q49,A78,D2:D49,G74)</f>
        <v>#DIV/0!</v>
      </c>
      <c r="H78" s="425" t="e">
        <f>AVERAGEIF(Table4[Status],A78,Table4[Closing Price])</f>
        <v>#DIV/0!</v>
      </c>
      <c r="I78" s="106"/>
      <c r="J78" s="289"/>
      <c r="K78" s="341"/>
      <c r="L78" s="289"/>
      <c r="M78" s="289"/>
      <c r="N78" s="289"/>
      <c r="O78" s="289"/>
      <c r="P78" s="289"/>
      <c r="Q78" s="289"/>
      <c r="R78" s="292"/>
      <c r="S78" s="289"/>
      <c r="T78" s="289"/>
      <c r="U78" s="289"/>
      <c r="V78" s="289"/>
      <c r="W78" s="338"/>
      <c r="X78" s="340"/>
      <c r="Y78" s="289"/>
      <c r="Z78" s="339"/>
      <c r="AA78" s="339"/>
      <c r="AB78" s="340"/>
      <c r="AC78" s="339"/>
      <c r="AD78" s="340"/>
      <c r="AE78" s="318"/>
      <c r="AF78" s="318"/>
      <c r="AP78" s="19"/>
      <c r="AT78" s="23"/>
      <c r="AU78" s="23"/>
    </row>
    <row r="79" spans="1:48" customFormat="1" ht="15.75" thickBot="1">
      <c r="A79" s="106"/>
      <c r="B79" s="106"/>
      <c r="C79" s="106"/>
      <c r="D79" s="106"/>
      <c r="E79" s="106"/>
      <c r="F79" s="106"/>
      <c r="G79" s="106"/>
      <c r="H79" s="106"/>
      <c r="I79" s="106"/>
      <c r="J79" s="289"/>
      <c r="K79" s="341"/>
      <c r="L79" s="289"/>
      <c r="M79" s="289"/>
      <c r="N79" s="289"/>
      <c r="O79" s="289"/>
      <c r="P79" s="289"/>
      <c r="Q79" s="289"/>
      <c r="R79" s="292"/>
      <c r="S79" s="289"/>
      <c r="T79" s="289"/>
      <c r="U79" s="289"/>
      <c r="V79" s="289"/>
      <c r="W79" s="338"/>
      <c r="X79" s="340"/>
      <c r="Y79" s="289"/>
      <c r="Z79" s="339"/>
      <c r="AA79" s="339"/>
      <c r="AB79" s="340"/>
      <c r="AC79" s="339"/>
      <c r="AD79" s="340"/>
      <c r="AE79" s="318"/>
      <c r="AF79" s="318"/>
      <c r="AP79" s="19"/>
      <c r="AT79" s="23"/>
      <c r="AU79" s="23"/>
    </row>
    <row r="80" spans="1:48" customFormat="1" ht="15.75" thickBot="1">
      <c r="A80" s="2074" t="s">
        <v>299</v>
      </c>
      <c r="B80" s="2073"/>
      <c r="C80" s="411" t="s">
        <v>90</v>
      </c>
      <c r="D80" s="411" t="s">
        <v>92</v>
      </c>
      <c r="E80" s="411" t="s">
        <v>91</v>
      </c>
      <c r="F80" s="411" t="s">
        <v>365</v>
      </c>
      <c r="G80" s="411" t="s">
        <v>89</v>
      </c>
      <c r="H80" s="398" t="s">
        <v>141</v>
      </c>
      <c r="I80" s="106"/>
      <c r="J80" s="289"/>
      <c r="K80" s="341"/>
      <c r="L80" s="289"/>
      <c r="M80" s="289"/>
      <c r="N80" s="289"/>
      <c r="O80" s="289"/>
      <c r="P80" s="289"/>
      <c r="Q80" s="289"/>
      <c r="R80" s="292"/>
      <c r="S80" s="289"/>
      <c r="T80" s="289"/>
      <c r="U80" s="289"/>
      <c r="V80" s="289"/>
      <c r="W80" s="338"/>
      <c r="X80" s="340"/>
      <c r="Y80" s="289"/>
      <c r="Z80" s="339"/>
      <c r="AA80" s="339"/>
      <c r="AB80" s="340"/>
      <c r="AC80" s="339"/>
      <c r="AD80" s="340"/>
      <c r="AE80" s="318"/>
      <c r="AF80" s="318"/>
      <c r="AP80" s="19"/>
      <c r="AT80" s="23"/>
      <c r="AU80" s="23"/>
    </row>
    <row r="81" spans="1:47" customFormat="1">
      <c r="A81" s="2054" t="s">
        <v>258</v>
      </c>
      <c r="B81" s="2055"/>
      <c r="C81" s="430" t="e">
        <f>AVERAGEIFS(K2:K49,C2:C49,C80,Q2:Q49,A81)</f>
        <v>#DIV/0!</v>
      </c>
      <c r="D81" s="430">
        <f>AVERAGEIFS(K2:K49,D2:D49,D80,Q2:Q49,A81)</f>
        <v>74.216000000000008</v>
      </c>
      <c r="E81" s="430">
        <f>AVERAGEIFS(K2:K49,D2:D49,E80,Q2:Q49,A81)</f>
        <v>103.74539999999999</v>
      </c>
      <c r="F81" s="431">
        <f>AVERAGEIFS(K2:K49,D2:D49,F80,Q2:Q49,A81)</f>
        <v>111.655</v>
      </c>
      <c r="G81" s="432">
        <f>AVERAGEIFS(K2:K49,D2:D49,G80,Q2:Q49,A81)</f>
        <v>121.71350000000002</v>
      </c>
      <c r="H81" s="503">
        <f>AVERAGEIF(Table4[Status],A81,Table4[[Saleable Area ]])</f>
        <v>117.20645833333334</v>
      </c>
      <c r="I81" s="106"/>
      <c r="J81" s="289"/>
      <c r="K81" s="341"/>
      <c r="L81" s="289"/>
      <c r="M81" s="289"/>
      <c r="N81" s="289"/>
      <c r="O81" s="289"/>
      <c r="P81" s="289"/>
      <c r="Q81" s="289"/>
      <c r="R81" s="292"/>
      <c r="S81" s="289"/>
      <c r="T81" s="289"/>
      <c r="U81" s="289"/>
      <c r="V81" s="289"/>
      <c r="W81" s="338"/>
      <c r="X81" s="340"/>
      <c r="Y81" s="289"/>
      <c r="Z81" s="339"/>
      <c r="AA81" s="339"/>
      <c r="AB81" s="340"/>
      <c r="AC81" s="339"/>
      <c r="AD81" s="340"/>
      <c r="AE81" s="318"/>
      <c r="AF81" s="318"/>
      <c r="AP81" s="19"/>
      <c r="AT81" s="23"/>
      <c r="AU81" s="23"/>
    </row>
    <row r="82" spans="1:47" customFormat="1">
      <c r="A82" s="2056" t="s">
        <v>102</v>
      </c>
      <c r="B82" s="2069"/>
      <c r="C82" s="433" t="e">
        <f>AVERAGEIFS(K2:K49,C2:C49,C80,Q2:Q49,A82)</f>
        <v>#DIV/0!</v>
      </c>
      <c r="D82" s="433" t="e">
        <f>AVERAGEIFS(K2:K49,D2:D49,D80,Q2:Q49,A82)</f>
        <v>#DIV/0!</v>
      </c>
      <c r="E82" s="433" t="e">
        <f>AVERAGEIFS(K2:K49,D2:D49,E80,Q2:Q49,A82)</f>
        <v>#DIV/0!</v>
      </c>
      <c r="F82" s="434" t="e">
        <f>AVERAGEIFS(K2:K49,D2:D49,F80,Q2:Q49,A82)</f>
        <v>#DIV/0!</v>
      </c>
      <c r="G82" s="435" t="e">
        <f>AVERAGEIFS(K2:K49,D2:D49,G80,Q2:Q49,A82)</f>
        <v>#DIV/0!</v>
      </c>
      <c r="H82" s="504" t="e">
        <f>AVERAGEIF(Table4[Status],A82,Table4[[Saleable Area ]])</f>
        <v>#DIV/0!</v>
      </c>
      <c r="I82" s="106"/>
      <c r="J82" s="289"/>
      <c r="K82" s="341"/>
      <c r="L82" s="289"/>
      <c r="M82" s="289"/>
      <c r="N82" s="289"/>
      <c r="O82" s="289"/>
      <c r="P82" s="289"/>
      <c r="Q82" s="289"/>
      <c r="R82" s="292"/>
      <c r="S82" s="289"/>
      <c r="T82" s="289"/>
      <c r="U82" s="289"/>
      <c r="V82" s="289"/>
      <c r="W82" s="338"/>
      <c r="X82" s="340"/>
      <c r="Y82" s="289"/>
      <c r="Z82" s="339"/>
      <c r="AA82" s="339"/>
      <c r="AB82" s="340"/>
      <c r="AC82" s="339"/>
      <c r="AD82" s="340"/>
      <c r="AE82" s="318"/>
      <c r="AF82" s="318"/>
      <c r="AP82" s="19"/>
      <c r="AT82" s="23"/>
      <c r="AU82" s="23"/>
    </row>
    <row r="83" spans="1:47" customFormat="1" ht="15.75" thickBot="1">
      <c r="A83" s="2063" t="s">
        <v>138</v>
      </c>
      <c r="B83" s="2064"/>
      <c r="C83" s="436" t="e">
        <f>AVERAGEIFS(K2:K49,D2:D49,C80,Q2:Q49,"")</f>
        <v>#DIV/0!</v>
      </c>
      <c r="D83" s="436" t="e">
        <f>AVERAGEIFS(K2:K49,D2:D49,D80,Q2:Q49,"")</f>
        <v>#DIV/0!</v>
      </c>
      <c r="E83" s="436" t="e">
        <f>AVERAGEIFS(K2:K49,D2:D49,E80,Q2:Q49,"")</f>
        <v>#DIV/0!</v>
      </c>
      <c r="F83" s="437" t="e">
        <f>AVERAGEIFS(K2:K49,D2:D49,F80,Q2:Q49,"")</f>
        <v>#DIV/0!</v>
      </c>
      <c r="G83" s="438" t="e">
        <f>AVERAGEIFS(K2:K49,D2:D49,G80,Q2:Q49,"")</f>
        <v>#DIV/0!</v>
      </c>
      <c r="H83" s="507" t="e">
        <f>AVERAGEIF(Table4[Status],"",Table4[[Saleable Area ]])</f>
        <v>#DIV/0!</v>
      </c>
      <c r="I83" s="106"/>
      <c r="J83" s="289"/>
      <c r="K83" s="341"/>
      <c r="L83" s="289"/>
      <c r="M83" s="289"/>
      <c r="N83" s="289"/>
      <c r="O83" s="289"/>
      <c r="P83" s="289"/>
      <c r="Q83" s="289"/>
      <c r="R83" s="292"/>
      <c r="S83" s="289"/>
      <c r="T83" s="289"/>
      <c r="U83" s="289"/>
      <c r="V83" s="289"/>
      <c r="W83" s="338"/>
      <c r="X83" s="340"/>
      <c r="Y83" s="289"/>
      <c r="Z83" s="339"/>
      <c r="AA83" s="339"/>
      <c r="AB83" s="340"/>
      <c r="AC83" s="339"/>
      <c r="AD83" s="340"/>
      <c r="AE83" s="318"/>
      <c r="AF83" s="318"/>
      <c r="AP83" s="19"/>
      <c r="AT83" s="23"/>
      <c r="AU83" s="23"/>
    </row>
    <row r="84" spans="1:47" customFormat="1" ht="15.75" thickBot="1">
      <c r="A84" s="2070" t="s">
        <v>210</v>
      </c>
      <c r="B84" s="2071"/>
      <c r="C84" s="439" t="e">
        <f>AVERAGEIFS(K2:K49,Table4[Layout],C80,Q2:Q49,A84)</f>
        <v>#DIV/0!</v>
      </c>
      <c r="D84" s="439" t="e">
        <f>AVERAGEIFS(K2:K49,D2:D49,D80,Q2:Q49,A84)</f>
        <v>#DIV/0!</v>
      </c>
      <c r="E84" s="439" t="e">
        <f>AVERAGEIFS(K2:K49,D2:D49,E80,Q2:Q49,A84)</f>
        <v>#DIV/0!</v>
      </c>
      <c r="F84" s="440" t="e">
        <f>AVERAGEIFS(K2:K49,D2:D49,F80,Q2:Q49,A84)</f>
        <v>#DIV/0!</v>
      </c>
      <c r="G84" s="441" t="e">
        <f>AVERAGEIFS(K23:K50,D23:D50,G80,Q23:Q50,A84)</f>
        <v>#DIV/0!</v>
      </c>
      <c r="H84" s="505" t="e">
        <f>AVERAGEIF(Table4[Status],A84,Table4[[Saleable Area ]])</f>
        <v>#DIV/0!</v>
      </c>
      <c r="I84" s="106"/>
      <c r="J84" s="289"/>
      <c r="K84" s="341"/>
      <c r="L84" s="289"/>
      <c r="M84" s="289"/>
      <c r="N84" s="289"/>
      <c r="O84" s="289"/>
      <c r="P84" s="289"/>
      <c r="Q84" s="289"/>
      <c r="R84" s="292"/>
      <c r="S84" s="289"/>
      <c r="T84" s="289"/>
      <c r="U84" s="289"/>
      <c r="V84" s="289"/>
      <c r="W84" s="338"/>
      <c r="X84" s="340"/>
      <c r="Y84" s="289"/>
      <c r="Z84" s="339"/>
      <c r="AA84" s="339"/>
      <c r="AB84" s="340"/>
      <c r="AC84" s="339"/>
      <c r="AD84" s="340"/>
      <c r="AE84" s="318"/>
      <c r="AF84" s="318"/>
      <c r="AP84" s="19"/>
      <c r="AT84" s="23"/>
      <c r="AU84" s="23"/>
    </row>
    <row r="85" spans="1:47" customFormat="1" ht="15.75" thickBot="1">
      <c r="A85" s="2065" t="s">
        <v>141</v>
      </c>
      <c r="B85" s="2066"/>
      <c r="C85" s="442">
        <f>AVERAGEIFS(K2:K49,D2:D49,C80)</f>
        <v>52.771999999999998</v>
      </c>
      <c r="D85" s="443">
        <f>AVERAGEIFS(K2:K49,D2:D49,D80)</f>
        <v>74.216000000000008</v>
      </c>
      <c r="E85" s="443">
        <f>AVERAGEIFS(K2:K49,D2:D49,E80)</f>
        <v>103.74539999999999</v>
      </c>
      <c r="F85" s="444">
        <f>AVERAGEIFS(K2:K49,D2:D49,F80)</f>
        <v>111.655</v>
      </c>
      <c r="G85" s="444">
        <f>AVERAGEIFS(K2:K49,D2:D49,G80)</f>
        <v>121.71350000000002</v>
      </c>
      <c r="H85" s="506"/>
      <c r="I85" s="106"/>
      <c r="J85" s="289"/>
      <c r="K85" s="341"/>
      <c r="L85" s="289"/>
      <c r="M85" s="289"/>
      <c r="N85" s="289"/>
      <c r="O85" s="289"/>
      <c r="R85" s="292"/>
      <c r="S85" s="289"/>
      <c r="T85" s="289"/>
      <c r="U85" s="289"/>
      <c r="V85" s="289"/>
      <c r="W85" s="338"/>
      <c r="X85" s="340"/>
      <c r="Y85" s="289"/>
      <c r="Z85" s="339"/>
      <c r="AA85" s="339"/>
      <c r="AB85" s="340"/>
      <c r="AC85" s="339"/>
      <c r="AD85" s="340"/>
      <c r="AE85" s="318"/>
      <c r="AF85" s="318"/>
      <c r="AP85" s="19"/>
      <c r="AT85" s="23"/>
      <c r="AU85" s="23"/>
    </row>
  </sheetData>
  <mergeCells count="36">
    <mergeCell ref="J63:M63"/>
    <mergeCell ref="O63:R63"/>
    <mergeCell ref="A84:B84"/>
    <mergeCell ref="A85:B85"/>
    <mergeCell ref="F59:G59"/>
    <mergeCell ref="A82:B82"/>
    <mergeCell ref="A83:B83"/>
    <mergeCell ref="A62:B62"/>
    <mergeCell ref="A63:B63"/>
    <mergeCell ref="A64:B64"/>
    <mergeCell ref="A65:B65"/>
    <mergeCell ref="A68:B68"/>
    <mergeCell ref="A69:B69"/>
    <mergeCell ref="A61:B61"/>
    <mergeCell ref="A77:B77"/>
    <mergeCell ref="A78:B78"/>
    <mergeCell ref="A80:B80"/>
    <mergeCell ref="A81:B81"/>
    <mergeCell ref="A70:B70"/>
    <mergeCell ref="A71:B71"/>
    <mergeCell ref="A72:B72"/>
    <mergeCell ref="A74:B74"/>
    <mergeCell ref="A75:B75"/>
    <mergeCell ref="A76:B76"/>
    <mergeCell ref="A60:B60"/>
    <mergeCell ref="A52:E52"/>
    <mergeCell ref="A54:B54"/>
    <mergeCell ref="A55:B55"/>
    <mergeCell ref="A56:B56"/>
    <mergeCell ref="J55:U55"/>
    <mergeCell ref="J57:P57"/>
    <mergeCell ref="A50:F50"/>
    <mergeCell ref="A57:B57"/>
    <mergeCell ref="A58:B58"/>
    <mergeCell ref="G53:H53"/>
    <mergeCell ref="J58:U58"/>
  </mergeCells>
  <conditionalFormatting sqref="Y1:Y1048576">
    <cfRule type="cellIs" dxfId="0" priority="1" operator="lessThan">
      <formula>TODAY()-15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317C-7AA9-4C47-A001-8CCA34B7E79F}">
  <sheetPr filterMode="1">
    <tabColor theme="4" tint="0.79998168889431442"/>
  </sheetPr>
  <dimension ref="A1:Y90"/>
  <sheetViews>
    <sheetView zoomScaleNormal="100" workbookViewId="0">
      <selection activeCell="D72" sqref="D72"/>
    </sheetView>
  </sheetViews>
  <sheetFormatPr defaultColWidth="8.7109375" defaultRowHeight="17.25" customHeight="1"/>
  <cols>
    <col min="1" max="1" width="8.85546875" style="3" bestFit="1" customWidth="1"/>
    <col min="2" max="2" width="11.85546875" style="3" bestFit="1" customWidth="1"/>
    <col min="3" max="3" width="10.85546875" style="3" bestFit="1" customWidth="1"/>
    <col min="4" max="4" width="11.28515625" style="3" bestFit="1" customWidth="1"/>
    <col min="5" max="5" width="13.42578125" style="3" customWidth="1"/>
    <col min="6" max="6" width="13.28515625" style="3" customWidth="1"/>
    <col min="7" max="7" width="11.42578125" style="3" customWidth="1"/>
    <col min="8" max="8" width="11.28515625" style="3" customWidth="1"/>
    <col min="9" max="9" width="16.5703125" style="146" customWidth="1"/>
    <col min="10" max="10" width="13.5703125" style="162" customWidth="1"/>
    <col min="11" max="11" width="18" style="279" customWidth="1"/>
    <col min="12" max="12" width="13.28515625" style="3" customWidth="1"/>
    <col min="13" max="13" width="14.85546875" style="3" customWidth="1"/>
    <col min="14" max="14" width="14" style="3" customWidth="1"/>
    <col min="15" max="15" width="9.5703125" style="3" customWidth="1"/>
    <col min="16" max="16" width="15.85546875" style="162" customWidth="1"/>
    <col min="17" max="17" width="19.140625" style="3" customWidth="1"/>
    <col min="18" max="18" width="16.7109375" style="3" customWidth="1"/>
    <col min="19" max="19" width="69.28515625" style="3" customWidth="1"/>
    <col min="20" max="20" width="21.42578125" style="3" customWidth="1"/>
    <col min="21" max="21" width="20.28515625" style="3" bestFit="1" customWidth="1"/>
    <col min="22" max="22" width="20.42578125" style="3" bestFit="1" customWidth="1"/>
    <col min="23" max="23" width="7.7109375" style="3" bestFit="1" customWidth="1"/>
    <col min="24" max="31" width="12.42578125" style="3" customWidth="1"/>
    <col min="32" max="16384" width="8.7109375" style="3"/>
  </cols>
  <sheetData>
    <row r="1" spans="1:22" s="2" customFormat="1" ht="17.25" customHeight="1">
      <c r="A1" s="6" t="s">
        <v>23</v>
      </c>
      <c r="B1" s="6" t="s">
        <v>5</v>
      </c>
      <c r="C1" s="6" t="s">
        <v>1</v>
      </c>
      <c r="D1" s="6" t="s">
        <v>0</v>
      </c>
      <c r="E1" s="6" t="s">
        <v>3</v>
      </c>
      <c r="F1" s="6" t="s">
        <v>6</v>
      </c>
      <c r="G1" s="6" t="s">
        <v>2</v>
      </c>
      <c r="H1" s="6" t="s">
        <v>7</v>
      </c>
      <c r="I1" s="119" t="s">
        <v>11</v>
      </c>
      <c r="J1" s="6" t="s">
        <v>12</v>
      </c>
      <c r="K1" s="21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72" t="s">
        <v>4</v>
      </c>
      <c r="Q1" s="6" t="s">
        <v>8</v>
      </c>
      <c r="R1" s="6" t="s">
        <v>18</v>
      </c>
      <c r="S1" s="6" t="s">
        <v>19</v>
      </c>
      <c r="T1" s="6" t="s">
        <v>17452</v>
      </c>
      <c r="U1" s="6" t="s">
        <v>20</v>
      </c>
      <c r="V1" s="6" t="s">
        <v>21</v>
      </c>
    </row>
    <row r="2" spans="1:22" s="144" customFormat="1" ht="12.75" hidden="1">
      <c r="A2" s="9">
        <v>1</v>
      </c>
      <c r="B2" s="50" t="s">
        <v>24</v>
      </c>
      <c r="C2" s="8" t="s">
        <v>89</v>
      </c>
      <c r="D2" s="8" t="s">
        <v>94</v>
      </c>
      <c r="E2" s="139"/>
      <c r="F2" s="10">
        <v>108.8</v>
      </c>
      <c r="G2" s="10">
        <v>53.94</v>
      </c>
      <c r="H2" s="139"/>
      <c r="I2" s="140">
        <f>F2+(G2/3)</f>
        <v>126.78</v>
      </c>
      <c r="J2" s="8" t="s">
        <v>258</v>
      </c>
      <c r="K2" s="75"/>
      <c r="L2" s="139"/>
      <c r="M2" s="13">
        <v>298000</v>
      </c>
      <c r="N2" s="139"/>
      <c r="O2" s="141">
        <f>M2/I2</f>
        <v>2350.5284745227955</v>
      </c>
      <c r="P2" s="335">
        <v>45175</v>
      </c>
      <c r="Q2" s="8" t="s">
        <v>247</v>
      </c>
      <c r="R2" s="139"/>
      <c r="S2" s="14" t="s">
        <v>17179</v>
      </c>
      <c r="T2" s="11" t="s">
        <v>265</v>
      </c>
      <c r="U2" s="139"/>
      <c r="V2" s="139"/>
    </row>
    <row r="3" spans="1:22" s="144" customFormat="1" ht="17.25" hidden="1" customHeight="1">
      <c r="A3" s="9">
        <v>2</v>
      </c>
      <c r="B3" s="50" t="s">
        <v>25</v>
      </c>
      <c r="C3" s="8" t="s">
        <v>90</v>
      </c>
      <c r="D3" s="8" t="s">
        <v>94</v>
      </c>
      <c r="E3" s="139"/>
      <c r="F3" s="10">
        <v>69.81</v>
      </c>
      <c r="G3" s="10">
        <v>48.92</v>
      </c>
      <c r="H3" s="139"/>
      <c r="I3" s="140">
        <f t="shared" ref="I3:I66" si="0">F3+(G3/3)</f>
        <v>86.116666666666674</v>
      </c>
      <c r="J3" s="8" t="s">
        <v>258</v>
      </c>
      <c r="K3" s="75"/>
      <c r="L3" s="139"/>
      <c r="M3" s="13">
        <v>190000</v>
      </c>
      <c r="N3" s="139"/>
      <c r="O3" s="141">
        <f t="shared" ref="O3:O66" si="1">M3/I3</f>
        <v>2206.3092703696534</v>
      </c>
      <c r="P3" s="335">
        <v>45079</v>
      </c>
      <c r="Q3" s="336" t="s">
        <v>103</v>
      </c>
      <c r="R3" s="63"/>
      <c r="S3" s="63" t="s">
        <v>590</v>
      </c>
      <c r="T3" s="11" t="s">
        <v>265</v>
      </c>
      <c r="U3" s="63"/>
      <c r="V3" s="139"/>
    </row>
    <row r="4" spans="1:22" s="144" customFormat="1" ht="17.25" hidden="1" customHeight="1">
      <c r="A4" s="9">
        <v>3</v>
      </c>
      <c r="B4" s="8" t="s">
        <v>26</v>
      </c>
      <c r="C4" s="8" t="s">
        <v>89</v>
      </c>
      <c r="D4" s="8" t="s">
        <v>95</v>
      </c>
      <c r="E4" s="139"/>
      <c r="F4" s="10">
        <v>108.51</v>
      </c>
      <c r="G4" s="10">
        <v>6.93</v>
      </c>
      <c r="H4" s="139"/>
      <c r="I4" s="140">
        <f t="shared" si="0"/>
        <v>110.82000000000001</v>
      </c>
      <c r="J4" s="8" t="s">
        <v>258</v>
      </c>
      <c r="K4" s="75">
        <v>275000</v>
      </c>
      <c r="L4" s="139"/>
      <c r="M4" s="13">
        <v>272750</v>
      </c>
      <c r="N4" s="139"/>
      <c r="O4" s="141">
        <f t="shared" si="1"/>
        <v>2461.1983396498827</v>
      </c>
      <c r="P4" s="673">
        <v>45198</v>
      </c>
      <c r="Q4" s="336" t="s">
        <v>103</v>
      </c>
      <c r="R4" s="139"/>
      <c r="S4" s="15" t="s">
        <v>17192</v>
      </c>
      <c r="T4" s="11" t="s">
        <v>565</v>
      </c>
      <c r="U4" s="139"/>
      <c r="V4" s="139"/>
    </row>
    <row r="5" spans="1:22" ht="17.25" hidden="1" customHeight="1">
      <c r="A5" s="9">
        <v>4</v>
      </c>
      <c r="B5" s="8" t="s">
        <v>27</v>
      </c>
      <c r="C5" s="8" t="s">
        <v>91</v>
      </c>
      <c r="D5" s="8" t="s">
        <v>95</v>
      </c>
      <c r="E5" s="139"/>
      <c r="F5" s="10">
        <v>86.51</v>
      </c>
      <c r="G5" s="10">
        <v>5.41</v>
      </c>
      <c r="H5" s="139"/>
      <c r="I5" s="140">
        <f t="shared" si="0"/>
        <v>88.313333333333333</v>
      </c>
      <c r="J5" s="8" t="s">
        <v>258</v>
      </c>
      <c r="K5" s="75"/>
      <c r="L5" s="139"/>
      <c r="M5" s="13">
        <v>212500</v>
      </c>
      <c r="N5" s="139"/>
      <c r="O5" s="141">
        <f t="shared" si="1"/>
        <v>2406.2051785309882</v>
      </c>
      <c r="P5" s="673">
        <v>44771</v>
      </c>
      <c r="Q5" s="336" t="s">
        <v>103</v>
      </c>
      <c r="R5" s="139"/>
      <c r="S5" s="15" t="s">
        <v>193</v>
      </c>
      <c r="T5" s="11" t="s">
        <v>265</v>
      </c>
      <c r="U5" s="139"/>
      <c r="V5" s="139"/>
    </row>
    <row r="6" spans="1:22" ht="17.25" hidden="1" customHeight="1">
      <c r="A6" s="9">
        <v>5</v>
      </c>
      <c r="B6" s="8" t="s">
        <v>28</v>
      </c>
      <c r="C6" s="8" t="s">
        <v>92</v>
      </c>
      <c r="D6" s="8" t="s">
        <v>96</v>
      </c>
      <c r="E6" s="139"/>
      <c r="F6" s="10">
        <v>75.569999999999993</v>
      </c>
      <c r="G6" s="10">
        <v>4.1900000000000004</v>
      </c>
      <c r="H6" s="139"/>
      <c r="I6" s="140">
        <f t="shared" si="0"/>
        <v>76.966666666666654</v>
      </c>
      <c r="J6" s="8" t="s">
        <v>258</v>
      </c>
      <c r="K6" s="75"/>
      <c r="L6" s="139"/>
      <c r="M6" s="13">
        <v>177500</v>
      </c>
      <c r="N6" s="139"/>
      <c r="O6" s="141">
        <f t="shared" si="1"/>
        <v>2306.1931572109143</v>
      </c>
      <c r="P6" s="673">
        <v>44869</v>
      </c>
      <c r="Q6" s="336" t="s">
        <v>103</v>
      </c>
      <c r="R6" s="139"/>
      <c r="S6" s="15" t="s">
        <v>17453</v>
      </c>
      <c r="T6" s="11" t="s">
        <v>265</v>
      </c>
      <c r="U6" s="139"/>
      <c r="V6" s="139"/>
    </row>
    <row r="7" spans="1:22" s="144" customFormat="1" ht="17.25" customHeight="1" thickBot="1">
      <c r="A7" s="9">
        <v>6</v>
      </c>
      <c r="B7" s="8" t="s">
        <v>29</v>
      </c>
      <c r="C7" s="8" t="s">
        <v>89</v>
      </c>
      <c r="D7" s="8" t="s">
        <v>96</v>
      </c>
      <c r="E7" s="139"/>
      <c r="F7" s="10">
        <v>111.17</v>
      </c>
      <c r="G7" s="10">
        <v>7.41</v>
      </c>
      <c r="H7" s="139"/>
      <c r="I7" s="140">
        <f t="shared" si="0"/>
        <v>113.64</v>
      </c>
      <c r="J7" s="8" t="s">
        <v>258</v>
      </c>
      <c r="K7" s="75"/>
      <c r="L7" s="139"/>
      <c r="M7" s="13">
        <v>280000</v>
      </c>
      <c r="N7" s="139"/>
      <c r="O7" s="141">
        <f t="shared" si="1"/>
        <v>2463.9211545230551</v>
      </c>
      <c r="P7" s="673">
        <v>45671</v>
      </c>
      <c r="Q7" s="8" t="s">
        <v>103</v>
      </c>
      <c r="R7" s="139"/>
      <c r="S7" s="15" t="s">
        <v>17831</v>
      </c>
      <c r="T7" s="11" t="s">
        <v>265</v>
      </c>
      <c r="U7" s="139"/>
      <c r="V7" s="139"/>
    </row>
    <row r="8" spans="1:22" ht="17.25" hidden="1" customHeight="1">
      <c r="A8" s="9">
        <v>7</v>
      </c>
      <c r="B8" s="8" t="s">
        <v>30</v>
      </c>
      <c r="C8" s="8" t="s">
        <v>90</v>
      </c>
      <c r="D8" s="8" t="s">
        <v>96</v>
      </c>
      <c r="E8" s="139"/>
      <c r="F8" s="10">
        <v>59.6</v>
      </c>
      <c r="G8" s="10">
        <v>9.3699999999999992</v>
      </c>
      <c r="H8" s="139"/>
      <c r="I8" s="140">
        <f t="shared" si="0"/>
        <v>62.723333333333336</v>
      </c>
      <c r="J8" s="8" t="s">
        <v>258</v>
      </c>
      <c r="K8" s="75"/>
      <c r="L8" s="139"/>
      <c r="M8" s="13">
        <v>141500</v>
      </c>
      <c r="N8" s="139"/>
      <c r="O8" s="141">
        <f t="shared" si="1"/>
        <v>2255.9387787638834</v>
      </c>
      <c r="P8" s="673">
        <v>44639</v>
      </c>
      <c r="Q8" s="8" t="s">
        <v>247</v>
      </c>
      <c r="R8" s="139"/>
      <c r="S8" s="14" t="s">
        <v>104</v>
      </c>
      <c r="T8" s="11" t="s">
        <v>265</v>
      </c>
      <c r="U8" s="139"/>
      <c r="V8" s="139"/>
    </row>
    <row r="9" spans="1:22" s="144" customFormat="1" ht="17.25" hidden="1" customHeight="1">
      <c r="A9" s="9">
        <v>8</v>
      </c>
      <c r="B9" s="8" t="s">
        <v>31</v>
      </c>
      <c r="C9" s="8" t="s">
        <v>89</v>
      </c>
      <c r="D9" s="8" t="s">
        <v>96</v>
      </c>
      <c r="E9" s="139"/>
      <c r="F9" s="10">
        <v>125.64</v>
      </c>
      <c r="G9" s="10">
        <v>13.75</v>
      </c>
      <c r="H9" s="139"/>
      <c r="I9" s="140">
        <f t="shared" si="0"/>
        <v>130.22333333333333</v>
      </c>
      <c r="J9" s="8" t="s">
        <v>258</v>
      </c>
      <c r="K9" s="75">
        <v>320000</v>
      </c>
      <c r="L9" s="139"/>
      <c r="M9" s="13">
        <v>310500</v>
      </c>
      <c r="N9" s="139"/>
      <c r="O9" s="141">
        <f t="shared" si="1"/>
        <v>2384.3653211150076</v>
      </c>
      <c r="P9" s="673">
        <v>45322</v>
      </c>
      <c r="Q9" s="8" t="s">
        <v>247</v>
      </c>
      <c r="R9" s="139"/>
      <c r="S9" s="15" t="s">
        <v>17293</v>
      </c>
      <c r="T9" s="11" t="s">
        <v>265</v>
      </c>
      <c r="U9" s="139"/>
      <c r="V9" s="142"/>
    </row>
    <row r="10" spans="1:22" ht="17.25" hidden="1" customHeight="1">
      <c r="A10" s="9">
        <v>9</v>
      </c>
      <c r="B10" s="8" t="s">
        <v>32</v>
      </c>
      <c r="C10" s="8" t="s">
        <v>89</v>
      </c>
      <c r="D10" s="8" t="s">
        <v>96</v>
      </c>
      <c r="E10" s="139"/>
      <c r="F10" s="10">
        <v>125.75</v>
      </c>
      <c r="G10" s="10">
        <v>13.75</v>
      </c>
      <c r="H10" s="139"/>
      <c r="I10" s="140">
        <f t="shared" si="0"/>
        <v>130.33333333333334</v>
      </c>
      <c r="J10" s="8" t="s">
        <v>258</v>
      </c>
      <c r="K10" s="75"/>
      <c r="L10" s="139"/>
      <c r="M10" s="13">
        <v>303000</v>
      </c>
      <c r="N10" s="139"/>
      <c r="O10" s="141">
        <f t="shared" si="1"/>
        <v>2324.8081841432222</v>
      </c>
      <c r="P10" s="673">
        <v>44656</v>
      </c>
      <c r="Q10" s="336" t="s">
        <v>103</v>
      </c>
      <c r="R10" s="139"/>
      <c r="S10" s="14" t="s">
        <v>105</v>
      </c>
      <c r="T10" s="11" t="s">
        <v>265</v>
      </c>
      <c r="U10" s="139"/>
      <c r="V10" s="142"/>
    </row>
    <row r="11" spans="1:22" ht="17.25" hidden="1" customHeight="1">
      <c r="A11" s="9">
        <v>10</v>
      </c>
      <c r="B11" s="8" t="s">
        <v>33</v>
      </c>
      <c r="C11" s="8" t="s">
        <v>90</v>
      </c>
      <c r="D11" s="8" t="s">
        <v>96</v>
      </c>
      <c r="E11" s="139"/>
      <c r="F11" s="10">
        <v>54.77</v>
      </c>
      <c r="G11" s="10">
        <v>4.5599999999999996</v>
      </c>
      <c r="H11" s="139"/>
      <c r="I11" s="140">
        <f t="shared" si="0"/>
        <v>56.290000000000006</v>
      </c>
      <c r="J11" s="8" t="s">
        <v>258</v>
      </c>
      <c r="K11" s="75"/>
      <c r="L11" s="139"/>
      <c r="M11" s="13">
        <v>133900</v>
      </c>
      <c r="N11" s="139"/>
      <c r="O11" s="141">
        <f t="shared" si="1"/>
        <v>2378.7528868360273</v>
      </c>
      <c r="P11" s="673">
        <v>44622</v>
      </c>
      <c r="Q11" s="336" t="s">
        <v>103</v>
      </c>
      <c r="R11" s="139"/>
      <c r="S11" s="14" t="s">
        <v>106</v>
      </c>
      <c r="T11" s="11" t="s">
        <v>265</v>
      </c>
      <c r="U11" s="139"/>
      <c r="V11" s="142"/>
    </row>
    <row r="12" spans="1:22" ht="17.25" hidden="1" customHeight="1">
      <c r="A12" s="9">
        <v>11</v>
      </c>
      <c r="B12" s="8" t="s">
        <v>34</v>
      </c>
      <c r="C12" s="8" t="s">
        <v>90</v>
      </c>
      <c r="D12" s="8" t="s">
        <v>96</v>
      </c>
      <c r="E12" s="139"/>
      <c r="F12" s="10">
        <v>53.35</v>
      </c>
      <c r="G12" s="10">
        <v>4.2</v>
      </c>
      <c r="H12" s="139"/>
      <c r="I12" s="140">
        <f t="shared" si="0"/>
        <v>54.75</v>
      </c>
      <c r="J12" s="8" t="s">
        <v>258</v>
      </c>
      <c r="K12" s="75"/>
      <c r="L12" s="139"/>
      <c r="M12" s="13">
        <v>145000</v>
      </c>
      <c r="N12" s="139"/>
      <c r="O12" s="141">
        <f t="shared" si="1"/>
        <v>2648.4018264840183</v>
      </c>
      <c r="P12" s="673">
        <v>44718</v>
      </c>
      <c r="Q12" s="336" t="s">
        <v>103</v>
      </c>
      <c r="R12" s="139"/>
      <c r="S12" s="15" t="s">
        <v>107</v>
      </c>
      <c r="T12" s="11" t="s">
        <v>265</v>
      </c>
      <c r="U12" s="139"/>
      <c r="V12" s="142"/>
    </row>
    <row r="13" spans="1:22" ht="17.25" hidden="1" customHeight="1">
      <c r="A13" s="9">
        <v>12</v>
      </c>
      <c r="B13" s="8" t="s">
        <v>35</v>
      </c>
      <c r="C13" s="8" t="s">
        <v>91</v>
      </c>
      <c r="D13" s="8" t="s">
        <v>96</v>
      </c>
      <c r="E13" s="139"/>
      <c r="F13" s="10">
        <v>83.27</v>
      </c>
      <c r="G13" s="10">
        <v>4.2</v>
      </c>
      <c r="H13" s="139"/>
      <c r="I13" s="140">
        <f t="shared" si="0"/>
        <v>84.67</v>
      </c>
      <c r="J13" s="8" t="s">
        <v>258</v>
      </c>
      <c r="K13" s="75"/>
      <c r="L13" s="139"/>
      <c r="M13" s="13">
        <v>185000</v>
      </c>
      <c r="N13" s="139"/>
      <c r="O13" s="141">
        <f t="shared" si="1"/>
        <v>2184.9533482933743</v>
      </c>
      <c r="P13" s="673">
        <v>44631</v>
      </c>
      <c r="Q13" s="8" t="s">
        <v>247</v>
      </c>
      <c r="R13" s="139"/>
      <c r="S13" s="14" t="s">
        <v>108</v>
      </c>
      <c r="T13" s="11" t="s">
        <v>265</v>
      </c>
      <c r="U13" s="139"/>
      <c r="V13" s="139"/>
    </row>
    <row r="14" spans="1:22" s="144" customFormat="1" ht="17.25" hidden="1" customHeight="1">
      <c r="A14" s="9">
        <v>13</v>
      </c>
      <c r="B14" s="8" t="s">
        <v>36</v>
      </c>
      <c r="C14" s="8" t="s">
        <v>89</v>
      </c>
      <c r="D14" s="8" t="s">
        <v>97</v>
      </c>
      <c r="E14" s="139"/>
      <c r="F14" s="10">
        <v>108.51</v>
      </c>
      <c r="G14" s="10">
        <v>6.93</v>
      </c>
      <c r="H14" s="139"/>
      <c r="I14" s="140">
        <f t="shared" si="0"/>
        <v>110.82000000000001</v>
      </c>
      <c r="J14" s="8" t="s">
        <v>258</v>
      </c>
      <c r="K14" s="75"/>
      <c r="L14" s="139"/>
      <c r="M14" s="13">
        <v>282000</v>
      </c>
      <c r="N14" s="139"/>
      <c r="O14" s="141">
        <f t="shared" si="1"/>
        <v>2544.6670276123441</v>
      </c>
      <c r="P14" s="673">
        <v>45128</v>
      </c>
      <c r="Q14" s="336" t="s">
        <v>103</v>
      </c>
      <c r="R14" s="139"/>
      <c r="S14" s="15" t="s">
        <v>749</v>
      </c>
      <c r="T14" s="11" t="s">
        <v>265</v>
      </c>
      <c r="U14" s="139"/>
      <c r="V14" s="142"/>
    </row>
    <row r="15" spans="1:22" s="144" customFormat="1" ht="17.25" hidden="1" customHeight="1">
      <c r="A15" s="9">
        <v>14</v>
      </c>
      <c r="B15" s="8" t="s">
        <v>37</v>
      </c>
      <c r="C15" s="8" t="s">
        <v>91</v>
      </c>
      <c r="D15" s="8" t="s">
        <v>97</v>
      </c>
      <c r="E15" s="139"/>
      <c r="F15" s="10">
        <v>86.51</v>
      </c>
      <c r="G15" s="10">
        <v>5.41</v>
      </c>
      <c r="H15" s="139"/>
      <c r="I15" s="140">
        <f t="shared" si="0"/>
        <v>88.313333333333333</v>
      </c>
      <c r="J15" s="8" t="s">
        <v>258</v>
      </c>
      <c r="K15" s="75"/>
      <c r="L15" s="139"/>
      <c r="M15" s="13">
        <v>235000</v>
      </c>
      <c r="N15" s="139"/>
      <c r="O15" s="141">
        <f t="shared" si="1"/>
        <v>2660.979844493093</v>
      </c>
      <c r="P15" s="673">
        <v>45126</v>
      </c>
      <c r="Q15" s="8" t="s">
        <v>247</v>
      </c>
      <c r="R15" s="139"/>
      <c r="S15" s="15" t="s">
        <v>759</v>
      </c>
      <c r="T15" s="11" t="s">
        <v>265</v>
      </c>
      <c r="U15" s="139"/>
      <c r="V15" s="142"/>
    </row>
    <row r="16" spans="1:22" ht="17.25" hidden="1" customHeight="1">
      <c r="A16" s="9">
        <v>15</v>
      </c>
      <c r="B16" s="8" t="s">
        <v>38</v>
      </c>
      <c r="C16" s="8" t="s">
        <v>92</v>
      </c>
      <c r="D16" s="8" t="s">
        <v>97</v>
      </c>
      <c r="E16" s="139"/>
      <c r="F16" s="10">
        <v>75.569999999999993</v>
      </c>
      <c r="G16" s="10">
        <v>4.1900000000000004</v>
      </c>
      <c r="H16" s="139"/>
      <c r="I16" s="140">
        <f t="shared" si="0"/>
        <v>76.966666666666654</v>
      </c>
      <c r="J16" s="8" t="s">
        <v>258</v>
      </c>
      <c r="K16" s="75"/>
      <c r="L16" s="139"/>
      <c r="M16" s="13">
        <v>178000</v>
      </c>
      <c r="N16" s="139"/>
      <c r="O16" s="141">
        <f t="shared" si="1"/>
        <v>2312.6894759636211</v>
      </c>
      <c r="P16" s="673">
        <v>44902</v>
      </c>
      <c r="Q16" s="336" t="s">
        <v>103</v>
      </c>
      <c r="R16" s="139"/>
      <c r="S16" s="15" t="s">
        <v>291</v>
      </c>
      <c r="T16" s="11" t="s">
        <v>265</v>
      </c>
      <c r="U16" s="139"/>
      <c r="V16" s="139"/>
    </row>
    <row r="17" spans="1:22" s="144" customFormat="1" ht="17.25" hidden="1" customHeight="1">
      <c r="A17" s="9">
        <v>16</v>
      </c>
      <c r="B17" s="8" t="s">
        <v>39</v>
      </c>
      <c r="C17" s="8" t="s">
        <v>89</v>
      </c>
      <c r="D17" s="8" t="s">
        <v>97</v>
      </c>
      <c r="E17" s="139"/>
      <c r="F17" s="10">
        <v>106.69</v>
      </c>
      <c r="G17" s="10">
        <v>5.32</v>
      </c>
      <c r="H17" s="139"/>
      <c r="I17" s="140">
        <f t="shared" si="0"/>
        <v>108.46333333333334</v>
      </c>
      <c r="J17" s="8" t="s">
        <v>258</v>
      </c>
      <c r="K17" s="75">
        <v>290000</v>
      </c>
      <c r="L17" s="139"/>
      <c r="M17" s="13">
        <v>287500</v>
      </c>
      <c r="N17" s="669"/>
      <c r="O17" s="141">
        <f t="shared" si="1"/>
        <v>2650.66535541965</v>
      </c>
      <c r="P17" s="673">
        <v>45317</v>
      </c>
      <c r="Q17" s="336" t="s">
        <v>103</v>
      </c>
      <c r="R17" s="139"/>
      <c r="S17" s="15" t="s">
        <v>17290</v>
      </c>
      <c r="T17" s="11" t="s">
        <v>265</v>
      </c>
      <c r="U17" s="139"/>
      <c r="V17" s="139"/>
    </row>
    <row r="18" spans="1:22" ht="17.25" hidden="1" customHeight="1">
      <c r="A18" s="9">
        <v>17</v>
      </c>
      <c r="B18" s="8" t="s">
        <v>40</v>
      </c>
      <c r="C18" s="8" t="s">
        <v>91</v>
      </c>
      <c r="D18" s="8" t="s">
        <v>97</v>
      </c>
      <c r="E18" s="139"/>
      <c r="F18" s="10">
        <v>78.62</v>
      </c>
      <c r="G18" s="10">
        <v>5.0599999999999996</v>
      </c>
      <c r="H18" s="139"/>
      <c r="I18" s="140">
        <f t="shared" si="0"/>
        <v>80.306666666666672</v>
      </c>
      <c r="J18" s="8" t="s">
        <v>258</v>
      </c>
      <c r="K18" s="75"/>
      <c r="L18" s="139"/>
      <c r="M18" s="13">
        <v>193125</v>
      </c>
      <c r="N18" s="139"/>
      <c r="O18" s="141">
        <f t="shared" si="1"/>
        <v>2404.8439315955502</v>
      </c>
      <c r="P18" s="673">
        <v>44624</v>
      </c>
      <c r="Q18" s="336" t="s">
        <v>103</v>
      </c>
      <c r="R18" s="139"/>
      <c r="S18" s="14" t="s">
        <v>109</v>
      </c>
      <c r="T18" s="11" t="s">
        <v>265</v>
      </c>
      <c r="U18" s="139"/>
      <c r="V18" s="139"/>
    </row>
    <row r="19" spans="1:22" ht="17.25" hidden="1" customHeight="1">
      <c r="A19" s="9">
        <v>18</v>
      </c>
      <c r="B19" s="8" t="s">
        <v>41</v>
      </c>
      <c r="C19" s="8" t="s">
        <v>90</v>
      </c>
      <c r="D19" s="8" t="s">
        <v>97</v>
      </c>
      <c r="E19" s="139"/>
      <c r="F19" s="10">
        <v>59.6</v>
      </c>
      <c r="G19" s="10">
        <v>9.3699999999999992</v>
      </c>
      <c r="H19" s="139"/>
      <c r="I19" s="140">
        <f t="shared" si="0"/>
        <v>62.723333333333336</v>
      </c>
      <c r="J19" s="8" t="s">
        <v>258</v>
      </c>
      <c r="K19" s="75"/>
      <c r="L19" s="139"/>
      <c r="M19" s="13">
        <v>152500</v>
      </c>
      <c r="N19" s="139"/>
      <c r="O19" s="141">
        <f t="shared" si="1"/>
        <v>2431.3121113886377</v>
      </c>
      <c r="P19" s="673">
        <v>44679</v>
      </c>
      <c r="Q19" s="336" t="s">
        <v>103</v>
      </c>
      <c r="R19" s="139"/>
      <c r="S19" s="14" t="s">
        <v>110</v>
      </c>
      <c r="T19" s="11" t="s">
        <v>265</v>
      </c>
      <c r="U19" s="139"/>
      <c r="V19" s="139"/>
    </row>
    <row r="20" spans="1:22" ht="17.25" hidden="1" customHeight="1">
      <c r="A20" s="9">
        <v>19</v>
      </c>
      <c r="B20" s="8" t="s">
        <v>42</v>
      </c>
      <c r="C20" s="8" t="s">
        <v>91</v>
      </c>
      <c r="D20" s="8" t="s">
        <v>97</v>
      </c>
      <c r="E20" s="139"/>
      <c r="F20" s="10">
        <v>85.83</v>
      </c>
      <c r="G20" s="10">
        <v>5.39</v>
      </c>
      <c r="H20" s="139"/>
      <c r="I20" s="140">
        <f t="shared" si="0"/>
        <v>87.626666666666665</v>
      </c>
      <c r="J20" s="8" t="s">
        <v>258</v>
      </c>
      <c r="K20" s="75"/>
      <c r="L20" s="139"/>
      <c r="M20" s="13">
        <v>192350</v>
      </c>
      <c r="N20" s="139"/>
      <c r="O20" s="141">
        <f t="shared" si="1"/>
        <v>2195.1080340839926</v>
      </c>
      <c r="P20" s="673">
        <v>44634</v>
      </c>
      <c r="Q20" s="336" t="s">
        <v>103</v>
      </c>
      <c r="R20" s="139"/>
      <c r="S20" s="14" t="s">
        <v>111</v>
      </c>
      <c r="T20" s="11" t="s">
        <v>265</v>
      </c>
      <c r="U20" s="139"/>
      <c r="V20" s="139"/>
    </row>
    <row r="21" spans="1:22" ht="17.25" hidden="1" customHeight="1">
      <c r="A21" s="9">
        <v>20</v>
      </c>
      <c r="B21" s="8" t="s">
        <v>43</v>
      </c>
      <c r="C21" s="8" t="s">
        <v>91</v>
      </c>
      <c r="D21" s="8" t="s">
        <v>97</v>
      </c>
      <c r="E21" s="139"/>
      <c r="F21" s="10">
        <v>85.83</v>
      </c>
      <c r="G21" s="10">
        <v>5.39</v>
      </c>
      <c r="H21" s="139"/>
      <c r="I21" s="140">
        <f t="shared" si="0"/>
        <v>87.626666666666665</v>
      </c>
      <c r="J21" s="8" t="s">
        <v>258</v>
      </c>
      <c r="K21" s="75"/>
      <c r="L21" s="139"/>
      <c r="M21" s="13">
        <v>195000</v>
      </c>
      <c r="N21" s="139"/>
      <c r="O21" s="141">
        <f t="shared" si="1"/>
        <v>2225.3499695678638</v>
      </c>
      <c r="P21" s="673">
        <v>44624</v>
      </c>
      <c r="Q21" s="8" t="s">
        <v>247</v>
      </c>
      <c r="R21" s="139"/>
      <c r="S21" s="14" t="s">
        <v>112</v>
      </c>
      <c r="T21" s="11" t="s">
        <v>265</v>
      </c>
      <c r="U21" s="139"/>
      <c r="V21" s="139"/>
    </row>
    <row r="22" spans="1:22" ht="17.25" hidden="1" customHeight="1">
      <c r="A22" s="9">
        <v>21</v>
      </c>
      <c r="B22" s="8" t="s">
        <v>44</v>
      </c>
      <c r="C22" s="8" t="s">
        <v>90</v>
      </c>
      <c r="D22" s="8" t="s">
        <v>97</v>
      </c>
      <c r="E22" s="139"/>
      <c r="F22" s="10">
        <v>54.77</v>
      </c>
      <c r="G22" s="10">
        <v>4.5599999999999996</v>
      </c>
      <c r="H22" s="139"/>
      <c r="I22" s="140">
        <f t="shared" si="0"/>
        <v>56.290000000000006</v>
      </c>
      <c r="J22" s="8" t="s">
        <v>258</v>
      </c>
      <c r="K22" s="75"/>
      <c r="L22" s="139"/>
      <c r="M22" s="13">
        <v>137380</v>
      </c>
      <c r="N22" s="139"/>
      <c r="O22" s="141">
        <f t="shared" si="1"/>
        <v>2440.575590691064</v>
      </c>
      <c r="P22" s="673">
        <v>44623</v>
      </c>
      <c r="Q22" s="336" t="s">
        <v>103</v>
      </c>
      <c r="R22" s="139"/>
      <c r="S22" s="14" t="s">
        <v>113</v>
      </c>
      <c r="T22" s="11" t="s">
        <v>265</v>
      </c>
      <c r="U22" s="139"/>
      <c r="V22" s="139"/>
    </row>
    <row r="23" spans="1:22" ht="17.25" hidden="1" customHeight="1">
      <c r="A23" s="9">
        <v>22</v>
      </c>
      <c r="B23" s="8" t="s">
        <v>45</v>
      </c>
      <c r="C23" s="8" t="s">
        <v>90</v>
      </c>
      <c r="D23" s="8" t="s">
        <v>97</v>
      </c>
      <c r="E23" s="139"/>
      <c r="F23" s="10">
        <v>53.35</v>
      </c>
      <c r="G23" s="10">
        <v>4.2</v>
      </c>
      <c r="H23" s="139"/>
      <c r="I23" s="140">
        <f t="shared" si="0"/>
        <v>54.75</v>
      </c>
      <c r="J23" s="8" t="s">
        <v>258</v>
      </c>
      <c r="K23" s="75"/>
      <c r="L23" s="139"/>
      <c r="M23" s="13">
        <v>134755</v>
      </c>
      <c r="N23" s="139"/>
      <c r="O23" s="141">
        <f t="shared" si="1"/>
        <v>2461.2785388127854</v>
      </c>
      <c r="P23" s="673">
        <v>44630</v>
      </c>
      <c r="Q23" s="8" t="s">
        <v>247</v>
      </c>
      <c r="R23" s="139"/>
      <c r="S23" s="14" t="s">
        <v>114</v>
      </c>
      <c r="T23" s="11" t="s">
        <v>265</v>
      </c>
      <c r="U23" s="139"/>
      <c r="V23" s="139"/>
    </row>
    <row r="24" spans="1:22" ht="17.25" hidden="1" customHeight="1">
      <c r="A24" s="9">
        <v>23</v>
      </c>
      <c r="B24" s="8" t="s">
        <v>46</v>
      </c>
      <c r="C24" s="8" t="s">
        <v>91</v>
      </c>
      <c r="D24" s="8" t="s">
        <v>97</v>
      </c>
      <c r="E24" s="139"/>
      <c r="F24" s="10">
        <v>70.97</v>
      </c>
      <c r="G24" s="10">
        <v>4.2</v>
      </c>
      <c r="H24" s="139"/>
      <c r="I24" s="140">
        <f t="shared" si="0"/>
        <v>72.37</v>
      </c>
      <c r="J24" s="8" t="s">
        <v>258</v>
      </c>
      <c r="K24" s="75">
        <v>202500</v>
      </c>
      <c r="L24" s="139"/>
      <c r="M24" s="13">
        <v>198500</v>
      </c>
      <c r="N24" s="139"/>
      <c r="O24" s="141">
        <f t="shared" si="1"/>
        <v>2742.8492469255216</v>
      </c>
      <c r="P24" s="673">
        <v>44951</v>
      </c>
      <c r="Q24" s="336" t="s">
        <v>103</v>
      </c>
      <c r="R24" s="139"/>
      <c r="S24" s="15" t="s">
        <v>315</v>
      </c>
      <c r="T24" s="11" t="s">
        <v>265</v>
      </c>
      <c r="U24" s="139"/>
      <c r="V24" s="139"/>
    </row>
    <row r="25" spans="1:22" ht="17.25" hidden="1" customHeight="1">
      <c r="A25" s="9">
        <v>24</v>
      </c>
      <c r="B25" s="8" t="s">
        <v>47</v>
      </c>
      <c r="C25" s="8" t="str">
        <f>C13</f>
        <v>T2</v>
      </c>
      <c r="D25" s="8" t="s">
        <v>97</v>
      </c>
      <c r="E25" s="139"/>
      <c r="F25" s="10">
        <v>81.28</v>
      </c>
      <c r="G25" s="10">
        <v>5.05</v>
      </c>
      <c r="H25" s="139"/>
      <c r="I25" s="140">
        <f t="shared" si="0"/>
        <v>82.963333333333338</v>
      </c>
      <c r="J25" s="8" t="s">
        <v>258</v>
      </c>
      <c r="K25" s="75"/>
      <c r="L25" s="139"/>
      <c r="M25" s="13">
        <v>197350</v>
      </c>
      <c r="N25" s="139"/>
      <c r="O25" s="141">
        <f t="shared" si="1"/>
        <v>2378.7617019566874</v>
      </c>
      <c r="P25" s="673">
        <v>44623</v>
      </c>
      <c r="Q25" s="336" t="s">
        <v>103</v>
      </c>
      <c r="R25" s="139"/>
      <c r="S25" s="14" t="s">
        <v>113</v>
      </c>
      <c r="T25" s="11" t="s">
        <v>265</v>
      </c>
      <c r="U25" s="139"/>
      <c r="V25" s="139"/>
    </row>
    <row r="26" spans="1:22" s="144" customFormat="1" ht="17.25" hidden="1" customHeight="1">
      <c r="A26" s="9">
        <v>25</v>
      </c>
      <c r="B26" s="8" t="s">
        <v>48</v>
      </c>
      <c r="C26" s="8" t="s">
        <v>89</v>
      </c>
      <c r="D26" s="8" t="s">
        <v>98</v>
      </c>
      <c r="E26" s="139"/>
      <c r="F26" s="10">
        <v>108.51</v>
      </c>
      <c r="G26" s="10">
        <v>6.93</v>
      </c>
      <c r="H26" s="139"/>
      <c r="I26" s="140">
        <f t="shared" si="0"/>
        <v>110.82000000000001</v>
      </c>
      <c r="J26" s="8" t="s">
        <v>258</v>
      </c>
      <c r="K26" s="75"/>
      <c r="L26" s="139"/>
      <c r="M26" s="13">
        <v>286150</v>
      </c>
      <c r="N26" s="139"/>
      <c r="O26" s="141">
        <f>M26/I26</f>
        <v>2582.1151416711782</v>
      </c>
      <c r="P26" s="673">
        <v>45237</v>
      </c>
      <c r="Q26" s="336" t="s">
        <v>103</v>
      </c>
      <c r="R26" s="139"/>
      <c r="S26" s="15" t="s">
        <v>17239</v>
      </c>
      <c r="T26" s="11" t="s">
        <v>265</v>
      </c>
      <c r="U26" s="139"/>
      <c r="V26" s="139"/>
    </row>
    <row r="27" spans="1:22" ht="17.25" hidden="1" customHeight="1">
      <c r="A27" s="9">
        <v>26</v>
      </c>
      <c r="B27" s="8" t="s">
        <v>49</v>
      </c>
      <c r="C27" s="8" t="s">
        <v>91</v>
      </c>
      <c r="D27" s="8" t="s">
        <v>98</v>
      </c>
      <c r="E27" s="139"/>
      <c r="F27" s="10">
        <v>86.51</v>
      </c>
      <c r="G27" s="10">
        <v>5.41</v>
      </c>
      <c r="H27" s="139"/>
      <c r="I27" s="140">
        <f t="shared" si="0"/>
        <v>88.313333333333333</v>
      </c>
      <c r="J27" s="8" t="s">
        <v>258</v>
      </c>
      <c r="K27" s="75"/>
      <c r="L27" s="139"/>
      <c r="M27" s="16">
        <v>227500</v>
      </c>
      <c r="N27" s="139"/>
      <c r="O27" s="141">
        <f t="shared" si="1"/>
        <v>2576.054955839058</v>
      </c>
      <c r="P27" s="674">
        <v>44677</v>
      </c>
      <c r="Q27" s="336" t="s">
        <v>103</v>
      </c>
      <c r="R27" s="139"/>
      <c r="S27" s="17" t="s">
        <v>115</v>
      </c>
      <c r="T27" s="11" t="s">
        <v>265</v>
      </c>
      <c r="U27" s="139"/>
      <c r="V27" s="139"/>
    </row>
    <row r="28" spans="1:22" ht="17.25" hidden="1" customHeight="1">
      <c r="A28" s="9">
        <v>27</v>
      </c>
      <c r="B28" s="8" t="s">
        <v>50</v>
      </c>
      <c r="C28" s="8" t="s">
        <v>92</v>
      </c>
      <c r="D28" s="8" t="s">
        <v>98</v>
      </c>
      <c r="E28" s="139"/>
      <c r="F28" s="10">
        <v>75.569999999999993</v>
      </c>
      <c r="G28" s="10">
        <v>4.1900000000000004</v>
      </c>
      <c r="H28" s="139"/>
      <c r="I28" s="140">
        <f t="shared" si="0"/>
        <v>76.966666666666654</v>
      </c>
      <c r="J28" s="8" t="s">
        <v>258</v>
      </c>
      <c r="K28" s="75"/>
      <c r="L28" s="139"/>
      <c r="M28" s="13">
        <v>183750</v>
      </c>
      <c r="N28" s="139"/>
      <c r="O28" s="141">
        <f t="shared" si="1"/>
        <v>2387.3971416197492</v>
      </c>
      <c r="P28" s="673">
        <v>44806</v>
      </c>
      <c r="Q28" s="336" t="s">
        <v>103</v>
      </c>
      <c r="R28" s="139"/>
      <c r="S28" s="15" t="s">
        <v>206</v>
      </c>
      <c r="T28" s="11" t="s">
        <v>265</v>
      </c>
      <c r="U28" s="139"/>
      <c r="V28" s="139"/>
    </row>
    <row r="29" spans="1:22" s="144" customFormat="1" ht="17.25" hidden="1" customHeight="1">
      <c r="A29" s="9">
        <v>28</v>
      </c>
      <c r="B29" s="8" t="s">
        <v>51</v>
      </c>
      <c r="C29" s="8" t="s">
        <v>89</v>
      </c>
      <c r="D29" s="8" t="s">
        <v>98</v>
      </c>
      <c r="E29" s="139"/>
      <c r="F29" s="10">
        <v>106.69</v>
      </c>
      <c r="G29" s="10">
        <v>5.32</v>
      </c>
      <c r="H29" s="139"/>
      <c r="I29" s="140">
        <f t="shared" si="0"/>
        <v>108.46333333333334</v>
      </c>
      <c r="J29" s="8" t="s">
        <v>258</v>
      </c>
      <c r="K29" s="75"/>
      <c r="L29" s="669"/>
      <c r="M29" s="13">
        <v>310000</v>
      </c>
      <c r="N29" s="139"/>
      <c r="O29" s="141">
        <f t="shared" si="1"/>
        <v>2858.1087310611879</v>
      </c>
      <c r="P29" s="673">
        <v>45500</v>
      </c>
      <c r="Q29" s="8" t="s">
        <v>103</v>
      </c>
      <c r="R29" s="139"/>
      <c r="S29" s="15" t="s">
        <v>17548</v>
      </c>
      <c r="T29" s="11" t="s">
        <v>565</v>
      </c>
      <c r="U29" s="139"/>
      <c r="V29" s="139"/>
    </row>
    <row r="30" spans="1:22" ht="17.25" hidden="1" customHeight="1">
      <c r="A30" s="9">
        <v>29</v>
      </c>
      <c r="B30" s="8" t="s">
        <v>52</v>
      </c>
      <c r="C30" s="8" t="s">
        <v>91</v>
      </c>
      <c r="D30" s="8" t="s">
        <v>98</v>
      </c>
      <c r="E30" s="139"/>
      <c r="F30" s="10">
        <v>78.62</v>
      </c>
      <c r="G30" s="10">
        <v>5.0599999999999996</v>
      </c>
      <c r="H30" s="139"/>
      <c r="I30" s="140">
        <f t="shared" si="0"/>
        <v>80.306666666666672</v>
      </c>
      <c r="J30" s="8" t="s">
        <v>258</v>
      </c>
      <c r="K30" s="75"/>
      <c r="L30" s="139"/>
      <c r="M30" s="13">
        <v>198275</v>
      </c>
      <c r="N30" s="139"/>
      <c r="O30" s="141">
        <f t="shared" si="1"/>
        <v>2468.973103104765</v>
      </c>
      <c r="P30" s="673">
        <v>44624</v>
      </c>
      <c r="Q30" s="336" t="s">
        <v>103</v>
      </c>
      <c r="R30" s="139"/>
      <c r="S30" s="14" t="s">
        <v>109</v>
      </c>
      <c r="T30" s="11" t="s">
        <v>265</v>
      </c>
      <c r="U30" s="139"/>
      <c r="V30" s="139"/>
    </row>
    <row r="31" spans="1:22" ht="17.25" hidden="1" customHeight="1">
      <c r="A31" s="9">
        <v>30</v>
      </c>
      <c r="B31" s="11" t="s">
        <v>53</v>
      </c>
      <c r="C31" s="11" t="s">
        <v>90</v>
      </c>
      <c r="D31" s="11" t="s">
        <v>98</v>
      </c>
      <c r="E31" s="139"/>
      <c r="F31" s="12">
        <v>59.6</v>
      </c>
      <c r="G31" s="12">
        <v>9.3699999999999992</v>
      </c>
      <c r="H31" s="139"/>
      <c r="I31" s="140">
        <f t="shared" si="0"/>
        <v>62.723333333333336</v>
      </c>
      <c r="J31" s="8" t="s">
        <v>258</v>
      </c>
      <c r="K31" s="75"/>
      <c r="L31" s="139"/>
      <c r="M31" s="18">
        <v>153500</v>
      </c>
      <c r="N31" s="139"/>
      <c r="O31" s="141">
        <f t="shared" si="1"/>
        <v>2447.2551416272518</v>
      </c>
      <c r="P31" s="673">
        <v>44664</v>
      </c>
      <c r="Q31" s="336" t="s">
        <v>103</v>
      </c>
      <c r="R31" s="139"/>
      <c r="S31" s="14" t="s">
        <v>116</v>
      </c>
      <c r="T31" s="11" t="s">
        <v>265</v>
      </c>
      <c r="U31" s="139"/>
      <c r="V31" s="139"/>
    </row>
    <row r="32" spans="1:22" s="144" customFormat="1" ht="17.25" hidden="1" customHeight="1">
      <c r="A32" s="9">
        <v>31</v>
      </c>
      <c r="B32" s="8" t="s">
        <v>54</v>
      </c>
      <c r="C32" s="8" t="s">
        <v>91</v>
      </c>
      <c r="D32" s="8" t="s">
        <v>98</v>
      </c>
      <c r="E32" s="139"/>
      <c r="F32" s="10">
        <v>85.83</v>
      </c>
      <c r="G32" s="10">
        <v>5.39</v>
      </c>
      <c r="H32" s="139"/>
      <c r="I32" s="140">
        <f t="shared" si="0"/>
        <v>87.626666666666665</v>
      </c>
      <c r="J32" s="8" t="s">
        <v>258</v>
      </c>
      <c r="K32" s="75"/>
      <c r="L32" s="139"/>
      <c r="M32" s="13">
        <v>239000</v>
      </c>
      <c r="N32" s="139"/>
      <c r="O32" s="141">
        <f t="shared" si="1"/>
        <v>2727.4802191113818</v>
      </c>
      <c r="P32" s="675">
        <v>45124</v>
      </c>
      <c r="Q32" s="336" t="s">
        <v>103</v>
      </c>
      <c r="R32" s="139"/>
      <c r="S32" s="14" t="s">
        <v>747</v>
      </c>
      <c r="T32" s="11" t="s">
        <v>265</v>
      </c>
      <c r="U32" s="139"/>
      <c r="V32" s="139"/>
    </row>
    <row r="33" spans="1:22" ht="17.25" hidden="1" customHeight="1">
      <c r="A33" s="9">
        <v>32</v>
      </c>
      <c r="B33" s="8" t="s">
        <v>55</v>
      </c>
      <c r="C33" s="8" t="s">
        <v>91</v>
      </c>
      <c r="D33" s="8" t="s">
        <v>98</v>
      </c>
      <c r="E33" s="139"/>
      <c r="F33" s="10">
        <v>85.83</v>
      </c>
      <c r="G33" s="10">
        <v>5.39</v>
      </c>
      <c r="H33" s="139"/>
      <c r="I33" s="140">
        <f t="shared" si="0"/>
        <v>87.626666666666665</v>
      </c>
      <c r="J33" s="8" t="s">
        <v>258</v>
      </c>
      <c r="K33" s="75"/>
      <c r="L33" s="139"/>
      <c r="M33" s="13">
        <v>213500</v>
      </c>
      <c r="N33" s="139"/>
      <c r="O33" s="141">
        <f t="shared" si="1"/>
        <v>2436.4729153986609</v>
      </c>
      <c r="P33" s="673">
        <v>44651</v>
      </c>
      <c r="Q33" s="8" t="s">
        <v>247</v>
      </c>
      <c r="R33" s="139"/>
      <c r="S33" s="14" t="s">
        <v>117</v>
      </c>
      <c r="T33" s="11" t="s">
        <v>265</v>
      </c>
      <c r="U33" s="139"/>
      <c r="V33" s="139"/>
    </row>
    <row r="34" spans="1:22" ht="17.25" hidden="1" customHeight="1">
      <c r="A34" s="9">
        <v>33</v>
      </c>
      <c r="B34" s="8" t="s">
        <v>56</v>
      </c>
      <c r="C34" s="8" t="s">
        <v>90</v>
      </c>
      <c r="D34" s="8" t="s">
        <v>98</v>
      </c>
      <c r="E34" s="139"/>
      <c r="F34" s="10">
        <v>54.77</v>
      </c>
      <c r="G34" s="10">
        <v>4.5599999999999996</v>
      </c>
      <c r="H34" s="139"/>
      <c r="I34" s="140">
        <f t="shared" si="0"/>
        <v>56.290000000000006</v>
      </c>
      <c r="J34" s="8" t="s">
        <v>258</v>
      </c>
      <c r="K34" s="75"/>
      <c r="L34" s="139"/>
      <c r="M34" s="13">
        <v>144200</v>
      </c>
      <c r="N34" s="139"/>
      <c r="O34" s="141">
        <f t="shared" si="1"/>
        <v>2561.7338781311064</v>
      </c>
      <c r="P34" s="673">
        <v>44622</v>
      </c>
      <c r="Q34" s="336" t="s">
        <v>103</v>
      </c>
      <c r="R34" s="139"/>
      <c r="S34" s="14" t="s">
        <v>118</v>
      </c>
      <c r="T34" s="11" t="s">
        <v>265</v>
      </c>
      <c r="U34" s="139"/>
      <c r="V34" s="139"/>
    </row>
    <row r="35" spans="1:22" ht="17.25" hidden="1" customHeight="1">
      <c r="A35" s="9">
        <v>34</v>
      </c>
      <c r="B35" s="8" t="s">
        <v>57</v>
      </c>
      <c r="C35" s="8" t="s">
        <v>90</v>
      </c>
      <c r="D35" s="8" t="s">
        <v>98</v>
      </c>
      <c r="E35" s="139"/>
      <c r="F35" s="10">
        <v>53.35</v>
      </c>
      <c r="G35" s="10">
        <v>4.2</v>
      </c>
      <c r="H35" s="139"/>
      <c r="I35" s="140">
        <f t="shared" si="0"/>
        <v>54.75</v>
      </c>
      <c r="J35" s="8" t="s">
        <v>258</v>
      </c>
      <c r="K35" s="75">
        <v>155000</v>
      </c>
      <c r="L35" s="139"/>
      <c r="M35" s="13">
        <v>162500</v>
      </c>
      <c r="N35" s="139"/>
      <c r="O35" s="141">
        <f t="shared" si="1"/>
        <v>2968.0365296803652</v>
      </c>
      <c r="P35" s="673">
        <v>44951</v>
      </c>
      <c r="Q35" s="336" t="s">
        <v>103</v>
      </c>
      <c r="R35" s="139"/>
      <c r="S35" s="15" t="s">
        <v>315</v>
      </c>
      <c r="T35" s="11" t="s">
        <v>265</v>
      </c>
      <c r="U35" s="139"/>
      <c r="V35" s="139"/>
    </row>
    <row r="36" spans="1:22" ht="17.25" hidden="1" customHeight="1">
      <c r="A36" s="9">
        <v>35</v>
      </c>
      <c r="B36" s="8" t="s">
        <v>58</v>
      </c>
      <c r="C36" s="8" t="s">
        <v>91</v>
      </c>
      <c r="D36" s="8" t="s">
        <v>98</v>
      </c>
      <c r="E36" s="139"/>
      <c r="F36" s="10">
        <v>70.97</v>
      </c>
      <c r="G36" s="10">
        <v>4.2</v>
      </c>
      <c r="H36" s="139"/>
      <c r="I36" s="140">
        <f t="shared" si="0"/>
        <v>72.37</v>
      </c>
      <c r="J36" s="8" t="s">
        <v>258</v>
      </c>
      <c r="K36" s="75">
        <v>207500</v>
      </c>
      <c r="L36" s="139"/>
      <c r="M36" s="13">
        <v>205000</v>
      </c>
      <c r="N36" s="139"/>
      <c r="O36" s="141">
        <f t="shared" si="1"/>
        <v>2832.6654691170374</v>
      </c>
      <c r="P36" s="673">
        <v>44981</v>
      </c>
      <c r="Q36" s="336" t="s">
        <v>103</v>
      </c>
      <c r="R36" s="139"/>
      <c r="S36" s="15" t="s">
        <v>335</v>
      </c>
      <c r="T36" s="11" t="s">
        <v>17421</v>
      </c>
      <c r="U36" s="139"/>
      <c r="V36" s="139"/>
    </row>
    <row r="37" spans="1:22" ht="17.25" hidden="1" customHeight="1">
      <c r="A37" s="9">
        <v>36</v>
      </c>
      <c r="B37" s="8" t="s">
        <v>59</v>
      </c>
      <c r="C37" s="8" t="str">
        <f>C25</f>
        <v>T2</v>
      </c>
      <c r="D37" s="8" t="s">
        <v>98</v>
      </c>
      <c r="E37" s="139"/>
      <c r="F37" s="10">
        <v>81.28</v>
      </c>
      <c r="G37" s="10">
        <v>5.05</v>
      </c>
      <c r="H37" s="139"/>
      <c r="I37" s="140">
        <f t="shared" si="0"/>
        <v>82.963333333333338</v>
      </c>
      <c r="J37" s="8" t="s">
        <v>258</v>
      </c>
      <c r="K37" s="75"/>
      <c r="L37" s="139"/>
      <c r="M37" s="13">
        <v>205000</v>
      </c>
      <c r="N37" s="139"/>
      <c r="O37" s="141">
        <f t="shared" si="1"/>
        <v>2470.971111736108</v>
      </c>
      <c r="P37" s="673">
        <v>44620</v>
      </c>
      <c r="Q37" s="336" t="s">
        <v>103</v>
      </c>
      <c r="R37" s="139"/>
      <c r="S37" s="14" t="s">
        <v>119</v>
      </c>
      <c r="T37" s="11" t="s">
        <v>265</v>
      </c>
      <c r="U37" s="139"/>
      <c r="V37" s="139"/>
    </row>
    <row r="38" spans="1:22" s="144" customFormat="1" ht="17.25" hidden="1" customHeight="1">
      <c r="A38" s="9">
        <v>37</v>
      </c>
      <c r="B38" s="8" t="s">
        <v>60</v>
      </c>
      <c r="C38" s="8" t="s">
        <v>89</v>
      </c>
      <c r="D38" s="8" t="s">
        <v>99</v>
      </c>
      <c r="E38" s="139"/>
      <c r="F38" s="10">
        <v>108.51</v>
      </c>
      <c r="G38" s="10">
        <v>6.93</v>
      </c>
      <c r="H38" s="139"/>
      <c r="I38" s="140">
        <f t="shared" si="0"/>
        <v>110.82000000000001</v>
      </c>
      <c r="J38" s="8" t="s">
        <v>258</v>
      </c>
      <c r="K38" s="75"/>
      <c r="L38" s="139"/>
      <c r="M38" s="13">
        <v>291000</v>
      </c>
      <c r="N38" s="139"/>
      <c r="O38" s="141">
        <f t="shared" si="1"/>
        <v>2625.8798050893338</v>
      </c>
      <c r="P38" s="673">
        <v>45230</v>
      </c>
      <c r="Q38" s="336" t="s">
        <v>103</v>
      </c>
      <c r="R38" s="139"/>
      <c r="S38" s="15" t="s">
        <v>17225</v>
      </c>
      <c r="T38" s="11" t="s">
        <v>265</v>
      </c>
      <c r="U38" s="139"/>
      <c r="V38" s="139"/>
    </row>
    <row r="39" spans="1:22" ht="17.25" hidden="1" customHeight="1">
      <c r="A39" s="9">
        <v>38</v>
      </c>
      <c r="B39" s="8" t="s">
        <v>61</v>
      </c>
      <c r="C39" s="8" t="s">
        <v>91</v>
      </c>
      <c r="D39" s="8" t="s">
        <v>99</v>
      </c>
      <c r="E39" s="139"/>
      <c r="F39" s="10">
        <v>86.51</v>
      </c>
      <c r="G39" s="10">
        <v>5.41</v>
      </c>
      <c r="H39" s="139"/>
      <c r="I39" s="140">
        <f t="shared" si="0"/>
        <v>88.313333333333333</v>
      </c>
      <c r="J39" s="8" t="s">
        <v>258</v>
      </c>
      <c r="K39" s="75"/>
      <c r="L39" s="139"/>
      <c r="M39" s="13">
        <v>237000</v>
      </c>
      <c r="N39" s="139"/>
      <c r="O39" s="141">
        <f t="shared" si="1"/>
        <v>2683.6264814675019</v>
      </c>
      <c r="P39" s="673">
        <v>44881</v>
      </c>
      <c r="Q39" s="336" t="s">
        <v>103</v>
      </c>
      <c r="R39" s="139"/>
      <c r="S39" s="15" t="s">
        <v>256</v>
      </c>
      <c r="T39" s="11" t="s">
        <v>265</v>
      </c>
      <c r="U39" s="139"/>
      <c r="V39" s="139"/>
    </row>
    <row r="40" spans="1:22" ht="17.25" hidden="1" customHeight="1">
      <c r="A40" s="9">
        <v>39</v>
      </c>
      <c r="B40" s="8" t="s">
        <v>62</v>
      </c>
      <c r="C40" s="8" t="s">
        <v>92</v>
      </c>
      <c r="D40" s="8" t="s">
        <v>99</v>
      </c>
      <c r="E40" s="139"/>
      <c r="F40" s="10">
        <v>75.569999999999993</v>
      </c>
      <c r="G40" s="10">
        <v>4.1900000000000004</v>
      </c>
      <c r="H40" s="139"/>
      <c r="I40" s="140">
        <f t="shared" si="0"/>
        <v>76.966666666666654</v>
      </c>
      <c r="J40" s="8" t="s">
        <v>258</v>
      </c>
      <c r="K40" s="75">
        <v>187500</v>
      </c>
      <c r="L40" s="139"/>
      <c r="M40" s="13">
        <v>188000</v>
      </c>
      <c r="N40" s="139"/>
      <c r="O40" s="141">
        <f t="shared" si="1"/>
        <v>2442.615851017757</v>
      </c>
      <c r="P40" s="673">
        <v>44951</v>
      </c>
      <c r="Q40" s="336" t="s">
        <v>103</v>
      </c>
      <c r="R40" s="139"/>
      <c r="S40" s="15" t="s">
        <v>315</v>
      </c>
      <c r="T40" s="11" t="s">
        <v>265</v>
      </c>
      <c r="U40" s="139"/>
      <c r="V40" s="139"/>
    </row>
    <row r="41" spans="1:22" ht="17.25" hidden="1" customHeight="1">
      <c r="A41" s="9">
        <v>40</v>
      </c>
      <c r="B41" s="8" t="s">
        <v>63</v>
      </c>
      <c r="C41" s="8" t="s">
        <v>89</v>
      </c>
      <c r="D41" s="8" t="s">
        <v>99</v>
      </c>
      <c r="E41" s="139"/>
      <c r="F41" s="10">
        <v>106.69</v>
      </c>
      <c r="G41" s="10">
        <v>5.32</v>
      </c>
      <c r="H41" s="139"/>
      <c r="I41" s="140">
        <f t="shared" si="0"/>
        <v>108.46333333333334</v>
      </c>
      <c r="J41" s="8" t="s">
        <v>258</v>
      </c>
      <c r="K41" s="75">
        <v>300000</v>
      </c>
      <c r="L41" s="139"/>
      <c r="M41" s="13">
        <v>297000</v>
      </c>
      <c r="N41" s="143"/>
      <c r="O41" s="141">
        <f t="shared" si="1"/>
        <v>2738.2525584682994</v>
      </c>
      <c r="P41" s="673">
        <v>44813</v>
      </c>
      <c r="Q41" s="336" t="s">
        <v>103</v>
      </c>
      <c r="R41" s="139"/>
      <c r="S41" s="15" t="s">
        <v>207</v>
      </c>
      <c r="T41" s="11" t="s">
        <v>17448</v>
      </c>
      <c r="U41" s="139"/>
      <c r="V41" s="139"/>
    </row>
    <row r="42" spans="1:22" ht="17.25" hidden="1" customHeight="1">
      <c r="A42" s="9">
        <v>41</v>
      </c>
      <c r="B42" s="8" t="s">
        <v>64</v>
      </c>
      <c r="C42" s="8" t="s">
        <v>91</v>
      </c>
      <c r="D42" s="8" t="s">
        <v>99</v>
      </c>
      <c r="E42" s="139"/>
      <c r="F42" s="10">
        <v>78.62</v>
      </c>
      <c r="G42" s="10">
        <v>5.0599999999999996</v>
      </c>
      <c r="H42" s="139"/>
      <c r="I42" s="140">
        <f t="shared" si="0"/>
        <v>80.306666666666672</v>
      </c>
      <c r="J42" s="8" t="s">
        <v>258</v>
      </c>
      <c r="K42" s="75"/>
      <c r="L42" s="139"/>
      <c r="M42" s="13">
        <v>203425</v>
      </c>
      <c r="N42" s="139"/>
      <c r="O42" s="141">
        <f t="shared" si="1"/>
        <v>2533.1022746139797</v>
      </c>
      <c r="P42" s="673">
        <v>44620</v>
      </c>
      <c r="Q42" s="336" t="s">
        <v>103</v>
      </c>
      <c r="R42" s="139"/>
      <c r="S42" s="14" t="s">
        <v>120</v>
      </c>
      <c r="T42" s="11" t="s">
        <v>265</v>
      </c>
      <c r="U42" s="139"/>
      <c r="V42" s="139"/>
    </row>
    <row r="43" spans="1:22" ht="17.25" hidden="1" customHeight="1">
      <c r="A43" s="9">
        <v>42</v>
      </c>
      <c r="B43" s="8" t="s">
        <v>65</v>
      </c>
      <c r="C43" s="8" t="s">
        <v>90</v>
      </c>
      <c r="D43" s="8" t="s">
        <v>99</v>
      </c>
      <c r="E43" s="139"/>
      <c r="F43" s="10">
        <v>59.6</v>
      </c>
      <c r="G43" s="10">
        <v>9.3699999999999992</v>
      </c>
      <c r="H43" s="139"/>
      <c r="I43" s="140">
        <f t="shared" si="0"/>
        <v>62.723333333333336</v>
      </c>
      <c r="J43" s="8" t="s">
        <v>258</v>
      </c>
      <c r="K43" s="75"/>
      <c r="L43" s="139"/>
      <c r="M43" s="13">
        <v>162500</v>
      </c>
      <c r="N43" s="139"/>
      <c r="O43" s="141">
        <f t="shared" si="1"/>
        <v>2590.742413774778</v>
      </c>
      <c r="P43" s="673">
        <v>44697</v>
      </c>
      <c r="Q43" s="336" t="s">
        <v>103</v>
      </c>
      <c r="R43" s="139"/>
      <c r="S43" s="15" t="s">
        <v>121</v>
      </c>
      <c r="T43" s="11" t="s">
        <v>265</v>
      </c>
      <c r="U43" s="139"/>
      <c r="V43" s="139"/>
    </row>
    <row r="44" spans="1:22" ht="17.25" hidden="1" customHeight="1">
      <c r="A44" s="9">
        <v>43</v>
      </c>
      <c r="B44" s="8" t="s">
        <v>66</v>
      </c>
      <c r="C44" s="8" t="s">
        <v>91</v>
      </c>
      <c r="D44" s="8" t="s">
        <v>99</v>
      </c>
      <c r="E44" s="139"/>
      <c r="F44" s="10">
        <v>85.83</v>
      </c>
      <c r="G44" s="10">
        <v>5.39</v>
      </c>
      <c r="H44" s="139"/>
      <c r="I44" s="140">
        <f t="shared" si="0"/>
        <v>87.626666666666665</v>
      </c>
      <c r="J44" s="8" t="s">
        <v>258</v>
      </c>
      <c r="K44" s="75"/>
      <c r="L44" s="139"/>
      <c r="M44" s="13">
        <v>202320</v>
      </c>
      <c r="N44" s="139"/>
      <c r="O44" s="141">
        <f t="shared" si="1"/>
        <v>2308.8861838101034</v>
      </c>
      <c r="P44" s="673">
        <v>44620</v>
      </c>
      <c r="Q44" s="336" t="s">
        <v>103</v>
      </c>
      <c r="R44" s="139"/>
      <c r="S44" s="14" t="s">
        <v>122</v>
      </c>
      <c r="T44" s="11" t="s">
        <v>265</v>
      </c>
      <c r="U44" s="139"/>
      <c r="V44" s="139"/>
    </row>
    <row r="45" spans="1:22" ht="17.25" hidden="1" customHeight="1">
      <c r="A45" s="9">
        <v>44</v>
      </c>
      <c r="B45" s="8" t="s">
        <v>67</v>
      </c>
      <c r="C45" s="8" t="s">
        <v>91</v>
      </c>
      <c r="D45" s="8" t="s">
        <v>99</v>
      </c>
      <c r="E45" s="139"/>
      <c r="F45" s="10">
        <v>85.83</v>
      </c>
      <c r="G45" s="10">
        <v>5.39</v>
      </c>
      <c r="H45" s="139"/>
      <c r="I45" s="140">
        <f t="shared" si="0"/>
        <v>87.626666666666665</v>
      </c>
      <c r="J45" s="8" t="s">
        <v>258</v>
      </c>
      <c r="K45" s="75"/>
      <c r="L45" s="139"/>
      <c r="M45" s="13">
        <v>202320</v>
      </c>
      <c r="N45" s="139"/>
      <c r="O45" s="141">
        <f t="shared" si="1"/>
        <v>2308.8861838101034</v>
      </c>
      <c r="P45" s="673">
        <v>44614</v>
      </c>
      <c r="Q45" s="336" t="s">
        <v>103</v>
      </c>
      <c r="R45" s="139"/>
      <c r="S45" s="14" t="s">
        <v>123</v>
      </c>
      <c r="T45" s="11" t="s">
        <v>265</v>
      </c>
      <c r="U45" s="139"/>
      <c r="V45" s="139"/>
    </row>
    <row r="46" spans="1:22" ht="17.25" hidden="1" customHeight="1">
      <c r="A46" s="9">
        <v>45</v>
      </c>
      <c r="B46" s="8" t="s">
        <v>68</v>
      </c>
      <c r="C46" s="8" t="s">
        <v>90</v>
      </c>
      <c r="D46" s="8" t="s">
        <v>99</v>
      </c>
      <c r="E46" s="139"/>
      <c r="F46" s="10">
        <v>54.77</v>
      </c>
      <c r="G46" s="10">
        <v>4.5599999999999996</v>
      </c>
      <c r="H46" s="139"/>
      <c r="I46" s="140">
        <f t="shared" si="0"/>
        <v>56.290000000000006</v>
      </c>
      <c r="J46" s="8" t="s">
        <v>258</v>
      </c>
      <c r="K46" s="75"/>
      <c r="L46" s="139"/>
      <c r="M46" s="13">
        <v>144000</v>
      </c>
      <c r="N46" s="139"/>
      <c r="O46" s="141">
        <f t="shared" si="1"/>
        <v>2558.1808491739207</v>
      </c>
      <c r="P46" s="673">
        <v>44620</v>
      </c>
      <c r="Q46" s="336" t="s">
        <v>103</v>
      </c>
      <c r="R46" s="139"/>
      <c r="S46" s="14" t="s">
        <v>124</v>
      </c>
      <c r="T46" s="11" t="s">
        <v>265</v>
      </c>
      <c r="U46" s="139"/>
      <c r="V46" s="139"/>
    </row>
    <row r="47" spans="1:22" ht="17.25" hidden="1" customHeight="1">
      <c r="A47" s="9">
        <v>46</v>
      </c>
      <c r="B47" s="8" t="s">
        <v>69</v>
      </c>
      <c r="C47" s="8" t="s">
        <v>90</v>
      </c>
      <c r="D47" s="8" t="s">
        <v>99</v>
      </c>
      <c r="E47" s="139"/>
      <c r="F47" s="10">
        <v>53.35</v>
      </c>
      <c r="G47" s="10">
        <v>4.2</v>
      </c>
      <c r="H47" s="139"/>
      <c r="I47" s="140">
        <f t="shared" si="0"/>
        <v>54.75</v>
      </c>
      <c r="J47" s="8" t="s">
        <v>258</v>
      </c>
      <c r="K47" s="75"/>
      <c r="L47" s="139"/>
      <c r="M47" s="13">
        <v>157000</v>
      </c>
      <c r="N47" s="139"/>
      <c r="O47" s="141">
        <f t="shared" si="1"/>
        <v>2867.5799086757993</v>
      </c>
      <c r="P47" s="673">
        <v>44721</v>
      </c>
      <c r="Q47" s="336" t="s">
        <v>103</v>
      </c>
      <c r="R47" s="139"/>
      <c r="S47" s="15" t="s">
        <v>125</v>
      </c>
      <c r="T47" s="11" t="s">
        <v>265</v>
      </c>
      <c r="U47" s="139"/>
      <c r="V47" s="139"/>
    </row>
    <row r="48" spans="1:22" ht="17.25" hidden="1" customHeight="1">
      <c r="A48" s="9">
        <v>47</v>
      </c>
      <c r="B48" s="8" t="s">
        <v>70</v>
      </c>
      <c r="C48" s="8" t="s">
        <v>91</v>
      </c>
      <c r="D48" s="8" t="s">
        <v>99</v>
      </c>
      <c r="E48" s="139"/>
      <c r="F48" s="10">
        <v>70.97</v>
      </c>
      <c r="G48" s="10">
        <v>4.2</v>
      </c>
      <c r="H48" s="139"/>
      <c r="I48" s="140">
        <f t="shared" si="0"/>
        <v>72.37</v>
      </c>
      <c r="J48" s="8" t="s">
        <v>258</v>
      </c>
      <c r="K48" s="75">
        <v>212500</v>
      </c>
      <c r="L48" s="139"/>
      <c r="M48" s="13">
        <v>210500</v>
      </c>
      <c r="N48" s="139"/>
      <c r="O48" s="141">
        <f t="shared" si="1"/>
        <v>2908.6638109713967</v>
      </c>
      <c r="P48" s="673">
        <v>44616</v>
      </c>
      <c r="Q48" s="336" t="s">
        <v>103</v>
      </c>
      <c r="R48" s="139"/>
      <c r="S48" s="15" t="s">
        <v>367</v>
      </c>
      <c r="T48" s="11" t="s">
        <v>17421</v>
      </c>
      <c r="U48" s="139"/>
      <c r="V48" s="139"/>
    </row>
    <row r="49" spans="1:25" s="144" customFormat="1" ht="17.25" hidden="1" customHeight="1">
      <c r="A49" s="9">
        <v>48</v>
      </c>
      <c r="B49" s="8" t="s">
        <v>71</v>
      </c>
      <c r="C49" s="8" t="str">
        <f t="shared" ref="C49:C58" si="2">C37</f>
        <v>T2</v>
      </c>
      <c r="D49" s="8" t="s">
        <v>99</v>
      </c>
      <c r="E49" s="139"/>
      <c r="F49" s="10">
        <v>81.28</v>
      </c>
      <c r="G49" s="10">
        <v>5.05</v>
      </c>
      <c r="H49" s="139"/>
      <c r="I49" s="140">
        <f t="shared" si="0"/>
        <v>82.963333333333338</v>
      </c>
      <c r="J49" s="8" t="s">
        <v>258</v>
      </c>
      <c r="K49" s="75"/>
      <c r="L49" s="139"/>
      <c r="M49" s="13">
        <v>235000</v>
      </c>
      <c r="N49" s="139"/>
      <c r="O49" s="141">
        <f t="shared" si="1"/>
        <v>2832.5766402828558</v>
      </c>
      <c r="P49" s="673">
        <v>45124</v>
      </c>
      <c r="Q49" s="8" t="s">
        <v>247</v>
      </c>
      <c r="R49" s="139"/>
      <c r="S49" s="15" t="s">
        <v>731</v>
      </c>
      <c r="T49" s="11" t="s">
        <v>565</v>
      </c>
      <c r="U49" s="139"/>
      <c r="V49" s="139"/>
      <c r="W49" s="144" t="s">
        <v>565</v>
      </c>
    </row>
    <row r="50" spans="1:25" ht="17.25" hidden="1" customHeight="1">
      <c r="A50" s="9">
        <v>49</v>
      </c>
      <c r="B50" s="8" t="s">
        <v>72</v>
      </c>
      <c r="C50" s="8" t="str">
        <f t="shared" si="2"/>
        <v>T3</v>
      </c>
      <c r="D50" s="8" t="s">
        <v>100</v>
      </c>
      <c r="E50" s="139"/>
      <c r="F50" s="10">
        <v>108.51</v>
      </c>
      <c r="G50" s="10">
        <v>6.93</v>
      </c>
      <c r="H50" s="139"/>
      <c r="I50" s="140">
        <f t="shared" si="0"/>
        <v>110.82000000000001</v>
      </c>
      <c r="J50" s="8" t="s">
        <v>258</v>
      </c>
      <c r="K50" s="75"/>
      <c r="L50" s="139"/>
      <c r="M50" s="13">
        <v>283250</v>
      </c>
      <c r="N50" s="139"/>
      <c r="O50" s="141">
        <f t="shared" si="1"/>
        <v>2555.9465800397038</v>
      </c>
      <c r="P50" s="673">
        <v>44614</v>
      </c>
      <c r="Q50" s="336" t="s">
        <v>103</v>
      </c>
      <c r="R50" s="139"/>
      <c r="S50" s="14" t="s">
        <v>126</v>
      </c>
      <c r="T50" s="11" t="s">
        <v>265</v>
      </c>
      <c r="U50" s="139"/>
      <c r="V50" s="139"/>
    </row>
    <row r="51" spans="1:25" ht="17.25" hidden="1" customHeight="1">
      <c r="A51" s="9">
        <v>50</v>
      </c>
      <c r="B51" s="8" t="s">
        <v>73</v>
      </c>
      <c r="C51" s="8" t="str">
        <f t="shared" si="2"/>
        <v>T2</v>
      </c>
      <c r="D51" s="8" t="s">
        <v>100</v>
      </c>
      <c r="E51" s="139"/>
      <c r="F51" s="10">
        <v>86.51</v>
      </c>
      <c r="G51" s="10">
        <v>5.41</v>
      </c>
      <c r="H51" s="139"/>
      <c r="I51" s="140">
        <f t="shared" si="0"/>
        <v>88.313333333333333</v>
      </c>
      <c r="J51" s="8" t="s">
        <v>258</v>
      </c>
      <c r="K51" s="75"/>
      <c r="L51" s="139"/>
      <c r="M51" s="13">
        <v>247500</v>
      </c>
      <c r="N51" s="139"/>
      <c r="O51" s="141">
        <f t="shared" si="1"/>
        <v>2802.5213255831509</v>
      </c>
      <c r="P51" s="673">
        <v>44981</v>
      </c>
      <c r="Q51" s="336" t="s">
        <v>103</v>
      </c>
      <c r="R51" s="139"/>
      <c r="S51" s="15" t="s">
        <v>336</v>
      </c>
      <c r="T51" s="11" t="s">
        <v>265</v>
      </c>
      <c r="U51" s="139"/>
      <c r="V51" s="139"/>
    </row>
    <row r="52" spans="1:25" ht="17.25" hidden="1" customHeight="1">
      <c r="A52" s="9">
        <v>51</v>
      </c>
      <c r="B52" s="8" t="s">
        <v>74</v>
      </c>
      <c r="C52" s="8" t="str">
        <f t="shared" si="2"/>
        <v>T1+1</v>
      </c>
      <c r="D52" s="8" t="s">
        <v>100</v>
      </c>
      <c r="E52" s="139"/>
      <c r="F52" s="10">
        <v>75.569999999999993</v>
      </c>
      <c r="G52" s="10">
        <v>4.1900000000000004</v>
      </c>
      <c r="H52" s="139"/>
      <c r="I52" s="140">
        <f t="shared" si="0"/>
        <v>76.966666666666654</v>
      </c>
      <c r="J52" s="8" t="s">
        <v>258</v>
      </c>
      <c r="K52" s="75"/>
      <c r="L52" s="139"/>
      <c r="M52" s="13">
        <v>189500</v>
      </c>
      <c r="N52" s="139"/>
      <c r="O52" s="141">
        <f t="shared" si="1"/>
        <v>2462.1048072758772</v>
      </c>
      <c r="P52" s="673">
        <v>44697</v>
      </c>
      <c r="Q52" s="336" t="s">
        <v>103</v>
      </c>
      <c r="R52" s="139"/>
      <c r="S52" s="15" t="s">
        <v>127</v>
      </c>
      <c r="T52" s="11" t="s">
        <v>265</v>
      </c>
      <c r="U52" s="139"/>
      <c r="V52" s="139"/>
      <c r="Y52" s="144"/>
    </row>
    <row r="53" spans="1:25" s="144" customFormat="1" ht="17.25" hidden="1" customHeight="1">
      <c r="A53" s="9">
        <v>52</v>
      </c>
      <c r="B53" s="8" t="s">
        <v>75</v>
      </c>
      <c r="C53" s="8" t="str">
        <f t="shared" si="2"/>
        <v>T3</v>
      </c>
      <c r="D53" s="8" t="s">
        <v>100</v>
      </c>
      <c r="E53" s="139"/>
      <c r="F53" s="10">
        <v>106.69</v>
      </c>
      <c r="G53" s="10">
        <v>5.32</v>
      </c>
      <c r="H53" s="139"/>
      <c r="I53" s="140">
        <f t="shared" si="0"/>
        <v>108.46333333333334</v>
      </c>
      <c r="J53" s="8" t="s">
        <v>258</v>
      </c>
      <c r="K53" s="75"/>
      <c r="L53" s="139"/>
      <c r="M53" s="13">
        <v>300000</v>
      </c>
      <c r="N53" s="139"/>
      <c r="O53" s="141">
        <f t="shared" si="1"/>
        <v>2765.9116752205045</v>
      </c>
      <c r="P53" s="673">
        <v>45131</v>
      </c>
      <c r="Q53" s="336" t="s">
        <v>103</v>
      </c>
      <c r="R53" s="139"/>
      <c r="S53" s="15" t="s">
        <v>748</v>
      </c>
      <c r="T53" s="11" t="s">
        <v>265</v>
      </c>
      <c r="U53" s="139"/>
      <c r="V53" s="139"/>
      <c r="W53" s="144" t="s">
        <v>265</v>
      </c>
    </row>
    <row r="54" spans="1:25" ht="17.25" hidden="1" customHeight="1">
      <c r="A54" s="9">
        <v>53</v>
      </c>
      <c r="B54" s="8" t="s">
        <v>76</v>
      </c>
      <c r="C54" s="8" t="s">
        <v>90</v>
      </c>
      <c r="D54" s="8" t="s">
        <v>100</v>
      </c>
      <c r="E54" s="139"/>
      <c r="F54" s="10">
        <v>78.62</v>
      </c>
      <c r="G54" s="10">
        <v>5.0599999999999996</v>
      </c>
      <c r="H54" s="139"/>
      <c r="I54" s="140">
        <f t="shared" si="0"/>
        <v>80.306666666666672</v>
      </c>
      <c r="J54" s="8" t="s">
        <v>258</v>
      </c>
      <c r="K54" s="75"/>
      <c r="L54" s="139"/>
      <c r="M54" s="13">
        <v>208575</v>
      </c>
      <c r="N54" s="139"/>
      <c r="O54" s="141">
        <f t="shared" si="1"/>
        <v>2597.2314461231945</v>
      </c>
      <c r="P54" s="673">
        <v>44614</v>
      </c>
      <c r="Q54" s="336" t="s">
        <v>103</v>
      </c>
      <c r="R54" s="139"/>
      <c r="S54" s="14" t="s">
        <v>128</v>
      </c>
      <c r="T54" s="11" t="s">
        <v>565</v>
      </c>
      <c r="U54" s="139"/>
      <c r="V54" s="139"/>
    </row>
    <row r="55" spans="1:25" ht="17.25" hidden="1" customHeight="1">
      <c r="A55" s="9">
        <v>54</v>
      </c>
      <c r="B55" s="8" t="s">
        <v>77</v>
      </c>
      <c r="C55" s="8" t="str">
        <f t="shared" si="2"/>
        <v>T1</v>
      </c>
      <c r="D55" s="8" t="s">
        <v>100</v>
      </c>
      <c r="E55" s="139"/>
      <c r="F55" s="10">
        <v>59.6</v>
      </c>
      <c r="G55" s="10">
        <v>9.3699999999999992</v>
      </c>
      <c r="H55" s="139"/>
      <c r="I55" s="140">
        <f t="shared" si="0"/>
        <v>62.723333333333336</v>
      </c>
      <c r="J55" s="8" t="s">
        <v>258</v>
      </c>
      <c r="K55" s="75"/>
      <c r="L55" s="139"/>
      <c r="M55" s="13">
        <v>172500</v>
      </c>
      <c r="N55" s="139"/>
      <c r="O55" s="141">
        <f t="shared" si="1"/>
        <v>2750.1727161609183</v>
      </c>
      <c r="P55" s="673">
        <v>44707</v>
      </c>
      <c r="Q55" s="336" t="s">
        <v>103</v>
      </c>
      <c r="R55" s="139"/>
      <c r="S55" s="15" t="s">
        <v>129</v>
      </c>
      <c r="T55" s="11" t="s">
        <v>265</v>
      </c>
      <c r="U55" s="139"/>
      <c r="V55" s="139"/>
    </row>
    <row r="56" spans="1:25" ht="17.25" hidden="1" customHeight="1">
      <c r="A56" s="9">
        <v>55</v>
      </c>
      <c r="B56" s="8" t="s">
        <v>78</v>
      </c>
      <c r="C56" s="8" t="str">
        <f t="shared" si="2"/>
        <v>T2</v>
      </c>
      <c r="D56" s="8" t="s">
        <v>100</v>
      </c>
      <c r="E56" s="139"/>
      <c r="F56" s="10">
        <v>85.83</v>
      </c>
      <c r="G56" s="10">
        <v>5.39</v>
      </c>
      <c r="H56" s="139"/>
      <c r="I56" s="140">
        <f t="shared" si="0"/>
        <v>87.626666666666665</v>
      </c>
      <c r="J56" s="8" t="s">
        <v>258</v>
      </c>
      <c r="K56" s="75"/>
      <c r="L56" s="139"/>
      <c r="M56" s="13">
        <v>225000</v>
      </c>
      <c r="N56" s="139"/>
      <c r="O56" s="141">
        <f t="shared" si="1"/>
        <v>2567.7115033475352</v>
      </c>
      <c r="P56" s="673">
        <v>44628</v>
      </c>
      <c r="Q56" s="336" t="s">
        <v>103</v>
      </c>
      <c r="R56" s="139"/>
      <c r="S56" s="15" t="s">
        <v>130</v>
      </c>
      <c r="T56" s="11" t="s">
        <v>17283</v>
      </c>
      <c r="U56" s="139"/>
      <c r="V56" s="139"/>
    </row>
    <row r="57" spans="1:25" ht="17.25" hidden="1" customHeight="1">
      <c r="A57" s="9">
        <v>56</v>
      </c>
      <c r="B57" s="8" t="s">
        <v>79</v>
      </c>
      <c r="C57" s="8" t="str">
        <f t="shared" si="2"/>
        <v>T2</v>
      </c>
      <c r="D57" s="8" t="s">
        <v>100</v>
      </c>
      <c r="E57" s="139"/>
      <c r="F57" s="10">
        <v>85.83</v>
      </c>
      <c r="G57" s="10">
        <v>5.39</v>
      </c>
      <c r="H57" s="139"/>
      <c r="I57" s="140">
        <f t="shared" si="0"/>
        <v>87.626666666666665</v>
      </c>
      <c r="J57" s="8" t="s">
        <v>258</v>
      </c>
      <c r="K57" s="75"/>
      <c r="L57" s="139"/>
      <c r="M57" s="13">
        <v>213725</v>
      </c>
      <c r="N57" s="139"/>
      <c r="O57" s="141">
        <f t="shared" si="1"/>
        <v>2439.0406269020086</v>
      </c>
      <c r="P57" s="673">
        <v>44614</v>
      </c>
      <c r="Q57" s="8" t="s">
        <v>247</v>
      </c>
      <c r="R57" s="139" t="s">
        <v>17624</v>
      </c>
      <c r="S57" s="14" t="s">
        <v>131</v>
      </c>
      <c r="T57" s="11" t="s">
        <v>265</v>
      </c>
      <c r="U57" s="139"/>
      <c r="V57" s="139"/>
    </row>
    <row r="58" spans="1:25" ht="17.25" hidden="1" customHeight="1">
      <c r="A58" s="9">
        <v>57</v>
      </c>
      <c r="B58" s="8" t="s">
        <v>80</v>
      </c>
      <c r="C58" s="8" t="str">
        <f t="shared" si="2"/>
        <v>T1</v>
      </c>
      <c r="D58" s="8" t="s">
        <v>100</v>
      </c>
      <c r="E58" s="139"/>
      <c r="F58" s="10">
        <v>54.77</v>
      </c>
      <c r="G58" s="10">
        <v>4.5599999999999996</v>
      </c>
      <c r="H58" s="139"/>
      <c r="I58" s="140">
        <f t="shared" si="0"/>
        <v>56.290000000000006</v>
      </c>
      <c r="J58" s="8" t="s">
        <v>258</v>
      </c>
      <c r="K58" s="75"/>
      <c r="L58" s="139"/>
      <c r="M58" s="13">
        <v>148000</v>
      </c>
      <c r="N58" s="139"/>
      <c r="O58" s="141">
        <f t="shared" si="1"/>
        <v>2629.2414283176404</v>
      </c>
      <c r="P58" s="673">
        <v>44630</v>
      </c>
      <c r="Q58" s="336" t="s">
        <v>103</v>
      </c>
      <c r="R58" s="139"/>
      <c r="S58" s="14" t="s">
        <v>132</v>
      </c>
      <c r="T58" s="11" t="s">
        <v>265</v>
      </c>
      <c r="U58" s="139"/>
      <c r="V58" s="139"/>
    </row>
    <row r="59" spans="1:25" s="144" customFormat="1" ht="17.25" hidden="1" customHeight="1">
      <c r="A59" s="9">
        <v>58</v>
      </c>
      <c r="B59" s="8" t="s">
        <v>81</v>
      </c>
      <c r="C59" s="8" t="s">
        <v>90</v>
      </c>
      <c r="D59" s="8" t="s">
        <v>100</v>
      </c>
      <c r="E59" s="139"/>
      <c r="F59" s="10">
        <v>53.35</v>
      </c>
      <c r="G59" s="10">
        <v>4.2</v>
      </c>
      <c r="H59" s="139"/>
      <c r="I59" s="140">
        <f t="shared" si="0"/>
        <v>54.75</v>
      </c>
      <c r="J59" s="8" t="s">
        <v>258</v>
      </c>
      <c r="K59" s="75"/>
      <c r="L59" s="139"/>
      <c r="M59" s="13">
        <v>170000</v>
      </c>
      <c r="N59" s="139"/>
      <c r="O59" s="141">
        <f>M59/I59</f>
        <v>3105.0228310502284</v>
      </c>
      <c r="P59" s="673">
        <v>45099</v>
      </c>
      <c r="Q59" s="336" t="s">
        <v>103</v>
      </c>
      <c r="R59" s="139"/>
      <c r="S59" s="15" t="s">
        <v>719</v>
      </c>
      <c r="T59" s="11" t="s">
        <v>265</v>
      </c>
      <c r="U59" s="139"/>
      <c r="V59" s="139"/>
    </row>
    <row r="60" spans="1:25" ht="17.25" hidden="1" customHeight="1">
      <c r="A60" s="9">
        <v>59</v>
      </c>
      <c r="B60" s="8" t="s">
        <v>82</v>
      </c>
      <c r="C60" s="8" t="str">
        <f>C48</f>
        <v>T2</v>
      </c>
      <c r="D60" s="8" t="s">
        <v>100</v>
      </c>
      <c r="E60" s="139"/>
      <c r="F60" s="10">
        <v>70.97</v>
      </c>
      <c r="G60" s="10">
        <v>4.2</v>
      </c>
      <c r="H60" s="139"/>
      <c r="I60" s="140">
        <f t="shared" si="0"/>
        <v>72.37</v>
      </c>
      <c r="J60" s="8" t="s">
        <v>258</v>
      </c>
      <c r="K60" s="75"/>
      <c r="L60" s="139"/>
      <c r="M60" s="13">
        <v>208000</v>
      </c>
      <c r="N60" s="139"/>
      <c r="O60" s="141">
        <f t="shared" si="1"/>
        <v>2874.1191101285062</v>
      </c>
      <c r="P60" s="673">
        <v>44678</v>
      </c>
      <c r="Q60" s="336" t="s">
        <v>103</v>
      </c>
      <c r="R60" s="139"/>
      <c r="S60" s="14" t="s">
        <v>133</v>
      </c>
      <c r="T60" s="11" t="s">
        <v>265</v>
      </c>
      <c r="U60" s="139"/>
      <c r="V60" s="139"/>
    </row>
    <row r="61" spans="1:25" s="144" customFormat="1" ht="17.25" hidden="1" customHeight="1">
      <c r="A61" s="9">
        <v>60</v>
      </c>
      <c r="B61" s="8" t="s">
        <v>83</v>
      </c>
      <c r="C61" s="8" t="s">
        <v>91</v>
      </c>
      <c r="D61" s="8" t="s">
        <v>100</v>
      </c>
      <c r="E61" s="139"/>
      <c r="F61" s="10">
        <v>81.28</v>
      </c>
      <c r="G61" s="10">
        <v>5.05</v>
      </c>
      <c r="H61" s="139"/>
      <c r="I61" s="140">
        <f t="shared" si="0"/>
        <v>82.963333333333338</v>
      </c>
      <c r="J61" s="8" t="s">
        <v>258</v>
      </c>
      <c r="K61" s="75"/>
      <c r="L61" s="139"/>
      <c r="M61" s="13">
        <v>240000</v>
      </c>
      <c r="N61" s="139"/>
      <c r="O61" s="141">
        <f t="shared" si="1"/>
        <v>2892.8442283739805</v>
      </c>
      <c r="P61" s="673">
        <v>45218</v>
      </c>
      <c r="Q61" s="8" t="s">
        <v>247</v>
      </c>
      <c r="R61" s="139"/>
      <c r="S61" s="15" t="s">
        <v>17214</v>
      </c>
      <c r="T61" s="11" t="s">
        <v>265</v>
      </c>
      <c r="U61" s="139"/>
      <c r="V61" s="139"/>
    </row>
    <row r="62" spans="1:25" ht="17.25" hidden="1" customHeight="1">
      <c r="A62" s="9">
        <v>61</v>
      </c>
      <c r="B62" s="8" t="s">
        <v>84</v>
      </c>
      <c r="C62" s="8" t="s">
        <v>93</v>
      </c>
      <c r="D62" s="8" t="s">
        <v>101</v>
      </c>
      <c r="E62" s="139"/>
      <c r="F62" s="10">
        <v>167.22</v>
      </c>
      <c r="G62" s="10">
        <v>122.29</v>
      </c>
      <c r="H62" s="139"/>
      <c r="I62" s="140">
        <f t="shared" si="0"/>
        <v>207.98333333333335</v>
      </c>
      <c r="J62" s="8" t="s">
        <v>258</v>
      </c>
      <c r="K62" s="75"/>
      <c r="L62" s="139"/>
      <c r="M62" s="13">
        <v>463500</v>
      </c>
      <c r="N62" s="139"/>
      <c r="O62" s="141">
        <f t="shared" si="1"/>
        <v>2228.5439538424553</v>
      </c>
      <c r="P62" s="673">
        <v>44627</v>
      </c>
      <c r="Q62" s="336" t="s">
        <v>103</v>
      </c>
      <c r="R62" s="139"/>
      <c r="S62" s="14" t="s">
        <v>134</v>
      </c>
      <c r="T62" s="11" t="s">
        <v>265</v>
      </c>
      <c r="U62" s="139"/>
      <c r="V62" s="139"/>
    </row>
    <row r="63" spans="1:25" s="144" customFormat="1" ht="17.25" hidden="1" customHeight="1">
      <c r="A63" s="9">
        <v>62</v>
      </c>
      <c r="B63" s="8" t="s">
        <v>85</v>
      </c>
      <c r="C63" s="8" t="s">
        <v>89</v>
      </c>
      <c r="D63" s="8" t="s">
        <v>101</v>
      </c>
      <c r="E63" s="139"/>
      <c r="F63" s="10">
        <v>136.21</v>
      </c>
      <c r="G63" s="10">
        <v>6.89</v>
      </c>
      <c r="H63" s="139"/>
      <c r="I63" s="140">
        <f t="shared" si="0"/>
        <v>138.50666666666666</v>
      </c>
      <c r="J63" s="8" t="s">
        <v>258</v>
      </c>
      <c r="K63" s="75"/>
      <c r="L63" s="139"/>
      <c r="M63" s="13">
        <v>385000</v>
      </c>
      <c r="N63" s="139"/>
      <c r="O63" s="141">
        <f>M63/I63</f>
        <v>2779.6495956873318</v>
      </c>
      <c r="P63" s="673">
        <v>45233</v>
      </c>
      <c r="Q63" s="336" t="s">
        <v>103</v>
      </c>
      <c r="R63" s="139"/>
      <c r="S63" s="15" t="s">
        <v>17228</v>
      </c>
      <c r="T63" s="11" t="s">
        <v>265</v>
      </c>
      <c r="U63" s="139"/>
      <c r="V63" s="139"/>
      <c r="W63" s="144" t="s">
        <v>565</v>
      </c>
    </row>
    <row r="64" spans="1:25" ht="17.25" hidden="1" customHeight="1">
      <c r="A64" s="9">
        <v>63</v>
      </c>
      <c r="B64" s="8" t="s">
        <v>86</v>
      </c>
      <c r="C64" s="8" t="s">
        <v>91</v>
      </c>
      <c r="D64" s="8" t="s">
        <v>101</v>
      </c>
      <c r="E64" s="139"/>
      <c r="F64" s="10">
        <v>84.32</v>
      </c>
      <c r="G64" s="10">
        <v>6.89</v>
      </c>
      <c r="H64" s="139"/>
      <c r="I64" s="140">
        <f t="shared" si="0"/>
        <v>86.61666666666666</v>
      </c>
      <c r="J64" s="8" t="s">
        <v>258</v>
      </c>
      <c r="K64" s="75"/>
      <c r="L64" s="139"/>
      <c r="M64" s="13">
        <v>209815</v>
      </c>
      <c r="N64" s="139"/>
      <c r="O64" s="141">
        <f t="shared" si="1"/>
        <v>2422.339811429671</v>
      </c>
      <c r="P64" s="673">
        <v>44627</v>
      </c>
      <c r="Q64" s="336" t="s">
        <v>103</v>
      </c>
      <c r="R64" s="139"/>
      <c r="S64" s="14" t="s">
        <v>135</v>
      </c>
      <c r="T64" s="11" t="s">
        <v>265</v>
      </c>
      <c r="U64" s="139"/>
      <c r="V64" s="139"/>
    </row>
    <row r="65" spans="1:22" ht="17.25" hidden="1" customHeight="1">
      <c r="A65" s="9">
        <v>64</v>
      </c>
      <c r="B65" s="8" t="s">
        <v>87</v>
      </c>
      <c r="C65" s="8" t="s">
        <v>91</v>
      </c>
      <c r="D65" s="8" t="s">
        <v>101</v>
      </c>
      <c r="E65" s="139"/>
      <c r="F65" s="10">
        <v>91.16</v>
      </c>
      <c r="G65" s="10">
        <v>28.2</v>
      </c>
      <c r="H65" s="139"/>
      <c r="I65" s="140">
        <f t="shared" si="0"/>
        <v>100.56</v>
      </c>
      <c r="J65" s="8" t="s">
        <v>258</v>
      </c>
      <c r="K65" s="75"/>
      <c r="L65" s="139"/>
      <c r="M65" s="13">
        <v>253000</v>
      </c>
      <c r="N65" s="139"/>
      <c r="O65" s="141">
        <f t="shared" si="1"/>
        <v>2515.9108989657916</v>
      </c>
      <c r="P65" s="673">
        <v>44627</v>
      </c>
      <c r="Q65" s="8" t="s">
        <v>247</v>
      </c>
      <c r="R65" s="139"/>
      <c r="S65" s="14" t="s">
        <v>136</v>
      </c>
      <c r="T65" s="11" t="s">
        <v>265</v>
      </c>
      <c r="U65" s="139"/>
      <c r="V65" s="139"/>
    </row>
    <row r="66" spans="1:22" ht="17.25" hidden="1" customHeight="1">
      <c r="A66" s="9">
        <v>65</v>
      </c>
      <c r="B66" s="8" t="s">
        <v>88</v>
      </c>
      <c r="C66" s="8" t="s">
        <v>93</v>
      </c>
      <c r="D66" s="8" t="s">
        <v>101</v>
      </c>
      <c r="E66" s="139"/>
      <c r="F66" s="10">
        <v>131.01</v>
      </c>
      <c r="G66" s="10">
        <v>29.7</v>
      </c>
      <c r="H66" s="139"/>
      <c r="I66" s="140">
        <f t="shared" si="0"/>
        <v>140.91</v>
      </c>
      <c r="J66" s="8" t="s">
        <v>258</v>
      </c>
      <c r="K66" s="75"/>
      <c r="L66" s="139"/>
      <c r="M66" s="13">
        <v>350000</v>
      </c>
      <c r="N66" s="139"/>
      <c r="O66" s="141">
        <f t="shared" si="1"/>
        <v>2483.8549428713363</v>
      </c>
      <c r="P66" s="673">
        <v>44624</v>
      </c>
      <c r="Q66" s="8" t="s">
        <v>247</v>
      </c>
      <c r="R66" s="139"/>
      <c r="S66" s="14" t="s">
        <v>137</v>
      </c>
      <c r="T66" s="11" t="s">
        <v>265</v>
      </c>
      <c r="U66" s="139"/>
      <c r="V66" s="139"/>
    </row>
    <row r="67" spans="1:22" ht="17.25" hidden="1" customHeight="1" thickBot="1">
      <c r="I67" s="145">
        <f>SUM(I2:I66)</f>
        <v>5673.083333333333</v>
      </c>
    </row>
    <row r="68" spans="1:22" ht="17.25" hidden="1" customHeight="1">
      <c r="A68" s="46"/>
      <c r="B68" s="47"/>
      <c r="C68" s="48" t="s">
        <v>139</v>
      </c>
      <c r="D68" s="48" t="s">
        <v>140</v>
      </c>
      <c r="E68" s="49" t="s">
        <v>17</v>
      </c>
      <c r="G68" s="1915" t="s">
        <v>289</v>
      </c>
      <c r="H68" s="1916"/>
    </row>
    <row r="69" spans="1:22" ht="17.25" hidden="1" customHeight="1">
      <c r="A69" s="1996" t="s">
        <v>258</v>
      </c>
      <c r="B69" s="1997"/>
      <c r="C69" s="50">
        <f>COUNTIF(J2:J66,A69)</f>
        <v>65</v>
      </c>
      <c r="D69" s="51">
        <f>SUMIF(J2:J66,A69,M2:M66)</f>
        <v>14358915</v>
      </c>
      <c r="E69" s="76">
        <f>AVERAGEIF(J2:J66,A69,O2:O66)</f>
        <v>2544.7551004542643</v>
      </c>
      <c r="G69" s="225">
        <v>2022</v>
      </c>
      <c r="H69" s="227">
        <f>COUNTIFS(P2:P66,"&gt;="&amp;DATE(2022,1,1),P2:P66,"&lt;="&amp;DATE(2022,12,31))</f>
        <v>43</v>
      </c>
    </row>
    <row r="70" spans="1:22" ht="17.25" hidden="1" customHeight="1" thickBot="1">
      <c r="A70" s="2002" t="s">
        <v>102</v>
      </c>
      <c r="B70" s="2003"/>
      <c r="C70" s="53">
        <f>COUNTIF(J2:J66,A70)</f>
        <v>0</v>
      </c>
      <c r="D70" s="54">
        <f>SUMIF(J2:J66,A70,M2:M66)</f>
        <v>0</v>
      </c>
      <c r="E70" s="78" t="e">
        <f>AVERAGEIF(J2:J66,A70,O2:O66)</f>
        <v>#DIV/0!</v>
      </c>
      <c r="G70" s="225">
        <v>2023</v>
      </c>
      <c r="H70" s="227">
        <f>COUNTIFS(P2:P66,"&gt;="&amp;DATE(2023,1,1),P2:P66,"&lt;="&amp;DATE(2023,12,31))</f>
        <v>18</v>
      </c>
    </row>
    <row r="71" spans="1:22" ht="17.25" hidden="1" customHeight="1" thickBot="1">
      <c r="A71" s="1998" t="s">
        <v>138</v>
      </c>
      <c r="B71" s="1999"/>
      <c r="C71" s="56">
        <f>COUNTIF(J2:J66,"")</f>
        <v>0</v>
      </c>
      <c r="D71" s="57">
        <f>SUMIF(J2:J66,"",M2:M66)</f>
        <v>0</v>
      </c>
      <c r="E71" s="86" t="e">
        <f>AVERAGEIF(J2:J66,"",O2:O66)</f>
        <v>#DIV/0!</v>
      </c>
      <c r="G71" s="226">
        <v>2024</v>
      </c>
      <c r="H71" s="216">
        <f>COUNTIFS(P2:P66,"&gt;="&amp;DATE(2024,1,1),P2:P66,"&lt;="&amp;DATE(2024,12,31))</f>
        <v>3</v>
      </c>
      <c r="J71" s="1890" t="s">
        <v>17437</v>
      </c>
      <c r="K71" s="1891"/>
      <c r="L71" s="1891"/>
      <c r="M71" s="1892"/>
      <c r="N71" s="40"/>
      <c r="O71" s="1890" t="s">
        <v>17441</v>
      </c>
      <c r="P71" s="1891"/>
      <c r="Q71" s="1891"/>
      <c r="R71" s="1892"/>
    </row>
    <row r="72" spans="1:22" ht="17.25" customHeight="1" thickBot="1">
      <c r="A72" s="1895" t="s">
        <v>269</v>
      </c>
      <c r="B72" s="1896"/>
      <c r="C72" s="205">
        <f>SUBTOTAL(9,C68:C71)</f>
        <v>0</v>
      </c>
      <c r="D72" s="206">
        <f>SUM(D69:D71)</f>
        <v>14358915</v>
      </c>
      <c r="E72" s="207">
        <f>D72/I67</f>
        <v>2531.0601230959064</v>
      </c>
      <c r="J72" s="1010"/>
      <c r="K72" s="1011" t="s">
        <v>17438</v>
      </c>
      <c r="L72" s="1011">
        <v>2024</v>
      </c>
      <c r="M72" s="1011" t="s">
        <v>17444</v>
      </c>
      <c r="N72" s="40"/>
      <c r="O72" s="1010"/>
      <c r="P72" s="1011" t="s">
        <v>17438</v>
      </c>
      <c r="Q72" s="1011">
        <v>2024</v>
      </c>
      <c r="R72" s="1013" t="s">
        <v>17444</v>
      </c>
    </row>
    <row r="73" spans="1:22" ht="17.25" customHeight="1" thickBot="1">
      <c r="J73" s="31" t="s">
        <v>17439</v>
      </c>
      <c r="K73" s="129">
        <f>COUNTIFS(J2:J66,J66,Q2:Q66,Q2)</f>
        <v>13</v>
      </c>
      <c r="L73" s="129">
        <f>COUNTIFS(P2:P66,"&gt;="&amp;DATE(2024,1,1),P2:P66,"&lt;="&amp;DATE(2024,12,31),Q2:Q66,J73)</f>
        <v>1</v>
      </c>
      <c r="M73" s="343">
        <f>K73/(K73+K74+K75)</f>
        <v>0.2</v>
      </c>
      <c r="N73" s="40"/>
      <c r="O73" s="34" t="s">
        <v>265</v>
      </c>
      <c r="P73" s="719">
        <f>COUNTIFS(J2:J66,J2,T2:T66,O73)</f>
        <v>57</v>
      </c>
      <c r="Q73" s="129">
        <f>COUNTIFS(P2:P66,"&gt;="&amp;DATE(2024,1,1),P2:P66,"&lt;="&amp;DATE(2024,12,31),T2:T66,O73)</f>
        <v>2</v>
      </c>
      <c r="R73" s="1014">
        <f>P73/($P$73+$P$74+$P$75+$P$76+$P$77+$P$78+$P$79)</f>
        <v>0.87692307692307692</v>
      </c>
    </row>
    <row r="74" spans="1:22" ht="17.25" customHeight="1" thickBot="1">
      <c r="A74" s="1893" t="s">
        <v>139</v>
      </c>
      <c r="B74" s="2098"/>
      <c r="C74" s="147" t="s">
        <v>90</v>
      </c>
      <c r="D74" s="148" t="s">
        <v>92</v>
      </c>
      <c r="E74" s="148" t="s">
        <v>91</v>
      </c>
      <c r="F74" s="148" t="s">
        <v>89</v>
      </c>
      <c r="G74" s="148" t="s">
        <v>93</v>
      </c>
      <c r="H74" s="149" t="s">
        <v>141</v>
      </c>
      <c r="J74" s="665" t="s">
        <v>17440</v>
      </c>
      <c r="K74" s="129">
        <f>COUNTIFS(J2:J66,J66,Q2:Q66,J74)</f>
        <v>0</v>
      </c>
      <c r="L74" s="129">
        <f>COUNTIFS(P2:P66,"&gt;="&amp;DATE(2024,1,1),P2:P66,"&lt;="&amp;DATE(2024,12,31),Q2:Q66,J74)</f>
        <v>0</v>
      </c>
      <c r="M74" s="343">
        <f>K74/(K73+K74+K75)</f>
        <v>0</v>
      </c>
      <c r="N74" s="40"/>
      <c r="O74" s="34" t="s">
        <v>565</v>
      </c>
      <c r="P74" s="719">
        <f>COUNTIFS(J2:J66,J2,T2:T66,O74)</f>
        <v>4</v>
      </c>
      <c r="Q74" s="129">
        <f>COUNTIFS(P2:P66,"&gt;="&amp;DATE(2024,1,1),P2:P66,"&lt;="&amp;DATE(2024,12,31),T2:T66,O74)</f>
        <v>1</v>
      </c>
      <c r="R74" s="1014">
        <f t="shared" ref="R74:R79" si="3">P74/($P$73+$P$74+$P$75+$P$76+$P$77+$P$78+$P$79)</f>
        <v>6.1538461538461542E-2</v>
      </c>
    </row>
    <row r="75" spans="1:22" ht="17.25" customHeight="1" thickBot="1">
      <c r="A75" s="2099" t="s">
        <v>258</v>
      </c>
      <c r="B75" s="2100"/>
      <c r="C75" s="150">
        <f>COUNTIFS(J2:J66,A75,C2:C66,C74)</f>
        <v>17</v>
      </c>
      <c r="D75" s="151">
        <f>COUNTIFS(J2:J66,A75,C2:C66,D74)</f>
        <v>5</v>
      </c>
      <c r="E75" s="151">
        <f>COUNTIFS(J2:J66,A75,C2:C66,E74)</f>
        <v>27</v>
      </c>
      <c r="F75" s="151">
        <f>COUNTIFS(J2:J66,A75,C2:C66,F74)</f>
        <v>14</v>
      </c>
      <c r="G75" s="151">
        <f>COUNTIFS(J2:J66,A75,C2:C66,G74)</f>
        <v>2</v>
      </c>
      <c r="H75" s="152">
        <f>SUM(C75:G75)</f>
        <v>65</v>
      </c>
      <c r="J75" s="665" t="s">
        <v>17447</v>
      </c>
      <c r="K75" s="129">
        <f>COUNTIFS(J2:J66,J66,Q2:Q66,J75)</f>
        <v>52</v>
      </c>
      <c r="L75" s="129">
        <f>COUNTIFS(P2:P66,"&gt;="&amp;DATE(2024,1,1),P2:P66,"&lt;="&amp;DATE(2024,12,31),Q2:Q66,J75)</f>
        <v>2</v>
      </c>
      <c r="M75" s="343">
        <f>K75/(K73+K74+K75)</f>
        <v>0.8</v>
      </c>
      <c r="N75" s="40"/>
      <c r="O75" s="34" t="s">
        <v>17421</v>
      </c>
      <c r="P75" s="719">
        <f>COUNTIFS(J2:J66,J2,T2:T66,O75)</f>
        <v>2</v>
      </c>
      <c r="Q75" s="129">
        <f>COUNTIFS(P2:P66,"&gt;="&amp;DATE(2024,1,1),P2:P66,"&lt;="&amp;DATE(2024,12,31),T2:T66,O75)</f>
        <v>0</v>
      </c>
      <c r="R75" s="1014">
        <f t="shared" si="3"/>
        <v>3.0769230769230771E-2</v>
      </c>
    </row>
    <row r="76" spans="1:22" ht="17.25" customHeight="1" thickBot="1">
      <c r="A76" s="1905" t="s">
        <v>102</v>
      </c>
      <c r="B76" s="2097"/>
      <c r="C76" s="111">
        <f>COUNTIFS(J2:J66,A76,C2:C66,C74)</f>
        <v>0</v>
      </c>
      <c r="D76" s="65">
        <f>COUNTIFS(J2:J66,A76,C2:C66,D74)</f>
        <v>0</v>
      </c>
      <c r="E76" s="65">
        <f>COUNTIFS(J2:J66,A76,C2:C66,E74)</f>
        <v>0</v>
      </c>
      <c r="F76" s="65">
        <f>COUNTIFS(J2:J66,A76,C2:C66,F74)</f>
        <v>0</v>
      </c>
      <c r="G76" s="65">
        <f>COUNTIFS(J2:J66,A76,C2:C66,G74)</f>
        <v>0</v>
      </c>
      <c r="H76" s="153">
        <f>SUM(C76:G76)</f>
        <v>0</v>
      </c>
      <c r="J76" s="40"/>
      <c r="K76" s="40"/>
      <c r="L76" s="40"/>
      <c r="M76" s="40"/>
      <c r="N76" s="40"/>
      <c r="O76" s="22" t="s">
        <v>17283</v>
      </c>
      <c r="P76" s="719">
        <f>COUNTIFS(J2:J66,J2,T2:T66,O76)</f>
        <v>1</v>
      </c>
      <c r="Q76" s="5">
        <f>COUNTIFS(P2:P66,"&gt;="&amp;DATE(2024,1,1),P2:P66,"&lt;="&amp;DATE(2024,12,31),T2:T66,O76)</f>
        <v>0</v>
      </c>
      <c r="R76" s="1014">
        <f t="shared" si="3"/>
        <v>1.5384615384615385E-2</v>
      </c>
    </row>
    <row r="77" spans="1:22" ht="17.25" customHeight="1" thickBot="1">
      <c r="A77" s="1907" t="s">
        <v>138</v>
      </c>
      <c r="B77" s="2095"/>
      <c r="C77" s="154">
        <f>COUNTIFS(J2:J66,"",C2:C66,C74)</f>
        <v>0</v>
      </c>
      <c r="D77" s="72">
        <f>COUNTIFS(J2:J66,"",C2:C66,D74)</f>
        <v>0</v>
      </c>
      <c r="E77" s="72">
        <f>COUNTIFS(J2:J66,"",C2:C66,E74)</f>
        <v>0</v>
      </c>
      <c r="F77" s="72">
        <f>COUNTIFS(J2:J66,"",C2:C66,F74)</f>
        <v>0</v>
      </c>
      <c r="G77" s="72">
        <f>COUNTIFS(J2:J66,"",C2:C66,G74)</f>
        <v>0</v>
      </c>
      <c r="H77" s="155">
        <f>SUM(C77:G77)</f>
        <v>0</v>
      </c>
      <c r="J77" s="40"/>
      <c r="K77" s="40"/>
      <c r="L77" s="40"/>
      <c r="M77" s="40"/>
      <c r="N77" s="40"/>
      <c r="O77" s="130" t="s">
        <v>17448</v>
      </c>
      <c r="P77" s="719">
        <f>COUNTIFS(J2:J66,J2,T2:T66,O77)</f>
        <v>1</v>
      </c>
      <c r="Q77" s="5">
        <f>COUNTIFS(P2:P66,"&gt;="&amp;DATE(2024,1,1),P2:P66,"&lt;="&amp;DATE(2024,12,31),T2:T66,O77)</f>
        <v>0</v>
      </c>
      <c r="R77" s="1014">
        <f t="shared" si="3"/>
        <v>1.5384615384615385E-2</v>
      </c>
    </row>
    <row r="78" spans="1:22" ht="17.25" customHeight="1" thickBot="1">
      <c r="A78" s="2101" t="s">
        <v>141</v>
      </c>
      <c r="B78" s="2101"/>
      <c r="C78" s="156">
        <f t="shared" ref="C78:H78" si="4">SUM(C75:C77)</f>
        <v>17</v>
      </c>
      <c r="D78" s="156">
        <f t="shared" si="4"/>
        <v>5</v>
      </c>
      <c r="E78" s="156">
        <f t="shared" si="4"/>
        <v>27</v>
      </c>
      <c r="F78" s="156">
        <f t="shared" si="4"/>
        <v>14</v>
      </c>
      <c r="G78" s="156">
        <f t="shared" si="4"/>
        <v>2</v>
      </c>
      <c r="H78" s="156">
        <f t="shared" si="4"/>
        <v>65</v>
      </c>
      <c r="J78" s="40"/>
      <c r="K78" s="40"/>
      <c r="L78" s="40"/>
      <c r="M78" s="40"/>
      <c r="N78" s="40"/>
      <c r="O78" s="5" t="s">
        <v>17219</v>
      </c>
      <c r="P78" s="719">
        <f>COUNTIFS(J2:J66,J2,T2:T66,O78)</f>
        <v>0</v>
      </c>
      <c r="Q78" s="5">
        <f>COUNTIFS(P2:P66,"&gt;="&amp;DATE(2024,1,1),P2:P66,"&lt;="&amp;DATE(2024,12,31),T2:T66,O78)</f>
        <v>0</v>
      </c>
      <c r="R78" s="1014">
        <f t="shared" si="3"/>
        <v>0</v>
      </c>
    </row>
    <row r="79" spans="1:22" ht="17.25" customHeight="1" thickTop="1" thickBot="1">
      <c r="J79" s="40"/>
      <c r="K79" s="40"/>
      <c r="L79" s="40"/>
      <c r="M79" s="40"/>
      <c r="N79" s="40"/>
      <c r="O79" s="5" t="s">
        <v>517</v>
      </c>
      <c r="P79" s="719">
        <f>COUNTIFS(J2:J66,J2,T2:T66,O79)</f>
        <v>0</v>
      </c>
      <c r="Q79" s="5">
        <f>COUNTIFS(P2:P66,"&gt;="&amp;DATE(2024,1,1),P2:P66,"&lt;="&amp;DATE(2024,12,31),T2:T66,O79)</f>
        <v>0</v>
      </c>
      <c r="R79" s="1014">
        <f t="shared" si="3"/>
        <v>0</v>
      </c>
    </row>
    <row r="80" spans="1:22" ht="17.25" customHeight="1">
      <c r="A80" s="1901" t="s">
        <v>142</v>
      </c>
      <c r="B80" s="1902"/>
      <c r="C80" s="158" t="s">
        <v>90</v>
      </c>
      <c r="D80" s="159" t="s">
        <v>92</v>
      </c>
      <c r="E80" s="159" t="s">
        <v>91</v>
      </c>
      <c r="F80" s="159" t="s">
        <v>89</v>
      </c>
      <c r="G80" s="159" t="s">
        <v>93</v>
      </c>
      <c r="H80" s="160" t="s">
        <v>141</v>
      </c>
      <c r="J80" s="3"/>
      <c r="K80" s="3"/>
    </row>
    <row r="81" spans="1:11" ht="17.25" customHeight="1">
      <c r="A81" s="2093" t="s">
        <v>258</v>
      </c>
      <c r="B81" s="2094"/>
      <c r="C81" s="51">
        <f>AVERAGEIFS(O2:O66,J2:J66,A81,C2:C66,C80)</f>
        <v>2582.2215380036041</v>
      </c>
      <c r="D81" s="51">
        <f>AVERAGEIFS(O2:O66,J2:J66,A81,C2:C66,D80)</f>
        <v>2382.2000866175836</v>
      </c>
      <c r="E81" s="51">
        <f>AVERAGEIFS(O2:O66,J2:J66,A81,C2:C66,E80)</f>
        <v>2548.2184484978025</v>
      </c>
      <c r="F81" s="51">
        <f>AVERAGEIFS(O2:O66,J2:J66,A81,C2:C66,F80)</f>
        <v>2577.5727103016789</v>
      </c>
      <c r="G81" s="51">
        <f>AVERAGEIFS(O2:O66,J2:J66,A81,C2:C66,G80)</f>
        <v>2356.199448356896</v>
      </c>
      <c r="H81" s="76">
        <f>AVERAGEIF(J2:J66,A81,O2:O66)</f>
        <v>2544.7551004542643</v>
      </c>
      <c r="J81" s="3"/>
      <c r="K81" s="3"/>
    </row>
    <row r="82" spans="1:11" ht="17.25" customHeight="1">
      <c r="A82" s="1905" t="s">
        <v>102</v>
      </c>
      <c r="B82" s="1911"/>
      <c r="C82" s="54" t="e">
        <f>AVERAGEIFS(O2:O66,J2:J66,A82,C2:C66,C80)</f>
        <v>#DIV/0!</v>
      </c>
      <c r="D82" s="54" t="e">
        <f>AVERAGEIFS(O2:O66,J2:J66,A82,C2:C66,D80)</f>
        <v>#DIV/0!</v>
      </c>
      <c r="E82" s="54" t="e">
        <f>AVERAGEIFS(O2:O66,J2:J66,A82,C2:C66,E80)</f>
        <v>#DIV/0!</v>
      </c>
      <c r="F82" s="54" t="e">
        <f>AVERAGEIFS(O2:O66,J2:J66,A82,C2:C66,F80)</f>
        <v>#DIV/0!</v>
      </c>
      <c r="G82" s="54" t="e">
        <f>AVERAGEIFS(O2:O66,J2:J66,A82,C2:C66,G80)</f>
        <v>#DIV/0!</v>
      </c>
      <c r="H82" s="78" t="e">
        <f>AVERAGEIF(J2:J66,A82,O2:O66)</f>
        <v>#DIV/0!</v>
      </c>
      <c r="J82" s="3"/>
      <c r="K82" s="3"/>
    </row>
    <row r="83" spans="1:11" ht="17.25" customHeight="1" thickBot="1">
      <c r="A83" s="1907" t="s">
        <v>138</v>
      </c>
      <c r="B83" s="1912"/>
      <c r="C83" s="85" t="e">
        <f>AVERAGEIFS(O2:O66,J2:J66,"",C2:C66,C80)</f>
        <v>#DIV/0!</v>
      </c>
      <c r="D83" s="85" t="e">
        <f>AVERAGEIFS(O2:O66,J2:J66,"",C2:C66,D80)</f>
        <v>#DIV/0!</v>
      </c>
      <c r="E83" s="85" t="e">
        <f>AVERAGEIFS(O2:O66,J2:J66,"",C2:C66,E80)</f>
        <v>#DIV/0!</v>
      </c>
      <c r="F83" s="85" t="e">
        <f>AVERAGEIFS(O2:O66,J2:J66,"",C2:C66,F80)</f>
        <v>#DIV/0!</v>
      </c>
      <c r="G83" s="85" t="e">
        <f>AVERAGEIFS(O2:O66,J2:J66,"",C2:C66,G80)</f>
        <v>#DIV/0!</v>
      </c>
      <c r="H83" s="86" t="e">
        <f>AVERAGEIF(J2:J66,"",O2:O66)</f>
        <v>#DIV/0!</v>
      </c>
      <c r="J83" s="3"/>
      <c r="K83" s="3"/>
    </row>
    <row r="84" spans="1:11" ht="17.25" customHeight="1" thickBot="1">
      <c r="J84" s="3"/>
      <c r="K84" s="3"/>
    </row>
    <row r="85" spans="1:11" ht="17.25" customHeight="1">
      <c r="A85" s="1901" t="s">
        <v>191</v>
      </c>
      <c r="B85" s="1902"/>
      <c r="C85" s="158" t="s">
        <v>90</v>
      </c>
      <c r="D85" s="159" t="s">
        <v>92</v>
      </c>
      <c r="E85" s="159" t="s">
        <v>91</v>
      </c>
      <c r="F85" s="159" t="s">
        <v>89</v>
      </c>
      <c r="G85" s="159" t="s">
        <v>93</v>
      </c>
      <c r="H85" s="160" t="s">
        <v>141</v>
      </c>
      <c r="J85" s="3"/>
      <c r="K85" s="3"/>
    </row>
    <row r="86" spans="1:11" ht="17.25" customHeight="1">
      <c r="A86" s="2093" t="s">
        <v>258</v>
      </c>
      <c r="B86" s="2094"/>
      <c r="C86" s="51">
        <f>AVERAGEIFS(M2:M66,J2:J66,A86,C2:C66,C85)</f>
        <v>156341.76470588235</v>
      </c>
      <c r="D86" s="51">
        <f>AVERAGEIFS(M2:M66,J2:J66,A86,C2:C66,D85)</f>
        <v>183350</v>
      </c>
      <c r="E86" s="51">
        <f>AVERAGEIFS(M2:M66,J2:J66,A86,C2:C66,E85)</f>
        <v>214248.33333333334</v>
      </c>
      <c r="F86" s="51">
        <f>AVERAGEIFS(M2:M66,J2:J66,A86,C2:C66,F85)</f>
        <v>299010.71428571426</v>
      </c>
      <c r="G86" s="51">
        <f>AVERAGEIFS(M2:M66,J2:J66,A86,C2:C66,G85)</f>
        <v>406750</v>
      </c>
      <c r="H86" s="76">
        <f>AVERAGEIFS(M2:M66,J2:J66,A86)</f>
        <v>220906.38461538462</v>
      </c>
      <c r="J86" s="3"/>
      <c r="K86" s="3"/>
    </row>
    <row r="87" spans="1:11" ht="17.25" customHeight="1">
      <c r="A87" s="1905" t="s">
        <v>102</v>
      </c>
      <c r="B87" s="1911"/>
      <c r="C87" s="54" t="e">
        <f>AVERAGEIFS(M2:M66,J2:J66,A87,C2:C66,C85)</f>
        <v>#DIV/0!</v>
      </c>
      <c r="D87" s="54" t="e">
        <f>AVERAGEIFS(M2:M66,J2:J66,A87,C2:C66,D85)</f>
        <v>#DIV/0!</v>
      </c>
      <c r="E87" s="54" t="e">
        <f>AVERAGEIFS(M2:M66,J2:J66,A87,C2:C66,E85)</f>
        <v>#DIV/0!</v>
      </c>
      <c r="F87" s="54" t="e">
        <f>AVERAGEIFS(M2:M66,J2:J66,A87,C2:C66,F85)</f>
        <v>#DIV/0!</v>
      </c>
      <c r="G87" s="54" t="e">
        <f>AVERAGEIFS(M2:M66,J2:J66,A87,C2:C66,G85)</f>
        <v>#DIV/0!</v>
      </c>
      <c r="H87" s="78" t="e">
        <f>AVERAGEIFS(M2:M66,J2:J66,A87)</f>
        <v>#DIV/0!</v>
      </c>
      <c r="J87" s="3"/>
      <c r="K87" s="3"/>
    </row>
    <row r="88" spans="1:11" ht="17.25" customHeight="1" thickBot="1">
      <c r="A88" s="1907" t="s">
        <v>138</v>
      </c>
      <c r="B88" s="1912"/>
      <c r="C88" s="85" t="e">
        <f>AVERAGEIFS(M2:M66,J2:J66,"",C2:C66,C85)</f>
        <v>#DIV/0!</v>
      </c>
      <c r="D88" s="85" t="e">
        <f>AVERAGEIFS(M2:M66,J2:J66,"",C2:C66,D85)</f>
        <v>#DIV/0!</v>
      </c>
      <c r="E88" s="85" t="e">
        <f>AVERAGEIFS(M2:M66,J2:J66,"",C2:C66,E85)</f>
        <v>#DIV/0!</v>
      </c>
      <c r="F88" s="85" t="e">
        <f>AVERAGEIFS(M2:M66,J2:J66,"",C2:C66,F85)</f>
        <v>#DIV/0!</v>
      </c>
      <c r="G88" s="85" t="e">
        <f>AVERAGEIFS(M2:M66,J2:J66,"",C2:C66,G85)</f>
        <v>#DIV/0!</v>
      </c>
      <c r="H88" s="86" t="e">
        <f>AVERAGEIFS(M2:M66,J2:J66,"")</f>
        <v>#DIV/0!</v>
      </c>
      <c r="J88" s="3"/>
      <c r="K88" s="3"/>
    </row>
    <row r="90" spans="1:11" ht="17.25" customHeight="1">
      <c r="A90" s="2096"/>
      <c r="B90" s="2096"/>
      <c r="C90" s="2096"/>
    </row>
  </sheetData>
  <autoFilter ref="A1:Y71" xr:uid="{C06D317C-7AA9-4C47-A001-8CCA34B7E79F}">
    <filterColumn colId="15">
      <filters>
        <dateGroupItem year="2025" dateTimeGrouping="year"/>
      </filters>
    </filterColumn>
  </autoFilter>
  <mergeCells count="21">
    <mergeCell ref="A90:C90"/>
    <mergeCell ref="G68:H68"/>
    <mergeCell ref="A76:B76"/>
    <mergeCell ref="A74:B74"/>
    <mergeCell ref="A69:B69"/>
    <mergeCell ref="A70:B70"/>
    <mergeCell ref="A71:B71"/>
    <mergeCell ref="A75:B75"/>
    <mergeCell ref="A72:B72"/>
    <mergeCell ref="A85:B85"/>
    <mergeCell ref="A86:B86"/>
    <mergeCell ref="A87:B87"/>
    <mergeCell ref="A88:B88"/>
    <mergeCell ref="A83:B83"/>
    <mergeCell ref="A80:B80"/>
    <mergeCell ref="A78:B78"/>
    <mergeCell ref="J71:M71"/>
    <mergeCell ref="O71:R71"/>
    <mergeCell ref="A81:B81"/>
    <mergeCell ref="A82:B82"/>
    <mergeCell ref="A77:B77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F9B9-35C9-4D10-A135-6BCF54BF9A8B}">
  <sheetPr>
    <tabColor theme="7" tint="0.79998168889431442"/>
  </sheetPr>
  <dimension ref="A1:X82"/>
  <sheetViews>
    <sheetView topLeftCell="E1" workbookViewId="0">
      <selection activeCell="A11" sqref="A11:XFD11"/>
    </sheetView>
  </sheetViews>
  <sheetFormatPr defaultColWidth="9.140625" defaultRowHeight="12.75"/>
  <cols>
    <col min="1" max="2" width="9.140625" style="125"/>
    <col min="3" max="3" width="11.7109375" style="125" bestFit="1" customWidth="1"/>
    <col min="4" max="4" width="11.28515625" style="125" bestFit="1" customWidth="1"/>
    <col min="5" max="5" width="13.42578125" style="125" bestFit="1" customWidth="1"/>
    <col min="6" max="6" width="9.42578125" style="125" bestFit="1" customWidth="1"/>
    <col min="7" max="8" width="9.140625" style="125"/>
    <col min="9" max="9" width="14.5703125" style="125" customWidth="1"/>
    <col min="10" max="10" width="10.28515625" style="125" bestFit="1" customWidth="1"/>
    <col min="11" max="11" width="10.28515625" style="125" customWidth="1"/>
    <col min="12" max="12" width="12.28515625" style="125" customWidth="1"/>
    <col min="13" max="13" width="14" style="137" bestFit="1" customWidth="1"/>
    <col min="14" max="14" width="9.140625" style="125"/>
    <col min="15" max="15" width="12.85546875" style="137" bestFit="1" customWidth="1"/>
    <col min="16" max="16" width="12.85546875" style="137" customWidth="1"/>
    <col min="17" max="17" width="9.140625" style="125"/>
    <col min="18" max="18" width="9.42578125" style="125" bestFit="1" customWidth="1"/>
    <col min="19" max="19" width="19" style="125" bestFit="1" customWidth="1"/>
    <col min="20" max="20" width="14.5703125" style="125" bestFit="1" customWidth="1"/>
    <col min="21" max="21" width="12.140625" style="125" bestFit="1" customWidth="1"/>
    <col min="22" max="22" width="26" style="125" customWidth="1"/>
    <col min="23" max="23" width="21.28515625" style="125" customWidth="1"/>
    <col min="24" max="24" width="15.85546875" style="125" customWidth="1"/>
    <col min="25" max="16384" width="9.140625" style="125"/>
  </cols>
  <sheetData>
    <row r="1" spans="1:24" ht="25.5">
      <c r="A1" s="6" t="s">
        <v>23</v>
      </c>
      <c r="B1" s="6" t="s">
        <v>5</v>
      </c>
      <c r="C1" s="6" t="s">
        <v>1</v>
      </c>
      <c r="D1" s="20" t="s">
        <v>0</v>
      </c>
      <c r="E1" s="20" t="s">
        <v>3</v>
      </c>
      <c r="F1" s="6" t="s">
        <v>6</v>
      </c>
      <c r="G1" s="6" t="s">
        <v>2</v>
      </c>
      <c r="H1" s="6" t="s">
        <v>7</v>
      </c>
      <c r="I1" s="6" t="s">
        <v>11</v>
      </c>
      <c r="J1" s="6" t="s">
        <v>12</v>
      </c>
      <c r="K1" s="6" t="s">
        <v>17172</v>
      </c>
      <c r="L1" s="6" t="s">
        <v>17178</v>
      </c>
      <c r="M1" s="21" t="s">
        <v>13</v>
      </c>
      <c r="N1" s="6" t="s">
        <v>14</v>
      </c>
      <c r="O1" s="21" t="s">
        <v>15</v>
      </c>
      <c r="P1" s="21"/>
      <c r="Q1" s="6" t="s">
        <v>16</v>
      </c>
      <c r="R1" s="6" t="s">
        <v>17</v>
      </c>
      <c r="S1" s="6" t="s">
        <v>4</v>
      </c>
      <c r="T1" s="6" t="s">
        <v>8</v>
      </c>
      <c r="U1" s="6" t="s">
        <v>18</v>
      </c>
      <c r="V1" s="6" t="s">
        <v>19</v>
      </c>
      <c r="W1" s="6" t="s">
        <v>20</v>
      </c>
      <c r="X1" s="6" t="s">
        <v>21</v>
      </c>
    </row>
    <row r="2" spans="1:24" s="469" customFormat="1">
      <c r="A2" s="458">
        <v>1</v>
      </c>
      <c r="B2" s="458" t="s">
        <v>24</v>
      </c>
      <c r="C2" s="478" t="s">
        <v>90</v>
      </c>
      <c r="D2" s="460">
        <v>0</v>
      </c>
      <c r="E2" s="461" t="s">
        <v>145</v>
      </c>
      <c r="F2" s="480">
        <v>60.61</v>
      </c>
      <c r="G2" s="481">
        <v>13.84</v>
      </c>
      <c r="H2" s="482"/>
      <c r="I2" s="458">
        <f>F2+(0.3*G2)+(0.2*H2)</f>
        <v>64.762</v>
      </c>
      <c r="J2" s="458" t="s">
        <v>258</v>
      </c>
      <c r="K2" s="458" t="s">
        <v>48</v>
      </c>
      <c r="L2" s="458" t="s">
        <v>48</v>
      </c>
      <c r="M2" s="464"/>
      <c r="N2" s="458"/>
      <c r="O2" s="465">
        <v>120000</v>
      </c>
      <c r="P2" s="465"/>
      <c r="Q2" s="458"/>
      <c r="R2" s="466">
        <f t="shared" ref="R2:R33" si="0">O2/I2</f>
        <v>1852.9384515611007</v>
      </c>
      <c r="S2" s="467">
        <v>44175</v>
      </c>
      <c r="T2" s="458" t="s">
        <v>150</v>
      </c>
      <c r="U2" s="458"/>
      <c r="V2" s="473" t="s">
        <v>151</v>
      </c>
      <c r="W2" s="458"/>
      <c r="X2" s="458"/>
    </row>
    <row r="3" spans="1:24" s="469" customFormat="1">
      <c r="A3" s="458">
        <v>2</v>
      </c>
      <c r="B3" s="458" t="s">
        <v>25</v>
      </c>
      <c r="C3" s="478" t="s">
        <v>144</v>
      </c>
      <c r="D3" s="460">
        <v>0</v>
      </c>
      <c r="E3" s="461" t="s">
        <v>145</v>
      </c>
      <c r="F3" s="462">
        <v>46.23</v>
      </c>
      <c r="G3" s="463">
        <v>7.22</v>
      </c>
      <c r="H3" s="458"/>
      <c r="I3" s="458">
        <f t="shared" ref="I3:I60" si="1">F3+(0.3*G3)+(0.2*H3)</f>
        <v>48.395999999999994</v>
      </c>
      <c r="J3" s="458" t="s">
        <v>258</v>
      </c>
      <c r="K3" s="458" t="s">
        <v>48</v>
      </c>
      <c r="L3" s="458" t="s">
        <v>48</v>
      </c>
      <c r="M3" s="464"/>
      <c r="N3" s="458"/>
      <c r="O3" s="465">
        <v>95500</v>
      </c>
      <c r="P3" s="465"/>
      <c r="Q3" s="458"/>
      <c r="R3" s="466">
        <f t="shared" si="0"/>
        <v>1973.3035788081663</v>
      </c>
      <c r="S3" s="467">
        <v>44379</v>
      </c>
      <c r="T3" s="458" t="s">
        <v>150</v>
      </c>
      <c r="U3" s="458"/>
      <c r="V3" s="551" t="s">
        <v>152</v>
      </c>
      <c r="W3" s="458"/>
      <c r="X3" s="458"/>
    </row>
    <row r="4" spans="1:24" s="469" customFormat="1">
      <c r="A4" s="458">
        <v>3</v>
      </c>
      <c r="B4" s="458" t="s">
        <v>26</v>
      </c>
      <c r="C4" s="478" t="s">
        <v>144</v>
      </c>
      <c r="D4" s="460">
        <v>0</v>
      </c>
      <c r="E4" s="461" t="s">
        <v>146</v>
      </c>
      <c r="F4" s="462">
        <v>45.92</v>
      </c>
      <c r="G4" s="463">
        <v>7.01</v>
      </c>
      <c r="H4" s="458"/>
      <c r="I4" s="458">
        <f t="shared" si="1"/>
        <v>48.023000000000003</v>
      </c>
      <c r="J4" s="458" t="s">
        <v>258</v>
      </c>
      <c r="K4" s="458" t="s">
        <v>48</v>
      </c>
      <c r="L4" s="458" t="s">
        <v>48</v>
      </c>
      <c r="M4" s="464"/>
      <c r="N4" s="458"/>
      <c r="O4" s="465">
        <v>92500</v>
      </c>
      <c r="P4" s="465"/>
      <c r="Q4" s="458"/>
      <c r="R4" s="466">
        <f t="shared" si="0"/>
        <v>1926.1603814838722</v>
      </c>
      <c r="S4" s="467">
        <v>44379</v>
      </c>
      <c r="T4" s="458" t="s">
        <v>150</v>
      </c>
      <c r="U4" s="458"/>
      <c r="V4" s="473" t="s">
        <v>153</v>
      </c>
      <c r="W4" s="458"/>
      <c r="X4" s="458"/>
    </row>
    <row r="5" spans="1:24" s="469" customFormat="1">
      <c r="A5" s="458">
        <v>4</v>
      </c>
      <c r="B5" s="458" t="s">
        <v>27</v>
      </c>
      <c r="C5" s="478" t="s">
        <v>90</v>
      </c>
      <c r="D5" s="460">
        <v>0</v>
      </c>
      <c r="E5" s="461" t="s">
        <v>146</v>
      </c>
      <c r="F5" s="480">
        <v>59.86</v>
      </c>
      <c r="G5" s="481">
        <v>13.9</v>
      </c>
      <c r="H5" s="482"/>
      <c r="I5" s="458">
        <f t="shared" si="1"/>
        <v>64.03</v>
      </c>
      <c r="J5" s="458" t="s">
        <v>258</v>
      </c>
      <c r="K5" s="458" t="s">
        <v>48</v>
      </c>
      <c r="L5" s="458" t="s">
        <v>48</v>
      </c>
      <c r="M5" s="464"/>
      <c r="N5" s="458"/>
      <c r="O5" s="465">
        <v>110000</v>
      </c>
      <c r="P5" s="465"/>
      <c r="Q5" s="458"/>
      <c r="R5" s="466">
        <f t="shared" si="0"/>
        <v>1717.9447134155864</v>
      </c>
      <c r="S5" s="467">
        <v>44152</v>
      </c>
      <c r="T5" s="458" t="s">
        <v>150</v>
      </c>
      <c r="U5" s="458"/>
      <c r="V5" s="473" t="s">
        <v>155</v>
      </c>
      <c r="W5" s="473"/>
      <c r="X5" s="458"/>
    </row>
    <row r="6" spans="1:24" s="469" customFormat="1">
      <c r="A6" s="458">
        <v>5</v>
      </c>
      <c r="B6" s="458" t="s">
        <v>28</v>
      </c>
      <c r="C6" s="478" t="s">
        <v>90</v>
      </c>
      <c r="D6" s="460">
        <v>0</v>
      </c>
      <c r="E6" s="461" t="s">
        <v>146</v>
      </c>
      <c r="F6" s="480">
        <v>59.47</v>
      </c>
      <c r="G6" s="481">
        <v>13.91</v>
      </c>
      <c r="H6" s="482"/>
      <c r="I6" s="458">
        <f t="shared" si="1"/>
        <v>63.643000000000001</v>
      </c>
      <c r="J6" s="458" t="s">
        <v>258</v>
      </c>
      <c r="K6" s="458" t="s">
        <v>48</v>
      </c>
      <c r="L6" s="458" t="s">
        <v>48</v>
      </c>
      <c r="M6" s="464"/>
      <c r="N6" s="458"/>
      <c r="O6" s="465">
        <v>110000</v>
      </c>
      <c r="P6" s="465"/>
      <c r="Q6" s="458"/>
      <c r="R6" s="466">
        <f t="shared" si="0"/>
        <v>1728.3911820624421</v>
      </c>
      <c r="S6" s="467">
        <v>44187</v>
      </c>
      <c r="T6" s="458" t="s">
        <v>150</v>
      </c>
      <c r="U6" s="458"/>
      <c r="V6" s="473" t="s">
        <v>154</v>
      </c>
      <c r="W6" s="458"/>
      <c r="X6" s="458"/>
    </row>
    <row r="7" spans="1:24" s="469" customFormat="1">
      <c r="A7" s="458">
        <v>6</v>
      </c>
      <c r="B7" s="458" t="s">
        <v>29</v>
      </c>
      <c r="C7" s="478" t="s">
        <v>89</v>
      </c>
      <c r="D7" s="460">
        <v>0</v>
      </c>
      <c r="E7" s="461" t="s">
        <v>146</v>
      </c>
      <c r="F7" s="462">
        <v>117.48</v>
      </c>
      <c r="G7" s="463"/>
      <c r="H7" s="463">
        <v>23.98</v>
      </c>
      <c r="I7" s="458">
        <f t="shared" si="1"/>
        <v>122.27600000000001</v>
      </c>
      <c r="J7" s="458" t="s">
        <v>258</v>
      </c>
      <c r="K7" s="458" t="s">
        <v>48</v>
      </c>
      <c r="L7" s="458" t="s">
        <v>48</v>
      </c>
      <c r="M7" s="464">
        <v>285000</v>
      </c>
      <c r="N7" s="458">
        <v>280000</v>
      </c>
      <c r="O7" s="464">
        <v>280000</v>
      </c>
      <c r="P7" s="464" t="s">
        <v>513</v>
      </c>
      <c r="Q7" s="458"/>
      <c r="R7" s="466">
        <f t="shared" si="0"/>
        <v>2289.9015342340276</v>
      </c>
      <c r="S7" s="485">
        <v>44858</v>
      </c>
      <c r="T7" s="458" t="s">
        <v>150</v>
      </c>
      <c r="U7" s="458"/>
      <c r="V7" s="458" t="s">
        <v>232</v>
      </c>
      <c r="W7" s="458"/>
      <c r="X7" s="458"/>
    </row>
    <row r="8" spans="1:24" s="469" customFormat="1" ht="15">
      <c r="A8" s="458">
        <v>7</v>
      </c>
      <c r="B8" s="458" t="s">
        <v>30</v>
      </c>
      <c r="C8" s="478" t="s">
        <v>89</v>
      </c>
      <c r="D8" s="460">
        <v>0</v>
      </c>
      <c r="E8" s="461" t="s">
        <v>147</v>
      </c>
      <c r="F8" s="462">
        <v>135.91</v>
      </c>
      <c r="G8" s="463"/>
      <c r="H8" s="463">
        <v>51.81</v>
      </c>
      <c r="I8" s="458">
        <f t="shared" si="1"/>
        <v>146.27199999999999</v>
      </c>
      <c r="J8" s="458" t="s">
        <v>258</v>
      </c>
      <c r="K8" s="458" t="s">
        <v>48</v>
      </c>
      <c r="L8" s="458" t="s">
        <v>48</v>
      </c>
      <c r="M8" s="464"/>
      <c r="N8" s="458"/>
      <c r="O8" s="464">
        <v>270000</v>
      </c>
      <c r="P8" s="464"/>
      <c r="Q8" s="458"/>
      <c r="R8" s="466">
        <f t="shared" si="0"/>
        <v>1845.87617589149</v>
      </c>
      <c r="S8" s="485">
        <v>45189</v>
      </c>
      <c r="T8" s="458" t="s">
        <v>150</v>
      </c>
      <c r="U8" s="458"/>
      <c r="V8" s="573" t="s">
        <v>17209</v>
      </c>
      <c r="W8" s="458"/>
      <c r="X8" s="458"/>
    </row>
    <row r="9" spans="1:24" s="469" customFormat="1">
      <c r="A9" s="458">
        <v>2</v>
      </c>
      <c r="B9" s="458" t="s">
        <v>31</v>
      </c>
      <c r="C9" s="478" t="s">
        <v>91</v>
      </c>
      <c r="D9" s="460">
        <v>0</v>
      </c>
      <c r="E9" s="461" t="s">
        <v>145</v>
      </c>
      <c r="F9" s="462">
        <v>90.99</v>
      </c>
      <c r="G9" s="463">
        <v>19.63</v>
      </c>
      <c r="H9" s="458"/>
      <c r="I9" s="458">
        <f t="shared" si="1"/>
        <v>96.878999999999991</v>
      </c>
      <c r="J9" s="458" t="s">
        <v>258</v>
      </c>
      <c r="K9" s="458" t="s">
        <v>48</v>
      </c>
      <c r="L9" s="458" t="s">
        <v>48</v>
      </c>
      <c r="M9" s="464">
        <v>235000</v>
      </c>
      <c r="N9" s="458"/>
      <c r="O9" s="493">
        <v>230000</v>
      </c>
      <c r="P9" s="493" t="s">
        <v>513</v>
      </c>
      <c r="Q9" s="458"/>
      <c r="R9" s="466">
        <f t="shared" si="0"/>
        <v>2374.0955212171889</v>
      </c>
      <c r="S9" s="494">
        <v>45009</v>
      </c>
      <c r="T9" s="458" t="s">
        <v>150</v>
      </c>
      <c r="U9" s="458"/>
      <c r="V9" s="525" t="s">
        <v>521</v>
      </c>
      <c r="W9" s="458"/>
      <c r="X9" s="458"/>
    </row>
    <row r="10" spans="1:24" s="469" customFormat="1">
      <c r="A10" s="458">
        <v>9</v>
      </c>
      <c r="B10" s="458" t="s">
        <v>32</v>
      </c>
      <c r="C10" s="478" t="s">
        <v>90</v>
      </c>
      <c r="D10" s="460">
        <v>0</v>
      </c>
      <c r="E10" s="461" t="s">
        <v>145</v>
      </c>
      <c r="F10" s="462">
        <v>60.63</v>
      </c>
      <c r="G10" s="463">
        <v>14.16</v>
      </c>
      <c r="H10" s="458"/>
      <c r="I10" s="458">
        <f t="shared" si="1"/>
        <v>64.878</v>
      </c>
      <c r="J10" s="458" t="s">
        <v>258</v>
      </c>
      <c r="K10" s="458" t="s">
        <v>48</v>
      </c>
      <c r="L10" s="458" t="s">
        <v>48</v>
      </c>
      <c r="M10" s="464"/>
      <c r="N10" s="458"/>
      <c r="O10" s="465">
        <v>120000</v>
      </c>
      <c r="P10" s="465"/>
      <c r="Q10" s="458"/>
      <c r="R10" s="466">
        <f t="shared" si="0"/>
        <v>1849.6254508462036</v>
      </c>
      <c r="S10" s="467">
        <v>44294</v>
      </c>
      <c r="T10" s="458" t="s">
        <v>150</v>
      </c>
      <c r="U10" s="458"/>
      <c r="V10" s="473" t="s">
        <v>151</v>
      </c>
      <c r="W10" s="458"/>
      <c r="X10" s="458"/>
    </row>
    <row r="11" spans="1:24" s="469" customFormat="1">
      <c r="A11" s="458">
        <v>10</v>
      </c>
      <c r="B11" s="458" t="s">
        <v>33</v>
      </c>
      <c r="C11" s="459" t="s">
        <v>90</v>
      </c>
      <c r="D11" s="460">
        <v>1</v>
      </c>
      <c r="E11" s="461" t="s">
        <v>145</v>
      </c>
      <c r="F11" s="480">
        <v>60.61</v>
      </c>
      <c r="G11" s="481">
        <v>13.84</v>
      </c>
      <c r="H11" s="482"/>
      <c r="I11" s="458">
        <f t="shared" si="1"/>
        <v>64.762</v>
      </c>
      <c r="J11" s="458" t="s">
        <v>258</v>
      </c>
      <c r="K11" s="458" t="s">
        <v>48</v>
      </c>
      <c r="L11" s="458" t="s">
        <v>48</v>
      </c>
      <c r="M11" s="464"/>
      <c r="N11" s="458"/>
      <c r="O11" s="465">
        <v>110000</v>
      </c>
      <c r="P11" s="465"/>
      <c r="Q11" s="458"/>
      <c r="R11" s="466">
        <f t="shared" si="0"/>
        <v>1698.5269139310089</v>
      </c>
      <c r="S11" s="467">
        <v>44096</v>
      </c>
      <c r="T11" s="458" t="s">
        <v>150</v>
      </c>
      <c r="U11" s="458"/>
      <c r="V11" s="472" t="s">
        <v>723</v>
      </c>
      <c r="W11" s="458"/>
      <c r="X11" s="458"/>
    </row>
    <row r="12" spans="1:24" s="469" customFormat="1">
      <c r="A12" s="458">
        <v>11</v>
      </c>
      <c r="B12" s="458" t="s">
        <v>35</v>
      </c>
      <c r="C12" s="459" t="s">
        <v>144</v>
      </c>
      <c r="D12" s="460">
        <v>1</v>
      </c>
      <c r="E12" s="461" t="s">
        <v>145</v>
      </c>
      <c r="F12" s="462">
        <v>46.01</v>
      </c>
      <c r="G12" s="463">
        <v>7.1</v>
      </c>
      <c r="H12" s="458"/>
      <c r="I12" s="458">
        <f t="shared" si="1"/>
        <v>48.14</v>
      </c>
      <c r="J12" s="458" t="s">
        <v>258</v>
      </c>
      <c r="K12" s="458"/>
      <c r="L12" s="458"/>
      <c r="M12" s="464"/>
      <c r="N12" s="458"/>
      <c r="O12" s="465">
        <v>92500</v>
      </c>
      <c r="P12" s="465"/>
      <c r="Q12" s="458"/>
      <c r="R12" s="466">
        <f t="shared" si="0"/>
        <v>1921.4790195263813</v>
      </c>
      <c r="S12" s="467">
        <v>44340</v>
      </c>
      <c r="T12" s="458" t="s">
        <v>274</v>
      </c>
      <c r="U12" s="458"/>
      <c r="V12" s="473" t="s">
        <v>333</v>
      </c>
      <c r="W12" s="458"/>
      <c r="X12" s="458"/>
    </row>
    <row r="13" spans="1:24" s="469" customFormat="1">
      <c r="A13" s="458">
        <v>12</v>
      </c>
      <c r="B13" s="458" t="s">
        <v>36</v>
      </c>
      <c r="C13" s="459" t="s">
        <v>90</v>
      </c>
      <c r="D13" s="460">
        <v>1</v>
      </c>
      <c r="E13" s="461" t="s">
        <v>145</v>
      </c>
      <c r="F13" s="480">
        <v>59.16</v>
      </c>
      <c r="G13" s="481">
        <v>13.61</v>
      </c>
      <c r="H13" s="482"/>
      <c r="I13" s="458">
        <f t="shared" si="1"/>
        <v>63.242999999999995</v>
      </c>
      <c r="J13" s="458" t="s">
        <v>258</v>
      </c>
      <c r="K13" s="458" t="s">
        <v>48</v>
      </c>
      <c r="L13" s="458" t="s">
        <v>48</v>
      </c>
      <c r="M13" s="464"/>
      <c r="N13" s="458"/>
      <c r="O13" s="465">
        <v>110000</v>
      </c>
      <c r="P13" s="465"/>
      <c r="Q13" s="458"/>
      <c r="R13" s="466">
        <f t="shared" si="0"/>
        <v>1739.3229290198126</v>
      </c>
      <c r="S13" s="467">
        <v>44096</v>
      </c>
      <c r="T13" s="458" t="s">
        <v>150</v>
      </c>
      <c r="U13" s="458"/>
      <c r="V13" s="473" t="s">
        <v>722</v>
      </c>
      <c r="W13" s="458"/>
      <c r="X13" s="458"/>
    </row>
    <row r="14" spans="1:24" s="469" customFormat="1">
      <c r="A14" s="458">
        <v>13</v>
      </c>
      <c r="B14" s="458" t="s">
        <v>37</v>
      </c>
      <c r="C14" s="459" t="s">
        <v>90</v>
      </c>
      <c r="D14" s="460">
        <v>1</v>
      </c>
      <c r="E14" s="461" t="s">
        <v>146</v>
      </c>
      <c r="F14" s="480">
        <v>60.23</v>
      </c>
      <c r="G14" s="481">
        <v>14.3</v>
      </c>
      <c r="H14" s="482"/>
      <c r="I14" s="458">
        <f t="shared" si="1"/>
        <v>64.52</v>
      </c>
      <c r="J14" s="458" t="s">
        <v>258</v>
      </c>
      <c r="K14" s="458" t="s">
        <v>48</v>
      </c>
      <c r="L14" s="458" t="s">
        <v>48</v>
      </c>
      <c r="M14" s="464"/>
      <c r="N14" s="458"/>
      <c r="O14" s="465">
        <v>107500</v>
      </c>
      <c r="P14" s="465"/>
      <c r="Q14" s="458"/>
      <c r="R14" s="466">
        <f t="shared" si="0"/>
        <v>1666.1500309981402</v>
      </c>
      <c r="S14" s="467">
        <v>44105</v>
      </c>
      <c r="T14" s="458" t="s">
        <v>150</v>
      </c>
      <c r="U14" s="458"/>
      <c r="V14" s="473" t="s">
        <v>156</v>
      </c>
      <c r="W14" s="458"/>
      <c r="X14" s="458"/>
    </row>
    <row r="15" spans="1:24" s="469" customFormat="1">
      <c r="A15" s="458">
        <v>14</v>
      </c>
      <c r="B15" s="458" t="s">
        <v>38</v>
      </c>
      <c r="C15" s="459" t="s">
        <v>90</v>
      </c>
      <c r="D15" s="460">
        <v>1</v>
      </c>
      <c r="E15" s="461" t="s">
        <v>146</v>
      </c>
      <c r="F15" s="480">
        <v>59.88</v>
      </c>
      <c r="G15" s="481">
        <v>13.97</v>
      </c>
      <c r="H15" s="482"/>
      <c r="I15" s="458">
        <f t="shared" si="1"/>
        <v>64.070999999999998</v>
      </c>
      <c r="J15" s="458" t="s">
        <v>258</v>
      </c>
      <c r="K15" s="458" t="s">
        <v>48</v>
      </c>
      <c r="L15" s="458" t="s">
        <v>48</v>
      </c>
      <c r="M15" s="464"/>
      <c r="N15" s="458"/>
      <c r="O15" s="465">
        <v>107500</v>
      </c>
      <c r="P15" s="465"/>
      <c r="Q15" s="458"/>
      <c r="R15" s="466">
        <f t="shared" si="0"/>
        <v>1677.8261616019729</v>
      </c>
      <c r="S15" s="467">
        <v>44098</v>
      </c>
      <c r="T15" s="458" t="s">
        <v>150</v>
      </c>
      <c r="U15" s="458"/>
      <c r="V15" s="473" t="s">
        <v>758</v>
      </c>
      <c r="W15" s="458"/>
      <c r="X15" s="458"/>
    </row>
    <row r="16" spans="1:24" s="469" customFormat="1">
      <c r="A16" s="458">
        <v>15</v>
      </c>
      <c r="B16" s="458" t="s">
        <v>39</v>
      </c>
      <c r="C16" s="459" t="s">
        <v>90</v>
      </c>
      <c r="D16" s="460">
        <v>1</v>
      </c>
      <c r="E16" s="461" t="s">
        <v>146</v>
      </c>
      <c r="F16" s="480">
        <v>59.47</v>
      </c>
      <c r="G16" s="481">
        <v>13.91</v>
      </c>
      <c r="H16" s="482"/>
      <c r="I16" s="458">
        <f t="shared" si="1"/>
        <v>63.643000000000001</v>
      </c>
      <c r="J16" s="458" t="s">
        <v>258</v>
      </c>
      <c r="K16" s="458" t="s">
        <v>48</v>
      </c>
      <c r="L16" s="458" t="s">
        <v>48</v>
      </c>
      <c r="M16" s="464"/>
      <c r="N16" s="458"/>
      <c r="O16" s="465">
        <v>107500</v>
      </c>
      <c r="P16" s="465"/>
      <c r="Q16" s="458"/>
      <c r="R16" s="466">
        <f t="shared" si="0"/>
        <v>1689.1095642882956</v>
      </c>
      <c r="S16" s="467">
        <v>44098</v>
      </c>
      <c r="T16" s="458" t="s">
        <v>150</v>
      </c>
      <c r="U16" s="458"/>
      <c r="V16" s="473" t="s">
        <v>157</v>
      </c>
      <c r="W16" s="458"/>
      <c r="X16" s="458"/>
    </row>
    <row r="17" spans="1:24" s="469" customFormat="1">
      <c r="A17" s="458">
        <v>16</v>
      </c>
      <c r="B17" s="458" t="s">
        <v>40</v>
      </c>
      <c r="C17" s="459" t="s">
        <v>89</v>
      </c>
      <c r="D17" s="460">
        <v>1</v>
      </c>
      <c r="E17" s="461" t="s">
        <v>146</v>
      </c>
      <c r="F17" s="462">
        <v>115.68</v>
      </c>
      <c r="G17" s="463">
        <v>23.98</v>
      </c>
      <c r="H17" s="458"/>
      <c r="I17" s="458">
        <f t="shared" si="1"/>
        <v>122.87400000000001</v>
      </c>
      <c r="J17" s="458" t="s">
        <v>258</v>
      </c>
      <c r="K17" s="458" t="s">
        <v>48</v>
      </c>
      <c r="L17" s="458" t="s">
        <v>48</v>
      </c>
      <c r="M17" s="464"/>
      <c r="N17" s="458"/>
      <c r="O17" s="464">
        <v>292000</v>
      </c>
      <c r="P17" s="464" t="s">
        <v>513</v>
      </c>
      <c r="Q17" s="458"/>
      <c r="R17" s="466">
        <f t="shared" si="0"/>
        <v>2376.4181193743184</v>
      </c>
      <c r="S17" s="485">
        <v>44764</v>
      </c>
      <c r="T17" s="458" t="s">
        <v>150</v>
      </c>
      <c r="U17" s="458"/>
      <c r="V17" s="458" t="s">
        <v>190</v>
      </c>
      <c r="W17" s="458"/>
      <c r="X17" s="458"/>
    </row>
    <row r="18" spans="1:24" s="469" customFormat="1">
      <c r="A18" s="458">
        <v>17</v>
      </c>
      <c r="B18" s="458" t="s">
        <v>41</v>
      </c>
      <c r="C18" s="459" t="s">
        <v>89</v>
      </c>
      <c r="D18" s="460">
        <v>1</v>
      </c>
      <c r="E18" s="461" t="s">
        <v>147</v>
      </c>
      <c r="F18" s="462">
        <v>135.91</v>
      </c>
      <c r="G18" s="463"/>
      <c r="H18" s="463">
        <v>51.81</v>
      </c>
      <c r="I18" s="458">
        <f t="shared" si="1"/>
        <v>146.27199999999999</v>
      </c>
      <c r="J18" s="458" t="s">
        <v>258</v>
      </c>
      <c r="K18" s="458" t="s">
        <v>48</v>
      </c>
      <c r="L18" s="458" t="s">
        <v>48</v>
      </c>
      <c r="M18" s="464"/>
      <c r="N18" s="458"/>
      <c r="O18" s="465">
        <v>282000</v>
      </c>
      <c r="P18" s="465"/>
      <c r="Q18" s="458"/>
      <c r="R18" s="466">
        <f t="shared" si="0"/>
        <v>1927.9151170422228</v>
      </c>
      <c r="S18" s="467">
        <v>44453</v>
      </c>
      <c r="T18" s="458" t="s">
        <v>150</v>
      </c>
      <c r="U18" s="458"/>
      <c r="V18" s="473" t="s">
        <v>158</v>
      </c>
      <c r="W18" s="458"/>
      <c r="X18" s="458"/>
    </row>
    <row r="19" spans="1:24" s="469" customFormat="1">
      <c r="A19" s="458">
        <v>18</v>
      </c>
      <c r="B19" s="458" t="s">
        <v>42</v>
      </c>
      <c r="C19" s="459" t="s">
        <v>91</v>
      </c>
      <c r="D19" s="460">
        <v>1</v>
      </c>
      <c r="E19" s="461" t="s">
        <v>145</v>
      </c>
      <c r="F19" s="462">
        <v>90.99</v>
      </c>
      <c r="G19" s="463"/>
      <c r="H19" s="463">
        <v>19.63</v>
      </c>
      <c r="I19" s="458">
        <f t="shared" si="1"/>
        <v>94.915999999999997</v>
      </c>
      <c r="J19" s="458" t="s">
        <v>258</v>
      </c>
      <c r="K19" s="458" t="s">
        <v>48</v>
      </c>
      <c r="L19" s="458" t="s">
        <v>48</v>
      </c>
      <c r="M19" s="464">
        <v>237000</v>
      </c>
      <c r="N19" s="458">
        <v>232000</v>
      </c>
      <c r="O19" s="465">
        <v>235000</v>
      </c>
      <c r="P19" s="464" t="s">
        <v>513</v>
      </c>
      <c r="Q19" s="458"/>
      <c r="R19" s="466">
        <f t="shared" si="0"/>
        <v>2475.8734038518269</v>
      </c>
      <c r="S19" s="467">
        <v>44851</v>
      </c>
      <c r="T19" s="458" t="s">
        <v>150</v>
      </c>
      <c r="U19" s="458"/>
      <c r="V19" s="468" t="s">
        <v>229</v>
      </c>
      <c r="W19" s="458"/>
      <c r="X19" s="458"/>
    </row>
    <row r="20" spans="1:24" s="469" customFormat="1">
      <c r="A20" s="458">
        <v>19</v>
      </c>
      <c r="B20" s="458" t="s">
        <v>43</v>
      </c>
      <c r="C20" s="459" t="s">
        <v>90</v>
      </c>
      <c r="D20" s="460">
        <v>1</v>
      </c>
      <c r="E20" s="461" t="s">
        <v>145</v>
      </c>
      <c r="F20" s="480">
        <v>60.63</v>
      </c>
      <c r="G20" s="481">
        <v>14.16</v>
      </c>
      <c r="H20" s="482"/>
      <c r="I20" s="458">
        <f t="shared" si="1"/>
        <v>64.878</v>
      </c>
      <c r="J20" s="458" t="s">
        <v>258</v>
      </c>
      <c r="K20" s="458" t="s">
        <v>48</v>
      </c>
      <c r="L20" s="458" t="s">
        <v>48</v>
      </c>
      <c r="M20" s="464"/>
      <c r="N20" s="458"/>
      <c r="O20" s="465">
        <v>107500</v>
      </c>
      <c r="P20" s="465"/>
      <c r="Q20" s="458"/>
      <c r="R20" s="466">
        <f t="shared" si="0"/>
        <v>1656.956133049724</v>
      </c>
      <c r="S20" s="467">
        <v>44097</v>
      </c>
      <c r="T20" s="458" t="s">
        <v>150</v>
      </c>
      <c r="U20" s="458"/>
      <c r="V20" s="473" t="s">
        <v>159</v>
      </c>
      <c r="W20" s="458"/>
      <c r="X20" s="458"/>
    </row>
    <row r="21" spans="1:24" s="469" customFormat="1">
      <c r="A21" s="458">
        <v>20</v>
      </c>
      <c r="B21" s="458" t="s">
        <v>44</v>
      </c>
      <c r="C21" s="478" t="s">
        <v>90</v>
      </c>
      <c r="D21" s="460">
        <v>2</v>
      </c>
      <c r="E21" s="461" t="s">
        <v>145</v>
      </c>
      <c r="F21" s="462">
        <v>60.61</v>
      </c>
      <c r="G21" s="463">
        <v>13.84</v>
      </c>
      <c r="H21" s="458"/>
      <c r="I21" s="458">
        <f t="shared" si="1"/>
        <v>64.762</v>
      </c>
      <c r="J21" s="458" t="s">
        <v>258</v>
      </c>
      <c r="K21" s="458" t="s">
        <v>48</v>
      </c>
      <c r="L21" s="458" t="s">
        <v>48</v>
      </c>
      <c r="M21" s="464"/>
      <c r="N21" s="458"/>
      <c r="O21" s="474">
        <v>110000</v>
      </c>
      <c r="P21" s="474"/>
      <c r="Q21" s="458"/>
      <c r="R21" s="466">
        <f t="shared" si="0"/>
        <v>1698.5269139310089</v>
      </c>
      <c r="S21" s="467">
        <v>44107</v>
      </c>
      <c r="T21" s="458" t="s">
        <v>150</v>
      </c>
      <c r="U21" s="458"/>
      <c r="V21" s="473" t="s">
        <v>160</v>
      </c>
      <c r="W21" s="458"/>
      <c r="X21" s="458"/>
    </row>
    <row r="22" spans="1:24" s="469" customFormat="1" ht="12" customHeight="1">
      <c r="A22" s="458">
        <v>21</v>
      </c>
      <c r="B22" s="458" t="s">
        <v>45</v>
      </c>
      <c r="C22" s="478" t="s">
        <v>144</v>
      </c>
      <c r="D22" s="460">
        <v>2</v>
      </c>
      <c r="E22" s="461" t="s">
        <v>145</v>
      </c>
      <c r="F22" s="462">
        <v>46.01</v>
      </c>
      <c r="G22" s="463">
        <v>7.1</v>
      </c>
      <c r="H22" s="458"/>
      <c r="I22" s="458">
        <f t="shared" si="1"/>
        <v>48.14</v>
      </c>
      <c r="J22" s="458" t="s">
        <v>258</v>
      </c>
      <c r="K22" s="458" t="s">
        <v>48</v>
      </c>
      <c r="L22" s="458" t="s">
        <v>48</v>
      </c>
      <c r="M22" s="464"/>
      <c r="N22" s="458"/>
      <c r="O22" s="474">
        <v>122000</v>
      </c>
      <c r="P22" s="464" t="s">
        <v>513</v>
      </c>
      <c r="Q22" s="458"/>
      <c r="R22" s="466">
        <f t="shared" si="0"/>
        <v>2534.2750311591194</v>
      </c>
      <c r="S22" s="467">
        <v>44707</v>
      </c>
      <c r="T22" s="458" t="s">
        <v>150</v>
      </c>
      <c r="U22" s="458"/>
      <c r="V22" s="473" t="s">
        <v>161</v>
      </c>
      <c r="W22" s="458"/>
      <c r="X22" s="458"/>
    </row>
    <row r="23" spans="1:24" s="469" customFormat="1">
      <c r="A23" s="458">
        <v>22</v>
      </c>
      <c r="B23" s="458" t="s">
        <v>47</v>
      </c>
      <c r="C23" s="478" t="s">
        <v>90</v>
      </c>
      <c r="D23" s="460">
        <v>2</v>
      </c>
      <c r="E23" s="461" t="s">
        <v>145</v>
      </c>
      <c r="F23" s="462">
        <v>61.44</v>
      </c>
      <c r="G23" s="463">
        <v>13.61</v>
      </c>
      <c r="H23" s="458"/>
      <c r="I23" s="458">
        <f t="shared" si="1"/>
        <v>65.522999999999996</v>
      </c>
      <c r="J23" s="458" t="s">
        <v>258</v>
      </c>
      <c r="K23" s="458" t="s">
        <v>48</v>
      </c>
      <c r="L23" s="458" t="s">
        <v>48</v>
      </c>
      <c r="M23" s="464"/>
      <c r="N23" s="458"/>
      <c r="O23" s="474">
        <v>110000</v>
      </c>
      <c r="P23" s="474"/>
      <c r="Q23" s="458"/>
      <c r="R23" s="466">
        <f t="shared" si="0"/>
        <v>1678.7998107534759</v>
      </c>
      <c r="S23" s="467">
        <v>44110</v>
      </c>
      <c r="T23" s="458" t="s">
        <v>150</v>
      </c>
      <c r="U23" s="458"/>
      <c r="V23" s="473" t="s">
        <v>160</v>
      </c>
      <c r="W23" s="458"/>
      <c r="X23" s="458"/>
    </row>
    <row r="24" spans="1:24" s="469" customFormat="1">
      <c r="A24" s="458">
        <v>23</v>
      </c>
      <c r="B24" s="458" t="s">
        <v>49</v>
      </c>
      <c r="C24" s="478" t="s">
        <v>90</v>
      </c>
      <c r="D24" s="460">
        <v>2</v>
      </c>
      <c r="E24" s="461" t="s">
        <v>146</v>
      </c>
      <c r="F24" s="480">
        <v>61.12</v>
      </c>
      <c r="G24" s="481">
        <v>13.94</v>
      </c>
      <c r="H24" s="481"/>
      <c r="I24" s="458">
        <f t="shared" si="1"/>
        <v>65.301999999999992</v>
      </c>
      <c r="J24" s="458" t="s">
        <v>258</v>
      </c>
      <c r="K24" s="458" t="s">
        <v>48</v>
      </c>
      <c r="L24" s="458" t="s">
        <v>48</v>
      </c>
      <c r="M24" s="464"/>
      <c r="N24" s="458"/>
      <c r="O24" s="474">
        <v>110000</v>
      </c>
      <c r="P24" s="474"/>
      <c r="Q24" s="458"/>
      <c r="R24" s="466">
        <f t="shared" si="0"/>
        <v>1684.4813328841385</v>
      </c>
      <c r="S24" s="467">
        <v>44092</v>
      </c>
      <c r="T24" s="458" t="s">
        <v>150</v>
      </c>
      <c r="U24" s="458"/>
      <c r="V24" s="472" t="s">
        <v>162</v>
      </c>
      <c r="W24" s="458"/>
      <c r="X24" s="458"/>
    </row>
    <row r="25" spans="1:24" s="469" customFormat="1">
      <c r="A25" s="458">
        <v>24</v>
      </c>
      <c r="B25" s="458" t="s">
        <v>50</v>
      </c>
      <c r="C25" s="478" t="s">
        <v>91</v>
      </c>
      <c r="D25" s="460">
        <v>2</v>
      </c>
      <c r="E25" s="461" t="s">
        <v>146</v>
      </c>
      <c r="F25" s="462">
        <v>89.64</v>
      </c>
      <c r="G25" s="463">
        <v>19.38</v>
      </c>
      <c r="H25" s="458"/>
      <c r="I25" s="458">
        <f t="shared" si="1"/>
        <v>95.453999999999994</v>
      </c>
      <c r="J25" s="458" t="s">
        <v>258</v>
      </c>
      <c r="K25" s="458" t="s">
        <v>48</v>
      </c>
      <c r="L25" s="458" t="s">
        <v>48</v>
      </c>
      <c r="M25" s="464"/>
      <c r="N25" s="458"/>
      <c r="O25" s="474">
        <v>195000</v>
      </c>
      <c r="P25" s="474"/>
      <c r="Q25" s="458"/>
      <c r="R25" s="466">
        <f t="shared" si="0"/>
        <v>2042.8688163932368</v>
      </c>
      <c r="S25" s="467">
        <v>44207</v>
      </c>
      <c r="T25" s="458" t="s">
        <v>150</v>
      </c>
      <c r="U25" s="458"/>
      <c r="V25" s="473" t="s">
        <v>163</v>
      </c>
      <c r="W25" s="458"/>
      <c r="X25" s="458"/>
    </row>
    <row r="26" spans="1:24" s="469" customFormat="1">
      <c r="A26" s="458">
        <v>25</v>
      </c>
      <c r="B26" s="458" t="s">
        <v>51</v>
      </c>
      <c r="C26" s="470" t="s">
        <v>91</v>
      </c>
      <c r="D26" s="460">
        <v>2</v>
      </c>
      <c r="E26" s="461" t="s">
        <v>146</v>
      </c>
      <c r="F26" s="471">
        <v>89.84</v>
      </c>
      <c r="G26" s="472">
        <v>19.420000000000002</v>
      </c>
      <c r="H26" s="473"/>
      <c r="I26" s="458">
        <f t="shared" si="1"/>
        <v>95.665999999999997</v>
      </c>
      <c r="J26" s="458" t="s">
        <v>258</v>
      </c>
      <c r="K26" s="458" t="s">
        <v>48</v>
      </c>
      <c r="L26" s="458" t="s">
        <v>48</v>
      </c>
      <c r="M26" s="464"/>
      <c r="N26" s="458"/>
      <c r="O26" s="474">
        <v>215000</v>
      </c>
      <c r="P26" s="474"/>
      <c r="Q26" s="458"/>
      <c r="R26" s="466">
        <f t="shared" si="0"/>
        <v>2247.4024209227941</v>
      </c>
      <c r="S26" s="467">
        <v>44406</v>
      </c>
      <c r="T26" s="458" t="s">
        <v>150</v>
      </c>
      <c r="U26" s="458"/>
      <c r="V26" s="473" t="s">
        <v>164</v>
      </c>
      <c r="W26" s="458"/>
      <c r="X26" s="458"/>
    </row>
    <row r="27" spans="1:24" s="469" customFormat="1">
      <c r="A27" s="458">
        <v>26</v>
      </c>
      <c r="B27" s="458" t="s">
        <v>52</v>
      </c>
      <c r="C27" s="470" t="s">
        <v>89</v>
      </c>
      <c r="D27" s="460">
        <v>2</v>
      </c>
      <c r="E27" s="461" t="s">
        <v>146</v>
      </c>
      <c r="F27" s="471">
        <v>117.48</v>
      </c>
      <c r="G27" s="472"/>
      <c r="H27" s="472">
        <v>23.98</v>
      </c>
      <c r="I27" s="458">
        <f t="shared" si="1"/>
        <v>122.27600000000001</v>
      </c>
      <c r="J27" s="458" t="s">
        <v>258</v>
      </c>
      <c r="K27" s="458" t="s">
        <v>48</v>
      </c>
      <c r="L27" s="458" t="s">
        <v>48</v>
      </c>
      <c r="M27" s="464"/>
      <c r="N27" s="458"/>
      <c r="O27" s="474">
        <v>263000</v>
      </c>
      <c r="P27" s="474"/>
      <c r="Q27" s="458"/>
      <c r="R27" s="466">
        <f t="shared" si="0"/>
        <v>2150.8717982269618</v>
      </c>
      <c r="S27" s="467">
        <v>44349</v>
      </c>
      <c r="T27" s="458" t="s">
        <v>150</v>
      </c>
      <c r="U27" s="458"/>
      <c r="V27" s="473" t="s">
        <v>165</v>
      </c>
      <c r="W27" s="458"/>
      <c r="X27" s="458"/>
    </row>
    <row r="28" spans="1:24" s="469" customFormat="1" ht="12" customHeight="1">
      <c r="A28" s="458">
        <v>27</v>
      </c>
      <c r="B28" s="458" t="s">
        <v>53</v>
      </c>
      <c r="C28" s="470" t="s">
        <v>89</v>
      </c>
      <c r="D28" s="460">
        <v>2</v>
      </c>
      <c r="E28" s="461" t="s">
        <v>147</v>
      </c>
      <c r="F28" s="471">
        <v>135.91</v>
      </c>
      <c r="G28" s="472"/>
      <c r="H28" s="472">
        <v>50.81</v>
      </c>
      <c r="I28" s="458">
        <f t="shared" si="1"/>
        <v>146.072</v>
      </c>
      <c r="J28" s="458" t="s">
        <v>258</v>
      </c>
      <c r="K28" s="458" t="s">
        <v>48</v>
      </c>
      <c r="L28" s="458" t="s">
        <v>48</v>
      </c>
      <c r="M28" s="464"/>
      <c r="N28" s="458"/>
      <c r="O28" s="474">
        <v>283000</v>
      </c>
      <c r="P28" s="474"/>
      <c r="Q28" s="458"/>
      <c r="R28" s="466">
        <f t="shared" si="0"/>
        <v>1937.4007338846595</v>
      </c>
      <c r="S28" s="467">
        <v>44365</v>
      </c>
      <c r="T28" s="458" t="s">
        <v>150</v>
      </c>
      <c r="U28" s="458"/>
      <c r="V28" s="473" t="s">
        <v>166</v>
      </c>
      <c r="W28" s="458"/>
      <c r="X28" s="458"/>
    </row>
    <row r="29" spans="1:24" s="469" customFormat="1">
      <c r="A29" s="458">
        <v>28</v>
      </c>
      <c r="B29" s="458" t="s">
        <v>54</v>
      </c>
      <c r="C29" s="478" t="s">
        <v>91</v>
      </c>
      <c r="D29" s="460">
        <v>2</v>
      </c>
      <c r="E29" s="461" t="s">
        <v>145</v>
      </c>
      <c r="F29" s="462">
        <v>90.99</v>
      </c>
      <c r="G29" s="463">
        <v>19.63</v>
      </c>
      <c r="H29" s="458"/>
      <c r="I29" s="458">
        <f t="shared" si="1"/>
        <v>96.878999999999991</v>
      </c>
      <c r="J29" s="458" t="s">
        <v>258</v>
      </c>
      <c r="K29" s="458" t="s">
        <v>48</v>
      </c>
      <c r="L29" s="458" t="s">
        <v>48</v>
      </c>
      <c r="M29" s="464"/>
      <c r="N29" s="458"/>
      <c r="O29" s="474">
        <v>210000</v>
      </c>
      <c r="P29" s="474"/>
      <c r="Q29" s="458"/>
      <c r="R29" s="466">
        <f t="shared" si="0"/>
        <v>2167.652432415694</v>
      </c>
      <c r="S29" s="467">
        <v>44470</v>
      </c>
      <c r="T29" s="458" t="s">
        <v>150</v>
      </c>
      <c r="U29" s="458"/>
      <c r="V29" s="468" t="s">
        <v>167</v>
      </c>
      <c r="W29" s="458"/>
      <c r="X29" s="458"/>
    </row>
    <row r="30" spans="1:24" s="469" customFormat="1">
      <c r="A30" s="458">
        <v>29</v>
      </c>
      <c r="B30" s="458" t="s">
        <v>55</v>
      </c>
      <c r="C30" s="470" t="s">
        <v>90</v>
      </c>
      <c r="D30" s="460">
        <v>2</v>
      </c>
      <c r="E30" s="461" t="s">
        <v>145</v>
      </c>
      <c r="F30" s="471">
        <v>60.63</v>
      </c>
      <c r="G30" s="472">
        <v>14.16</v>
      </c>
      <c r="H30" s="473"/>
      <c r="I30" s="458">
        <f t="shared" si="1"/>
        <v>64.878</v>
      </c>
      <c r="J30" s="458" t="s">
        <v>258</v>
      </c>
      <c r="K30" s="458" t="s">
        <v>48</v>
      </c>
      <c r="L30" s="458" t="s">
        <v>48</v>
      </c>
      <c r="M30" s="464"/>
      <c r="N30" s="458"/>
      <c r="O30" s="474">
        <v>115000</v>
      </c>
      <c r="P30" s="474"/>
      <c r="Q30" s="458"/>
      <c r="R30" s="466">
        <f t="shared" si="0"/>
        <v>1772.5577237276118</v>
      </c>
      <c r="S30" s="467">
        <v>44160</v>
      </c>
      <c r="T30" s="458" t="s">
        <v>150</v>
      </c>
      <c r="U30" s="458"/>
      <c r="V30" s="473" t="s">
        <v>168</v>
      </c>
      <c r="W30" s="458"/>
      <c r="X30" s="458"/>
    </row>
    <row r="31" spans="1:24" s="469" customFormat="1">
      <c r="A31" s="458">
        <v>30</v>
      </c>
      <c r="B31" s="458" t="s">
        <v>56</v>
      </c>
      <c r="C31" s="470" t="s">
        <v>90</v>
      </c>
      <c r="D31" s="460">
        <v>3</v>
      </c>
      <c r="E31" s="461" t="s">
        <v>145</v>
      </c>
      <c r="F31" s="471">
        <v>60.61</v>
      </c>
      <c r="G31" s="472">
        <v>13.84</v>
      </c>
      <c r="H31" s="473"/>
      <c r="I31" s="458">
        <f t="shared" si="1"/>
        <v>64.762</v>
      </c>
      <c r="J31" s="458" t="s">
        <v>258</v>
      </c>
      <c r="K31" s="458" t="s">
        <v>48</v>
      </c>
      <c r="L31" s="458" t="s">
        <v>48</v>
      </c>
      <c r="M31" s="464"/>
      <c r="N31" s="458"/>
      <c r="O31" s="465">
        <v>130000</v>
      </c>
      <c r="P31" s="465"/>
      <c r="Q31" s="458"/>
      <c r="R31" s="466">
        <f t="shared" si="0"/>
        <v>2007.3499891911924</v>
      </c>
      <c r="S31" s="467">
        <v>44321</v>
      </c>
      <c r="T31" s="458" t="s">
        <v>150</v>
      </c>
      <c r="U31" s="458"/>
      <c r="V31" s="473" t="s">
        <v>169</v>
      </c>
      <c r="W31" s="458"/>
      <c r="X31" s="458"/>
    </row>
    <row r="32" spans="1:24" s="469" customFormat="1">
      <c r="A32" s="458">
        <v>31</v>
      </c>
      <c r="B32" s="458" t="s">
        <v>57</v>
      </c>
      <c r="C32" s="459" t="s">
        <v>144</v>
      </c>
      <c r="D32" s="460">
        <v>3</v>
      </c>
      <c r="E32" s="461" t="s">
        <v>145</v>
      </c>
      <c r="F32" s="462">
        <v>46.01</v>
      </c>
      <c r="G32" s="463">
        <v>7.1</v>
      </c>
      <c r="H32" s="458"/>
      <c r="I32" s="458">
        <f t="shared" si="1"/>
        <v>48.14</v>
      </c>
      <c r="J32" s="458" t="s">
        <v>258</v>
      </c>
      <c r="K32" s="458" t="s">
        <v>48</v>
      </c>
      <c r="L32" s="458" t="s">
        <v>48</v>
      </c>
      <c r="M32" s="464"/>
      <c r="N32" s="458"/>
      <c r="O32" s="465">
        <v>125000</v>
      </c>
      <c r="P32" s="464" t="s">
        <v>513</v>
      </c>
      <c r="Q32" s="458"/>
      <c r="R32" s="466">
        <f t="shared" si="0"/>
        <v>2596.5932696302452</v>
      </c>
      <c r="S32" s="467">
        <v>44685</v>
      </c>
      <c r="T32" s="458" t="s">
        <v>150</v>
      </c>
      <c r="U32" s="458"/>
      <c r="V32" s="473" t="s">
        <v>170</v>
      </c>
      <c r="W32" s="458"/>
      <c r="X32" s="458"/>
    </row>
    <row r="33" spans="1:24" s="469" customFormat="1">
      <c r="A33" s="458">
        <v>32</v>
      </c>
      <c r="B33" s="458" t="s">
        <v>58</v>
      </c>
      <c r="C33" s="470" t="s">
        <v>90</v>
      </c>
      <c r="D33" s="460">
        <v>3</v>
      </c>
      <c r="E33" s="461" t="s">
        <v>145</v>
      </c>
      <c r="F33" s="471">
        <v>61.44</v>
      </c>
      <c r="G33" s="472">
        <v>13.61</v>
      </c>
      <c r="H33" s="473"/>
      <c r="I33" s="458">
        <f t="shared" si="1"/>
        <v>65.522999999999996</v>
      </c>
      <c r="J33" s="458" t="s">
        <v>258</v>
      </c>
      <c r="K33" s="458" t="s">
        <v>48</v>
      </c>
      <c r="L33" s="458" t="s">
        <v>48</v>
      </c>
      <c r="M33" s="464"/>
      <c r="N33" s="458"/>
      <c r="O33" s="474">
        <v>112500</v>
      </c>
      <c r="P33" s="474"/>
      <c r="Q33" s="458"/>
      <c r="R33" s="466">
        <f t="shared" si="0"/>
        <v>1716.9543519069641</v>
      </c>
      <c r="S33" s="467">
        <v>44117</v>
      </c>
      <c r="T33" s="458" t="s">
        <v>150</v>
      </c>
      <c r="U33" s="458"/>
      <c r="V33" s="473" t="s">
        <v>171</v>
      </c>
      <c r="W33" s="458"/>
      <c r="X33" s="458"/>
    </row>
    <row r="34" spans="1:24" s="469" customFormat="1">
      <c r="A34" s="458">
        <v>33</v>
      </c>
      <c r="B34" s="458" t="s">
        <v>59</v>
      </c>
      <c r="C34" s="470" t="s">
        <v>90</v>
      </c>
      <c r="D34" s="460">
        <v>3</v>
      </c>
      <c r="E34" s="461" t="s">
        <v>146</v>
      </c>
      <c r="F34" s="471">
        <v>61.12</v>
      </c>
      <c r="G34" s="472">
        <v>13.94</v>
      </c>
      <c r="H34" s="472"/>
      <c r="I34" s="458">
        <f t="shared" si="1"/>
        <v>65.301999999999992</v>
      </c>
      <c r="J34" s="458" t="s">
        <v>258</v>
      </c>
      <c r="K34" s="458" t="s">
        <v>48</v>
      </c>
      <c r="L34" s="458" t="s">
        <v>48</v>
      </c>
      <c r="M34" s="464"/>
      <c r="N34" s="458"/>
      <c r="O34" s="474">
        <v>112500</v>
      </c>
      <c r="P34" s="474"/>
      <c r="Q34" s="458"/>
      <c r="R34" s="466">
        <f t="shared" ref="R34:R60" si="2">O34/I34</f>
        <v>1722.7649995405961</v>
      </c>
      <c r="S34" s="467">
        <v>44105</v>
      </c>
      <c r="T34" s="458" t="s">
        <v>150</v>
      </c>
      <c r="U34" s="458"/>
      <c r="V34" s="472" t="s">
        <v>172</v>
      </c>
      <c r="W34" s="458"/>
      <c r="X34" s="458"/>
    </row>
    <row r="35" spans="1:24" s="469" customFormat="1">
      <c r="A35" s="458">
        <v>34</v>
      </c>
      <c r="B35" s="458" t="s">
        <v>61</v>
      </c>
      <c r="C35" s="470" t="s">
        <v>91</v>
      </c>
      <c r="D35" s="460">
        <v>3</v>
      </c>
      <c r="E35" s="461" t="s">
        <v>146</v>
      </c>
      <c r="F35" s="471">
        <v>89.64</v>
      </c>
      <c r="G35" s="472">
        <v>19.38</v>
      </c>
      <c r="H35" s="473"/>
      <c r="I35" s="458">
        <f t="shared" si="1"/>
        <v>95.453999999999994</v>
      </c>
      <c r="J35" s="458" t="s">
        <v>258</v>
      </c>
      <c r="K35" s="458" t="s">
        <v>48</v>
      </c>
      <c r="L35" s="458" t="s">
        <v>48</v>
      </c>
      <c r="M35" s="464"/>
      <c r="N35" s="458"/>
      <c r="O35" s="474">
        <v>205000</v>
      </c>
      <c r="P35" s="474"/>
      <c r="Q35" s="458"/>
      <c r="R35" s="466">
        <f t="shared" si="2"/>
        <v>2147.631319798018</v>
      </c>
      <c r="S35" s="467">
        <v>44306</v>
      </c>
      <c r="T35" s="458" t="s">
        <v>274</v>
      </c>
      <c r="U35" s="458"/>
      <c r="V35" s="473" t="s">
        <v>597</v>
      </c>
      <c r="W35" s="458"/>
      <c r="X35" s="458"/>
    </row>
    <row r="36" spans="1:24" s="469" customFormat="1">
      <c r="A36" s="458">
        <v>35</v>
      </c>
      <c r="B36" s="458" t="s">
        <v>62</v>
      </c>
      <c r="C36" s="470" t="s">
        <v>91</v>
      </c>
      <c r="D36" s="460">
        <v>3</v>
      </c>
      <c r="E36" s="461" t="s">
        <v>146</v>
      </c>
      <c r="F36" s="471">
        <v>89.84</v>
      </c>
      <c r="G36" s="472">
        <v>19.420000000000002</v>
      </c>
      <c r="H36" s="473"/>
      <c r="I36" s="458">
        <f t="shared" si="1"/>
        <v>95.665999999999997</v>
      </c>
      <c r="J36" s="458" t="s">
        <v>258</v>
      </c>
      <c r="K36" s="458" t="s">
        <v>48</v>
      </c>
      <c r="L36" s="458" t="s">
        <v>48</v>
      </c>
      <c r="M36" s="464"/>
      <c r="N36" s="458"/>
      <c r="O36" s="474">
        <v>205000</v>
      </c>
      <c r="P36" s="474"/>
      <c r="Q36" s="458"/>
      <c r="R36" s="466">
        <f t="shared" si="2"/>
        <v>2142.8720757635942</v>
      </c>
      <c r="S36" s="467">
        <v>44315</v>
      </c>
      <c r="T36" s="458" t="s">
        <v>274</v>
      </c>
      <c r="U36" s="458"/>
      <c r="V36" s="473" t="s">
        <v>598</v>
      </c>
      <c r="W36" s="458"/>
      <c r="X36" s="458"/>
    </row>
    <row r="37" spans="1:24" s="469" customFormat="1">
      <c r="A37" s="458">
        <v>36</v>
      </c>
      <c r="B37" s="458" t="s">
        <v>63</v>
      </c>
      <c r="C37" s="470" t="s">
        <v>89</v>
      </c>
      <c r="D37" s="460">
        <v>3</v>
      </c>
      <c r="E37" s="461" t="s">
        <v>146</v>
      </c>
      <c r="F37" s="471">
        <v>117.48</v>
      </c>
      <c r="G37" s="472"/>
      <c r="H37" s="472">
        <v>23.98</v>
      </c>
      <c r="I37" s="458">
        <f t="shared" si="1"/>
        <v>122.27600000000001</v>
      </c>
      <c r="J37" s="458" t="s">
        <v>258</v>
      </c>
      <c r="K37" s="458" t="s">
        <v>48</v>
      </c>
      <c r="L37" s="458" t="s">
        <v>48</v>
      </c>
      <c r="M37" s="464"/>
      <c r="N37" s="458"/>
      <c r="O37" s="465">
        <v>305000</v>
      </c>
      <c r="P37" s="464" t="s">
        <v>513</v>
      </c>
      <c r="Q37" s="458"/>
      <c r="R37" s="466">
        <f t="shared" si="2"/>
        <v>2494.3570283620661</v>
      </c>
      <c r="S37" s="467">
        <v>44678</v>
      </c>
      <c r="T37" s="458" t="s">
        <v>150</v>
      </c>
      <c r="U37" s="458"/>
      <c r="V37" s="472" t="s">
        <v>173</v>
      </c>
      <c r="W37" s="458"/>
      <c r="X37" s="458"/>
    </row>
    <row r="38" spans="1:24" s="469" customFormat="1">
      <c r="A38" s="458">
        <v>37</v>
      </c>
      <c r="B38" s="458" t="s">
        <v>64</v>
      </c>
      <c r="C38" s="470" t="s">
        <v>89</v>
      </c>
      <c r="D38" s="460">
        <v>3</v>
      </c>
      <c r="E38" s="461" t="s">
        <v>147</v>
      </c>
      <c r="F38" s="471">
        <v>135.91</v>
      </c>
      <c r="G38" s="472"/>
      <c r="H38" s="472">
        <v>50.81</v>
      </c>
      <c r="I38" s="458">
        <f t="shared" si="1"/>
        <v>146.072</v>
      </c>
      <c r="J38" s="458" t="s">
        <v>258</v>
      </c>
      <c r="K38" s="458" t="s">
        <v>48</v>
      </c>
      <c r="L38" s="458" t="s">
        <v>48</v>
      </c>
      <c r="M38" s="464"/>
      <c r="N38" s="458"/>
      <c r="O38" s="465">
        <v>266500</v>
      </c>
      <c r="P38" s="465"/>
      <c r="Q38" s="458"/>
      <c r="R38" s="466">
        <f t="shared" si="2"/>
        <v>1824.4427405662962</v>
      </c>
      <c r="S38" s="467">
        <v>44517</v>
      </c>
      <c r="T38" s="458" t="s">
        <v>274</v>
      </c>
      <c r="U38" s="458"/>
      <c r="V38" s="473" t="s">
        <v>17215</v>
      </c>
      <c r="W38" s="458"/>
      <c r="X38" s="458"/>
    </row>
    <row r="39" spans="1:24" s="469" customFormat="1">
      <c r="A39" s="458">
        <v>38</v>
      </c>
      <c r="B39" s="458" t="s">
        <v>65</v>
      </c>
      <c r="C39" s="459" t="s">
        <v>91</v>
      </c>
      <c r="D39" s="460">
        <v>3</v>
      </c>
      <c r="E39" s="461" t="s">
        <v>145</v>
      </c>
      <c r="F39" s="462">
        <v>90.99</v>
      </c>
      <c r="G39" s="463">
        <v>19.63</v>
      </c>
      <c r="H39" s="458"/>
      <c r="I39" s="458">
        <f t="shared" si="1"/>
        <v>96.878999999999991</v>
      </c>
      <c r="J39" s="458" t="s">
        <v>258</v>
      </c>
      <c r="K39" s="458" t="s">
        <v>48</v>
      </c>
      <c r="L39" s="458" t="s">
        <v>48</v>
      </c>
      <c r="M39" s="464"/>
      <c r="N39" s="458"/>
      <c r="O39" s="493">
        <v>245000</v>
      </c>
      <c r="P39" s="464" t="s">
        <v>513</v>
      </c>
      <c r="Q39" s="458"/>
      <c r="R39" s="466">
        <f t="shared" si="2"/>
        <v>2528.9278378183099</v>
      </c>
      <c r="S39" s="494">
        <v>44854</v>
      </c>
      <c r="T39" s="458" t="s">
        <v>150</v>
      </c>
      <c r="U39" s="458"/>
      <c r="V39" s="495" t="s">
        <v>231</v>
      </c>
      <c r="W39" s="458"/>
      <c r="X39" s="458"/>
    </row>
    <row r="40" spans="1:24" s="469" customFormat="1">
      <c r="A40" s="458">
        <v>39</v>
      </c>
      <c r="B40" s="458" t="s">
        <v>66</v>
      </c>
      <c r="C40" s="459" t="s">
        <v>90</v>
      </c>
      <c r="D40" s="460">
        <v>3</v>
      </c>
      <c r="E40" s="461" t="s">
        <v>145</v>
      </c>
      <c r="F40" s="462">
        <v>60.63</v>
      </c>
      <c r="G40" s="463">
        <v>14.16</v>
      </c>
      <c r="H40" s="458"/>
      <c r="I40" s="458">
        <f t="shared" si="1"/>
        <v>64.878</v>
      </c>
      <c r="J40" s="458" t="s">
        <v>258</v>
      </c>
      <c r="K40" s="458" t="s">
        <v>48</v>
      </c>
      <c r="L40" s="458" t="s">
        <v>48</v>
      </c>
      <c r="M40" s="464"/>
      <c r="N40" s="458"/>
      <c r="O40" s="465">
        <v>117500</v>
      </c>
      <c r="P40" s="465"/>
      <c r="Q40" s="458"/>
      <c r="R40" s="466">
        <f t="shared" si="2"/>
        <v>1811.0915872869077</v>
      </c>
      <c r="S40" s="467">
        <v>44186</v>
      </c>
      <c r="T40" s="458" t="s">
        <v>150</v>
      </c>
      <c r="U40" s="458"/>
      <c r="V40" s="472" t="s">
        <v>766</v>
      </c>
      <c r="W40" s="458"/>
      <c r="X40" s="458"/>
    </row>
    <row r="41" spans="1:24" s="469" customFormat="1">
      <c r="A41" s="458">
        <v>40</v>
      </c>
      <c r="B41" s="458" t="s">
        <v>67</v>
      </c>
      <c r="C41" s="470" t="s">
        <v>90</v>
      </c>
      <c r="D41" s="460">
        <v>4</v>
      </c>
      <c r="E41" s="461" t="s">
        <v>145</v>
      </c>
      <c r="F41" s="471">
        <v>60.61</v>
      </c>
      <c r="G41" s="472">
        <v>13.84</v>
      </c>
      <c r="H41" s="473"/>
      <c r="I41" s="458">
        <f t="shared" si="1"/>
        <v>64.762</v>
      </c>
      <c r="J41" s="458" t="s">
        <v>258</v>
      </c>
      <c r="K41" s="458" t="s">
        <v>48</v>
      </c>
      <c r="L41" s="458" t="s">
        <v>48</v>
      </c>
      <c r="M41" s="464"/>
      <c r="N41" s="458"/>
      <c r="O41" s="465">
        <v>137000</v>
      </c>
      <c r="P41" s="465"/>
      <c r="Q41" s="458"/>
      <c r="R41" s="466">
        <f t="shared" si="2"/>
        <v>2115.4380655322566</v>
      </c>
      <c r="S41" s="467">
        <v>44400</v>
      </c>
      <c r="T41" s="458" t="s">
        <v>150</v>
      </c>
      <c r="U41" s="458"/>
      <c r="V41" s="473" t="s">
        <v>175</v>
      </c>
      <c r="W41" s="458"/>
      <c r="X41" s="458"/>
    </row>
    <row r="42" spans="1:24" s="469" customFormat="1">
      <c r="A42" s="458">
        <v>41</v>
      </c>
      <c r="B42" s="458" t="s">
        <v>68</v>
      </c>
      <c r="C42" s="478" t="s">
        <v>144</v>
      </c>
      <c r="D42" s="460">
        <v>4</v>
      </c>
      <c r="E42" s="461" t="s">
        <v>145</v>
      </c>
      <c r="F42" s="462">
        <v>46.01</v>
      </c>
      <c r="G42" s="463">
        <v>7.1</v>
      </c>
      <c r="H42" s="458"/>
      <c r="I42" s="458">
        <f t="shared" si="1"/>
        <v>48.14</v>
      </c>
      <c r="J42" s="458" t="s">
        <v>258</v>
      </c>
      <c r="K42" s="458" t="s">
        <v>48</v>
      </c>
      <c r="L42" s="458" t="s">
        <v>48</v>
      </c>
      <c r="M42" s="464"/>
      <c r="N42" s="458"/>
      <c r="O42" s="465">
        <v>130000</v>
      </c>
      <c r="P42" s="464" t="s">
        <v>513</v>
      </c>
      <c r="Q42" s="458"/>
      <c r="R42" s="466">
        <f t="shared" si="2"/>
        <v>2700.4570004154548</v>
      </c>
      <c r="S42" s="467">
        <v>44700</v>
      </c>
      <c r="T42" s="458" t="s">
        <v>150</v>
      </c>
      <c r="U42" s="458"/>
      <c r="V42" s="473" t="s">
        <v>170</v>
      </c>
      <c r="W42" s="458"/>
      <c r="X42" s="458"/>
    </row>
    <row r="43" spans="1:24" s="469" customFormat="1">
      <c r="A43" s="458">
        <v>42</v>
      </c>
      <c r="B43" s="458" t="s">
        <v>69</v>
      </c>
      <c r="C43" s="478" t="s">
        <v>90</v>
      </c>
      <c r="D43" s="460">
        <v>4</v>
      </c>
      <c r="E43" s="461" t="s">
        <v>145</v>
      </c>
      <c r="F43" s="480">
        <v>61.44</v>
      </c>
      <c r="G43" s="481">
        <v>13.61</v>
      </c>
      <c r="H43" s="482"/>
      <c r="I43" s="458">
        <f t="shared" si="1"/>
        <v>65.522999999999996</v>
      </c>
      <c r="J43" s="458" t="s">
        <v>258</v>
      </c>
      <c r="K43" s="458" t="s">
        <v>48</v>
      </c>
      <c r="L43" s="458" t="s">
        <v>48</v>
      </c>
      <c r="M43" s="464"/>
      <c r="N43" s="458"/>
      <c r="O43" s="465">
        <v>133000</v>
      </c>
      <c r="P43" s="465">
        <f>O43*50%*4%</f>
        <v>2660</v>
      </c>
      <c r="Q43" s="458"/>
      <c r="R43" s="466">
        <f t="shared" si="2"/>
        <v>2029.8215893655663</v>
      </c>
      <c r="S43" s="467">
        <v>44231</v>
      </c>
      <c r="T43" s="458" t="s">
        <v>150</v>
      </c>
      <c r="U43" s="458"/>
      <c r="V43" s="473" t="s">
        <v>176</v>
      </c>
      <c r="W43" s="458"/>
      <c r="X43" s="458"/>
    </row>
    <row r="44" spans="1:24" s="469" customFormat="1">
      <c r="A44" s="458">
        <v>43</v>
      </c>
      <c r="B44" s="458" t="s">
        <v>70</v>
      </c>
      <c r="C44" s="478" t="s">
        <v>90</v>
      </c>
      <c r="D44" s="460">
        <v>4</v>
      </c>
      <c r="E44" s="461" t="s">
        <v>146</v>
      </c>
      <c r="F44" s="480">
        <v>61.12</v>
      </c>
      <c r="G44" s="481">
        <v>13.94</v>
      </c>
      <c r="H44" s="482"/>
      <c r="I44" s="458">
        <f t="shared" si="1"/>
        <v>65.301999999999992</v>
      </c>
      <c r="J44" s="458" t="s">
        <v>258</v>
      </c>
      <c r="K44" s="458" t="s">
        <v>48</v>
      </c>
      <c r="L44" s="458" t="s">
        <v>48</v>
      </c>
      <c r="M44" s="464"/>
      <c r="N44" s="458"/>
      <c r="O44" s="465">
        <v>115000</v>
      </c>
      <c r="P44" s="465"/>
      <c r="Q44" s="458"/>
      <c r="R44" s="466">
        <f t="shared" si="2"/>
        <v>1761.048666197054</v>
      </c>
      <c r="S44" s="467">
        <v>44154</v>
      </c>
      <c r="T44" s="458" t="s">
        <v>150</v>
      </c>
      <c r="U44" s="458"/>
      <c r="V44" s="473" t="s">
        <v>177</v>
      </c>
      <c r="W44" s="458"/>
      <c r="X44" s="458"/>
    </row>
    <row r="45" spans="1:24" s="469" customFormat="1">
      <c r="A45" s="458">
        <v>44</v>
      </c>
      <c r="B45" s="458" t="s">
        <v>71</v>
      </c>
      <c r="C45" s="478" t="s">
        <v>91</v>
      </c>
      <c r="D45" s="460">
        <v>4</v>
      </c>
      <c r="E45" s="461" t="s">
        <v>146</v>
      </c>
      <c r="F45" s="462">
        <v>89.64</v>
      </c>
      <c r="G45" s="463">
        <v>19.38</v>
      </c>
      <c r="H45" s="458"/>
      <c r="I45" s="458">
        <f t="shared" si="1"/>
        <v>95.453999999999994</v>
      </c>
      <c r="J45" s="458" t="s">
        <v>258</v>
      </c>
      <c r="K45" s="458" t="s">
        <v>48</v>
      </c>
      <c r="L45" s="458" t="s">
        <v>48</v>
      </c>
      <c r="M45" s="464"/>
      <c r="N45" s="458"/>
      <c r="O45" s="465">
        <v>250000</v>
      </c>
      <c r="P45" s="464" t="s">
        <v>513</v>
      </c>
      <c r="Q45" s="458"/>
      <c r="R45" s="466">
        <f t="shared" si="2"/>
        <v>2619.0625851195341</v>
      </c>
      <c r="S45" s="479">
        <v>44802</v>
      </c>
      <c r="T45" s="458" t="s">
        <v>150</v>
      </c>
      <c r="U45" s="458"/>
      <c r="V45" s="468" t="s">
        <v>194</v>
      </c>
      <c r="W45" s="458"/>
      <c r="X45" s="458"/>
    </row>
    <row r="46" spans="1:24" s="469" customFormat="1">
      <c r="A46" s="458">
        <v>45</v>
      </c>
      <c r="B46" s="458" t="s">
        <v>73</v>
      </c>
      <c r="C46" s="478" t="s">
        <v>91</v>
      </c>
      <c r="D46" s="460">
        <v>4</v>
      </c>
      <c r="E46" s="461" t="s">
        <v>146</v>
      </c>
      <c r="F46" s="462">
        <v>89.84</v>
      </c>
      <c r="G46" s="463">
        <v>19.420000000000002</v>
      </c>
      <c r="H46" s="458"/>
      <c r="I46" s="458">
        <f t="shared" si="1"/>
        <v>95.665999999999997</v>
      </c>
      <c r="J46" s="458" t="s">
        <v>258</v>
      </c>
      <c r="K46" s="458" t="s">
        <v>48</v>
      </c>
      <c r="L46" s="458" t="s">
        <v>48</v>
      </c>
      <c r="M46" s="464"/>
      <c r="N46" s="458"/>
      <c r="O46" s="465">
        <v>220000</v>
      </c>
      <c r="P46" s="465"/>
      <c r="Q46" s="458"/>
      <c r="R46" s="466">
        <f t="shared" si="2"/>
        <v>2299.6675935023936</v>
      </c>
      <c r="S46" s="467">
        <v>44358</v>
      </c>
      <c r="T46" s="458" t="s">
        <v>150</v>
      </c>
      <c r="U46" s="458"/>
      <c r="V46" s="473" t="s">
        <v>178</v>
      </c>
      <c r="W46" s="458"/>
      <c r="X46" s="458"/>
    </row>
    <row r="47" spans="1:24" s="469" customFormat="1">
      <c r="A47" s="458">
        <v>46</v>
      </c>
      <c r="B47" s="458" t="s">
        <v>75</v>
      </c>
      <c r="C47" s="478" t="s">
        <v>89</v>
      </c>
      <c r="D47" s="460">
        <v>4</v>
      </c>
      <c r="E47" s="461" t="s">
        <v>146</v>
      </c>
      <c r="F47" s="462">
        <v>117.48</v>
      </c>
      <c r="G47" s="463"/>
      <c r="H47" s="463">
        <v>23.98</v>
      </c>
      <c r="I47" s="458">
        <f t="shared" si="1"/>
        <v>122.27600000000001</v>
      </c>
      <c r="J47" s="458" t="s">
        <v>258</v>
      </c>
      <c r="K47" s="458" t="s">
        <v>48</v>
      </c>
      <c r="L47" s="458" t="s">
        <v>48</v>
      </c>
      <c r="M47" s="464"/>
      <c r="N47" s="458"/>
      <c r="O47" s="465">
        <v>312500</v>
      </c>
      <c r="P47" s="464" t="s">
        <v>513</v>
      </c>
      <c r="Q47" s="458"/>
      <c r="R47" s="466">
        <f t="shared" si="2"/>
        <v>2555.6936766004774</v>
      </c>
      <c r="S47" s="467">
        <v>44756</v>
      </c>
      <c r="T47" s="458" t="s">
        <v>247</v>
      </c>
      <c r="U47" s="458"/>
      <c r="V47" s="473" t="s">
        <v>179</v>
      </c>
      <c r="W47" s="458"/>
      <c r="X47" s="458"/>
    </row>
    <row r="48" spans="1:24" s="469" customFormat="1">
      <c r="A48" s="458">
        <v>47</v>
      </c>
      <c r="B48" s="458" t="s">
        <v>76</v>
      </c>
      <c r="C48" s="478" t="s">
        <v>89</v>
      </c>
      <c r="D48" s="460">
        <v>4</v>
      </c>
      <c r="E48" s="461" t="s">
        <v>147</v>
      </c>
      <c r="F48" s="462">
        <v>135.91</v>
      </c>
      <c r="G48" s="463"/>
      <c r="H48" s="463">
        <v>50.81</v>
      </c>
      <c r="I48" s="458">
        <f t="shared" si="1"/>
        <v>146.072</v>
      </c>
      <c r="J48" s="458" t="s">
        <v>258</v>
      </c>
      <c r="K48" s="458" t="s">
        <v>48</v>
      </c>
      <c r="L48" s="458" t="s">
        <v>48</v>
      </c>
      <c r="M48" s="464"/>
      <c r="N48" s="458"/>
      <c r="O48" s="465">
        <v>300000</v>
      </c>
      <c r="P48" s="465"/>
      <c r="Q48" s="458"/>
      <c r="R48" s="466">
        <f t="shared" si="2"/>
        <v>2053.7816966975188</v>
      </c>
      <c r="S48" s="467">
        <v>44411</v>
      </c>
      <c r="T48" s="458" t="s">
        <v>150</v>
      </c>
      <c r="U48" s="458"/>
      <c r="V48" s="473" t="s">
        <v>180</v>
      </c>
      <c r="W48" s="458"/>
      <c r="X48" s="458"/>
    </row>
    <row r="49" spans="1:24" s="469" customFormat="1">
      <c r="A49" s="458">
        <v>48</v>
      </c>
      <c r="B49" s="458" t="s">
        <v>77</v>
      </c>
      <c r="C49" s="470" t="s">
        <v>91</v>
      </c>
      <c r="D49" s="460">
        <v>4</v>
      </c>
      <c r="E49" s="461" t="s">
        <v>145</v>
      </c>
      <c r="F49" s="471">
        <v>90.99</v>
      </c>
      <c r="G49" s="472">
        <v>19.63</v>
      </c>
      <c r="H49" s="473"/>
      <c r="I49" s="458">
        <f t="shared" si="1"/>
        <v>96.878999999999991</v>
      </c>
      <c r="J49" s="458" t="s">
        <v>258</v>
      </c>
      <c r="K49" s="458" t="s">
        <v>48</v>
      </c>
      <c r="L49" s="458" t="s">
        <v>48</v>
      </c>
      <c r="M49" s="464"/>
      <c r="N49" s="458"/>
      <c r="O49" s="465">
        <v>217000</v>
      </c>
      <c r="P49" s="465"/>
      <c r="Q49" s="458"/>
      <c r="R49" s="466">
        <f t="shared" si="2"/>
        <v>2239.9075134962172</v>
      </c>
      <c r="S49" s="467">
        <v>44489</v>
      </c>
      <c r="T49" s="458" t="s">
        <v>150</v>
      </c>
      <c r="U49" s="458"/>
      <c r="V49" s="473" t="s">
        <v>181</v>
      </c>
      <c r="W49" s="458"/>
      <c r="X49" s="458"/>
    </row>
    <row r="50" spans="1:24" s="469" customFormat="1">
      <c r="A50" s="458">
        <v>49</v>
      </c>
      <c r="B50" s="458" t="s">
        <v>78</v>
      </c>
      <c r="C50" s="470" t="s">
        <v>90</v>
      </c>
      <c r="D50" s="460">
        <v>4</v>
      </c>
      <c r="E50" s="461" t="s">
        <v>145</v>
      </c>
      <c r="F50" s="471">
        <v>60.63</v>
      </c>
      <c r="G50" s="472">
        <v>14.16</v>
      </c>
      <c r="H50" s="473"/>
      <c r="I50" s="458">
        <f t="shared" si="1"/>
        <v>64.878</v>
      </c>
      <c r="J50" s="458" t="s">
        <v>258</v>
      </c>
      <c r="K50" s="458" t="s">
        <v>48</v>
      </c>
      <c r="L50" s="458" t="s">
        <v>48</v>
      </c>
      <c r="M50" s="464"/>
      <c r="N50" s="458"/>
      <c r="O50" s="474">
        <v>140000</v>
      </c>
      <c r="P50" s="474"/>
      <c r="Q50" s="458"/>
      <c r="R50" s="466">
        <f t="shared" si="2"/>
        <v>2157.8963593205708</v>
      </c>
      <c r="S50" s="467">
        <v>44483</v>
      </c>
      <c r="T50" s="458" t="s">
        <v>150</v>
      </c>
      <c r="U50" s="458"/>
      <c r="V50" s="472" t="s">
        <v>182</v>
      </c>
      <c r="W50" s="458"/>
      <c r="X50" s="458"/>
    </row>
    <row r="51" spans="1:24" s="469" customFormat="1">
      <c r="A51" s="458">
        <v>50</v>
      </c>
      <c r="B51" s="458" t="s">
        <v>79</v>
      </c>
      <c r="C51" s="478" t="s">
        <v>90</v>
      </c>
      <c r="D51" s="460">
        <v>5</v>
      </c>
      <c r="E51" s="461" t="s">
        <v>145</v>
      </c>
      <c r="F51" s="462">
        <v>60.61</v>
      </c>
      <c r="G51" s="463">
        <v>13.84</v>
      </c>
      <c r="H51" s="458"/>
      <c r="I51" s="458">
        <f t="shared" si="1"/>
        <v>64.762</v>
      </c>
      <c r="J51" s="458" t="s">
        <v>258</v>
      </c>
      <c r="K51" s="458" t="s">
        <v>48</v>
      </c>
      <c r="L51" s="458" t="s">
        <v>48</v>
      </c>
      <c r="M51" s="464"/>
      <c r="N51" s="458"/>
      <c r="O51" s="474">
        <v>143000</v>
      </c>
      <c r="P51" s="474"/>
      <c r="Q51" s="458"/>
      <c r="R51" s="466">
        <f t="shared" si="2"/>
        <v>2208.0849881103118</v>
      </c>
      <c r="S51" s="467">
        <v>44456</v>
      </c>
      <c r="T51" s="458" t="s">
        <v>150</v>
      </c>
      <c r="U51" s="458"/>
      <c r="V51" s="473" t="s">
        <v>183</v>
      </c>
      <c r="W51" s="458"/>
      <c r="X51" s="458"/>
    </row>
    <row r="52" spans="1:24" s="469" customFormat="1">
      <c r="A52" s="458">
        <v>51</v>
      </c>
      <c r="B52" s="458" t="s">
        <v>80</v>
      </c>
      <c r="C52" s="478" t="s">
        <v>144</v>
      </c>
      <c r="D52" s="460">
        <v>5</v>
      </c>
      <c r="E52" s="461" t="s">
        <v>145</v>
      </c>
      <c r="F52" s="462">
        <v>46.01</v>
      </c>
      <c r="G52" s="463">
        <v>7.1</v>
      </c>
      <c r="H52" s="458"/>
      <c r="I52" s="458">
        <f t="shared" si="1"/>
        <v>48.14</v>
      </c>
      <c r="J52" s="458" t="s">
        <v>258</v>
      </c>
      <c r="K52" s="458" t="s">
        <v>48</v>
      </c>
      <c r="L52" s="458" t="s">
        <v>48</v>
      </c>
      <c r="M52" s="464">
        <v>145000</v>
      </c>
      <c r="N52" s="458"/>
      <c r="O52" s="464">
        <v>142000</v>
      </c>
      <c r="P52" s="464" t="s">
        <v>513</v>
      </c>
      <c r="Q52" s="458"/>
      <c r="R52" s="466">
        <f t="shared" si="2"/>
        <v>2949.7299542999585</v>
      </c>
      <c r="S52" s="485">
        <v>44810</v>
      </c>
      <c r="T52" s="458" t="s">
        <v>150</v>
      </c>
      <c r="U52" s="458"/>
      <c r="V52" s="534" t="s">
        <v>208</v>
      </c>
      <c r="W52" s="458"/>
      <c r="X52" s="458"/>
    </row>
    <row r="53" spans="1:24" s="469" customFormat="1">
      <c r="A53" s="458">
        <v>52</v>
      </c>
      <c r="B53" s="458" t="s">
        <v>81</v>
      </c>
      <c r="C53" s="478" t="s">
        <v>90</v>
      </c>
      <c r="D53" s="460">
        <v>5</v>
      </c>
      <c r="E53" s="461" t="s">
        <v>145</v>
      </c>
      <c r="F53" s="480">
        <v>61.44</v>
      </c>
      <c r="G53" s="481">
        <v>13.61</v>
      </c>
      <c r="H53" s="482"/>
      <c r="I53" s="458">
        <f t="shared" si="1"/>
        <v>65.522999999999996</v>
      </c>
      <c r="J53" s="458" t="s">
        <v>258</v>
      </c>
      <c r="K53" s="458" t="s">
        <v>48</v>
      </c>
      <c r="L53" s="458" t="s">
        <v>48</v>
      </c>
      <c r="M53" s="464"/>
      <c r="N53" s="458"/>
      <c r="O53" s="465">
        <v>117500</v>
      </c>
      <c r="P53" s="465"/>
      <c r="Q53" s="458"/>
      <c r="R53" s="466">
        <f t="shared" si="2"/>
        <v>1793.2634342139402</v>
      </c>
      <c r="S53" s="467">
        <v>44099</v>
      </c>
      <c r="T53" s="458" t="s">
        <v>150</v>
      </c>
      <c r="U53" s="458"/>
      <c r="V53" s="473" t="s">
        <v>184</v>
      </c>
      <c r="W53" s="458"/>
      <c r="X53" s="458"/>
    </row>
    <row r="54" spans="1:24" s="469" customFormat="1">
      <c r="A54" s="458">
        <v>53</v>
      </c>
      <c r="B54" s="458" t="s">
        <v>82</v>
      </c>
      <c r="C54" s="478" t="s">
        <v>90</v>
      </c>
      <c r="D54" s="460">
        <v>5</v>
      </c>
      <c r="E54" s="461" t="s">
        <v>146</v>
      </c>
      <c r="F54" s="480">
        <v>61.12</v>
      </c>
      <c r="G54" s="481">
        <v>13.94</v>
      </c>
      <c r="H54" s="482"/>
      <c r="I54" s="458">
        <f t="shared" si="1"/>
        <v>65.301999999999992</v>
      </c>
      <c r="J54" s="458" t="s">
        <v>258</v>
      </c>
      <c r="K54" s="458" t="s">
        <v>48</v>
      </c>
      <c r="L54" s="458" t="s">
        <v>48</v>
      </c>
      <c r="M54" s="464"/>
      <c r="N54" s="458"/>
      <c r="O54" s="465">
        <v>117500</v>
      </c>
      <c r="P54" s="465"/>
      <c r="Q54" s="458"/>
      <c r="R54" s="466">
        <f t="shared" si="2"/>
        <v>1799.3323328535116</v>
      </c>
      <c r="S54" s="467">
        <v>44127</v>
      </c>
      <c r="T54" s="458" t="s">
        <v>150</v>
      </c>
      <c r="U54" s="458"/>
      <c r="V54" s="473" t="s">
        <v>185</v>
      </c>
      <c r="W54" s="458"/>
      <c r="X54" s="458"/>
    </row>
    <row r="55" spans="1:24" s="469" customFormat="1">
      <c r="A55" s="458">
        <v>54</v>
      </c>
      <c r="B55" s="458" t="s">
        <v>83</v>
      </c>
      <c r="C55" s="478" t="s">
        <v>91</v>
      </c>
      <c r="D55" s="460">
        <v>5</v>
      </c>
      <c r="E55" s="461" t="s">
        <v>146</v>
      </c>
      <c r="F55" s="462">
        <v>89.64</v>
      </c>
      <c r="G55" s="463">
        <v>19.38</v>
      </c>
      <c r="H55" s="458"/>
      <c r="I55" s="458">
        <f t="shared" si="1"/>
        <v>95.453999999999994</v>
      </c>
      <c r="J55" s="458" t="s">
        <v>258</v>
      </c>
      <c r="K55" s="458" t="s">
        <v>48</v>
      </c>
      <c r="L55" s="458" t="s">
        <v>48</v>
      </c>
      <c r="M55" s="464"/>
      <c r="N55" s="458"/>
      <c r="O55" s="465">
        <v>225000</v>
      </c>
      <c r="P55" s="465"/>
      <c r="Q55" s="458"/>
      <c r="R55" s="466">
        <f t="shared" si="2"/>
        <v>2357.1563266075809</v>
      </c>
      <c r="S55" s="472" t="s">
        <v>148</v>
      </c>
      <c r="T55" s="458" t="s">
        <v>150</v>
      </c>
      <c r="U55" s="458"/>
      <c r="V55" s="473" t="s">
        <v>186</v>
      </c>
      <c r="W55" s="458"/>
      <c r="X55" s="458"/>
    </row>
    <row r="56" spans="1:24" s="469" customFormat="1">
      <c r="A56" s="458">
        <v>55</v>
      </c>
      <c r="B56" s="458" t="s">
        <v>84</v>
      </c>
      <c r="C56" s="478" t="s">
        <v>91</v>
      </c>
      <c r="D56" s="460">
        <v>5</v>
      </c>
      <c r="E56" s="461" t="s">
        <v>146</v>
      </c>
      <c r="F56" s="462">
        <v>89.84</v>
      </c>
      <c r="G56" s="463">
        <v>19.420000000000002</v>
      </c>
      <c r="H56" s="458"/>
      <c r="I56" s="458">
        <f t="shared" si="1"/>
        <v>95.665999999999997</v>
      </c>
      <c r="J56" s="458" t="s">
        <v>258</v>
      </c>
      <c r="K56" s="458" t="s">
        <v>48</v>
      </c>
      <c r="L56" s="458" t="s">
        <v>48</v>
      </c>
      <c r="M56" s="464"/>
      <c r="N56" s="458"/>
      <c r="O56" s="474">
        <v>215000</v>
      </c>
      <c r="P56" s="474"/>
      <c r="Q56" s="458"/>
      <c r="R56" s="466">
        <f t="shared" si="2"/>
        <v>2247.4024209227941</v>
      </c>
      <c r="S56" s="467">
        <v>44308</v>
      </c>
      <c r="T56" s="458" t="s">
        <v>150</v>
      </c>
      <c r="U56" s="458"/>
      <c r="V56" s="472" t="s">
        <v>187</v>
      </c>
      <c r="W56" s="458"/>
      <c r="X56" s="458"/>
    </row>
    <row r="57" spans="1:24" s="469" customFormat="1">
      <c r="A57" s="458">
        <v>56</v>
      </c>
      <c r="B57" s="458" t="s">
        <v>85</v>
      </c>
      <c r="C57" s="478" t="s">
        <v>89</v>
      </c>
      <c r="D57" s="460">
        <v>5</v>
      </c>
      <c r="E57" s="461" t="s">
        <v>146</v>
      </c>
      <c r="F57" s="462">
        <v>117.48</v>
      </c>
      <c r="G57" s="463"/>
      <c r="H57" s="463">
        <v>23.98</v>
      </c>
      <c r="I57" s="458">
        <f t="shared" si="1"/>
        <v>122.27600000000001</v>
      </c>
      <c r="J57" s="458" t="s">
        <v>258</v>
      </c>
      <c r="K57" s="458" t="s">
        <v>48</v>
      </c>
      <c r="L57" s="458" t="s">
        <v>48</v>
      </c>
      <c r="M57" s="464">
        <v>330000</v>
      </c>
      <c r="N57" s="458"/>
      <c r="O57" s="524">
        <v>325000</v>
      </c>
      <c r="P57" s="464" t="s">
        <v>513</v>
      </c>
      <c r="Q57" s="458"/>
      <c r="R57" s="466">
        <f t="shared" si="2"/>
        <v>2657.9214236644966</v>
      </c>
      <c r="S57" s="494">
        <v>44823</v>
      </c>
      <c r="T57" s="458" t="s">
        <v>150</v>
      </c>
      <c r="U57" s="458"/>
      <c r="V57" s="525" t="s">
        <v>211</v>
      </c>
      <c r="W57" s="458"/>
      <c r="X57" s="458"/>
    </row>
    <row r="58" spans="1:24" s="469" customFormat="1">
      <c r="A58" s="458">
        <v>57</v>
      </c>
      <c r="B58" s="458" t="s">
        <v>87</v>
      </c>
      <c r="C58" s="478" t="s">
        <v>89</v>
      </c>
      <c r="D58" s="460">
        <v>5</v>
      </c>
      <c r="E58" s="461" t="s">
        <v>147</v>
      </c>
      <c r="F58" s="462">
        <v>135.91</v>
      </c>
      <c r="G58" s="463"/>
      <c r="H58" s="463">
        <v>50.81</v>
      </c>
      <c r="I58" s="458">
        <f t="shared" si="1"/>
        <v>146.072</v>
      </c>
      <c r="J58" s="458" t="s">
        <v>258</v>
      </c>
      <c r="K58" s="458" t="s">
        <v>48</v>
      </c>
      <c r="L58" s="458" t="s">
        <v>48</v>
      </c>
      <c r="M58" s="464"/>
      <c r="N58" s="458"/>
      <c r="O58" s="465">
        <v>298000</v>
      </c>
      <c r="P58" s="465"/>
      <c r="Q58" s="458"/>
      <c r="R58" s="466">
        <f t="shared" si="2"/>
        <v>2040.0898187195355</v>
      </c>
      <c r="S58" s="472" t="s">
        <v>149</v>
      </c>
      <c r="T58" s="458" t="s">
        <v>274</v>
      </c>
      <c r="U58" s="458"/>
      <c r="V58" s="473" t="s">
        <v>188</v>
      </c>
      <c r="W58" s="458"/>
      <c r="X58" s="458"/>
    </row>
    <row r="59" spans="1:24" s="469" customFormat="1">
      <c r="A59" s="458">
        <v>58</v>
      </c>
      <c r="B59" s="458" t="s">
        <v>88</v>
      </c>
      <c r="C59" s="478" t="s">
        <v>91</v>
      </c>
      <c r="D59" s="460">
        <v>5</v>
      </c>
      <c r="E59" s="461" t="s">
        <v>145</v>
      </c>
      <c r="F59" s="462">
        <v>90.99</v>
      </c>
      <c r="G59" s="463">
        <v>19.63</v>
      </c>
      <c r="H59" s="458"/>
      <c r="I59" s="458">
        <f t="shared" si="1"/>
        <v>96.878999999999991</v>
      </c>
      <c r="J59" s="458" t="s">
        <v>258</v>
      </c>
      <c r="K59" s="458" t="s">
        <v>48</v>
      </c>
      <c r="L59" s="458" t="s">
        <v>48</v>
      </c>
      <c r="M59" s="464">
        <v>255000</v>
      </c>
      <c r="N59" s="458"/>
      <c r="O59" s="493">
        <v>255000</v>
      </c>
      <c r="P59" s="464" t="s">
        <v>513</v>
      </c>
      <c r="Q59" s="458"/>
      <c r="R59" s="466">
        <f t="shared" si="2"/>
        <v>2632.1493822190569</v>
      </c>
      <c r="S59" s="494">
        <v>44900</v>
      </c>
      <c r="T59" s="458" t="s">
        <v>150</v>
      </c>
      <c r="U59" s="458"/>
      <c r="V59" s="495" t="s">
        <v>292</v>
      </c>
      <c r="W59" s="458"/>
      <c r="X59" s="458"/>
    </row>
    <row r="60" spans="1:24" s="469" customFormat="1">
      <c r="A60" s="458">
        <v>59</v>
      </c>
      <c r="B60" s="458" t="s">
        <v>143</v>
      </c>
      <c r="C60" s="478" t="s">
        <v>90</v>
      </c>
      <c r="D60" s="460">
        <v>5</v>
      </c>
      <c r="E60" s="461" t="s">
        <v>145</v>
      </c>
      <c r="F60" s="483">
        <v>60.63</v>
      </c>
      <c r="G60" s="484">
        <v>14.16</v>
      </c>
      <c r="H60" s="482"/>
      <c r="I60" s="458">
        <f t="shared" si="1"/>
        <v>64.878</v>
      </c>
      <c r="J60" s="458" t="s">
        <v>258</v>
      </c>
      <c r="K60" s="458" t="s">
        <v>48</v>
      </c>
      <c r="L60" s="458" t="s">
        <v>48</v>
      </c>
      <c r="M60" s="464"/>
      <c r="N60" s="458"/>
      <c r="O60" s="474">
        <v>117500</v>
      </c>
      <c r="P60" s="474"/>
      <c r="Q60" s="458"/>
      <c r="R60" s="466">
        <f t="shared" si="2"/>
        <v>1811.0915872869077</v>
      </c>
      <c r="S60" s="467">
        <v>44145</v>
      </c>
      <c r="T60" s="458" t="s">
        <v>150</v>
      </c>
      <c r="U60" s="458"/>
      <c r="V60" s="473" t="s">
        <v>189</v>
      </c>
      <c r="W60" s="458"/>
      <c r="X60" s="458"/>
    </row>
    <row r="61" spans="1:24" ht="13.5" thickBot="1">
      <c r="I61" s="136">
        <f>SUM(I2:I60)</f>
        <v>4976.2860000000001</v>
      </c>
    </row>
    <row r="62" spans="1:24">
      <c r="A62" s="46"/>
      <c r="B62" s="47"/>
      <c r="C62" s="48" t="s">
        <v>139</v>
      </c>
      <c r="D62" s="48" t="s">
        <v>140</v>
      </c>
      <c r="E62" s="49" t="s">
        <v>17</v>
      </c>
      <c r="F62" s="3"/>
      <c r="G62" s="1915" t="s">
        <v>289</v>
      </c>
      <c r="H62" s="1916"/>
    </row>
    <row r="63" spans="1:24">
      <c r="A63" s="1903" t="s">
        <v>258</v>
      </c>
      <c r="B63" s="1904"/>
      <c r="C63" s="50">
        <f>COUNTIF(J2:J60,A63)</f>
        <v>59</v>
      </c>
      <c r="D63" s="51">
        <f>SUMIF(J2:J60,A63,O2:O60)</f>
        <v>10446500</v>
      </c>
      <c r="E63" s="52">
        <f>AVERAGEIF(J2:J60,A63,R2:R60)</f>
        <v>2073.2988646018948</v>
      </c>
      <c r="F63" s="3"/>
      <c r="G63" s="225">
        <v>2020</v>
      </c>
      <c r="H63" s="227">
        <f>COUNTIFS(S2:S60,"&gt;="&amp;DATE(2020,1,1),S2:S60,"&lt;="&amp;DATE(2020,12,31))</f>
        <v>20</v>
      </c>
    </row>
    <row r="64" spans="1:24">
      <c r="A64" s="1905" t="s">
        <v>102</v>
      </c>
      <c r="B64" s="1906"/>
      <c r="C64" s="53">
        <f>COUNTIF(J2:J60,A64)</f>
        <v>0</v>
      </c>
      <c r="D64" s="54">
        <f>SUMIF(J2:J60,A64,O2:O60)</f>
        <v>0</v>
      </c>
      <c r="E64" s="55"/>
      <c r="F64" s="3"/>
      <c r="G64" s="225">
        <v>2021</v>
      </c>
      <c r="H64" s="227">
        <f>COUNTIFS(S2:S60,"&gt;="&amp;DATE(2021,1,1),S2:S60,"&lt;="&amp;DATE(2021,12,31))</f>
        <v>22</v>
      </c>
      <c r="S64" s="137"/>
      <c r="T64" s="137"/>
      <c r="U64" s="137"/>
    </row>
    <row r="65" spans="1:21" ht="13.5" thickBot="1">
      <c r="A65" s="1907" t="s">
        <v>138</v>
      </c>
      <c r="B65" s="1908"/>
      <c r="C65" s="56">
        <f>COUNTIF(J2:J60,"")</f>
        <v>0</v>
      </c>
      <c r="D65" s="57">
        <f>SUMIF(J2:J60,"",O2:O60)</f>
        <v>0</v>
      </c>
      <c r="E65" s="58" t="e">
        <f>AVERAGEIF(J2:J60,"",R2:R60)</f>
        <v>#DIV/0!</v>
      </c>
      <c r="F65" s="3"/>
      <c r="G65" s="226">
        <v>2022</v>
      </c>
      <c r="H65" s="216">
        <f>COUNTIFS(S2:S60,"&gt;="&amp;DATE(2022,1,1),S2:S60,"&lt;="&amp;DATE(2022,12,31))</f>
        <v>13</v>
      </c>
    </row>
    <row r="66" spans="1:21" ht="13.5" thickBot="1">
      <c r="A66" s="2103" t="s">
        <v>269</v>
      </c>
      <c r="B66" s="2104"/>
      <c r="C66" s="116">
        <f>SUBTOTAL(9,C62:C65)</f>
        <v>59</v>
      </c>
      <c r="D66" s="117">
        <f>SUM(D63:D65)</f>
        <v>10446500</v>
      </c>
      <c r="E66" s="118">
        <f>D66/I61</f>
        <v>2099.2563530311563</v>
      </c>
      <c r="F66" s="3"/>
      <c r="G66" s="3"/>
      <c r="H66" s="3"/>
    </row>
    <row r="67" spans="1:21" ht="13.5" thickBot="1">
      <c r="A67" s="3"/>
      <c r="B67" s="3"/>
      <c r="C67" s="3"/>
      <c r="D67" s="3"/>
      <c r="E67" s="3"/>
      <c r="F67" s="3"/>
      <c r="G67" s="3"/>
      <c r="H67" s="3"/>
      <c r="S67" s="137"/>
    </row>
    <row r="68" spans="1:21" ht="13.5" thickBot="1">
      <c r="A68" s="1893" t="s">
        <v>139</v>
      </c>
      <c r="B68" s="1894"/>
      <c r="C68" s="62" t="s">
        <v>144</v>
      </c>
      <c r="D68" s="62" t="s">
        <v>90</v>
      </c>
      <c r="E68" s="62" t="s">
        <v>91</v>
      </c>
      <c r="F68" s="62" t="s">
        <v>89</v>
      </c>
      <c r="G68" s="49" t="s">
        <v>141</v>
      </c>
      <c r="J68" s="137"/>
      <c r="K68" s="137"/>
      <c r="L68" s="137"/>
      <c r="M68" s="125"/>
      <c r="N68" s="137"/>
      <c r="O68" s="125"/>
      <c r="P68" s="125"/>
      <c r="T68" s="137"/>
    </row>
    <row r="69" spans="1:21">
      <c r="A69" s="2099" t="s">
        <v>258</v>
      </c>
      <c r="B69" s="2102"/>
      <c r="C69" s="63">
        <f>COUNTIFS(J2:J60,A69,C2:C60,C68)</f>
        <v>7</v>
      </c>
      <c r="D69" s="63">
        <f>COUNTIFS(J2:J60,A69,C2:C60,D68)</f>
        <v>26</v>
      </c>
      <c r="E69" s="63">
        <f>COUNTIFS(J2:J60,A69,C2:C60,E68)</f>
        <v>14</v>
      </c>
      <c r="F69" s="63">
        <f>COUNTIFS(J2:J60,A69,C2:C60,F68)</f>
        <v>12</v>
      </c>
      <c r="G69" s="64">
        <f>SUM(C69:F69)</f>
        <v>59</v>
      </c>
      <c r="J69" s="137"/>
      <c r="K69" s="137"/>
      <c r="L69" s="137"/>
      <c r="M69" s="125"/>
      <c r="N69" s="137"/>
      <c r="O69" s="125"/>
      <c r="P69" s="125"/>
      <c r="S69" s="137"/>
      <c r="T69" s="137"/>
    </row>
    <row r="70" spans="1:21">
      <c r="A70" s="1905" t="s">
        <v>102</v>
      </c>
      <c r="B70" s="1911"/>
      <c r="C70" s="65">
        <f>COUNTIFS(J2:J60,A70,C2:C60,C68)</f>
        <v>0</v>
      </c>
      <c r="D70" s="65">
        <f>COUNTIFS(J2:J60,A70,C2:C60,D68)</f>
        <v>0</v>
      </c>
      <c r="E70" s="65">
        <f>COUNTIFS(J2:J60,A70,C2:C60,E68)</f>
        <v>0</v>
      </c>
      <c r="F70" s="65">
        <f>COUNTIFS(J2:J60,A70,C2:C60,F68)</f>
        <v>0</v>
      </c>
      <c r="G70" s="66">
        <f>SUM(C70:F70)</f>
        <v>0</v>
      </c>
      <c r="J70" s="137"/>
      <c r="K70" s="137"/>
      <c r="L70" s="137"/>
      <c r="M70" s="125"/>
      <c r="N70" s="137"/>
      <c r="O70" s="125"/>
      <c r="P70" s="125"/>
      <c r="S70" s="137"/>
      <c r="T70" s="137"/>
    </row>
    <row r="71" spans="1:21" ht="15.75" customHeight="1" thickBot="1">
      <c r="A71" s="1907" t="s">
        <v>138</v>
      </c>
      <c r="B71" s="1912"/>
      <c r="C71" s="67">
        <f>COUNTIFS(J2:J60,"",C2:C60,C68)</f>
        <v>0</v>
      </c>
      <c r="D71" s="67">
        <f>COUNTIFS(J2:J60,"",C2:C60,D68)</f>
        <v>0</v>
      </c>
      <c r="E71" s="67">
        <f>COUNTIFS(J2:J60,"",C2:C60,E68)</f>
        <v>0</v>
      </c>
      <c r="F71" s="67">
        <f>COUNTIFS(J2:J60,"",C2:C60,F68)</f>
        <v>0</v>
      </c>
      <c r="G71" s="68">
        <f>SUM(C71:F71)</f>
        <v>0</v>
      </c>
      <c r="J71" s="304"/>
      <c r="K71" s="304"/>
      <c r="L71" s="304"/>
      <c r="M71" s="304"/>
      <c r="N71" s="304"/>
      <c r="O71" s="304"/>
      <c r="P71" s="125"/>
    </row>
    <row r="72" spans="1:21" ht="15.75" customHeight="1" thickBot="1">
      <c r="A72" s="1899" t="s">
        <v>141</v>
      </c>
      <c r="B72" s="1900"/>
      <c r="C72" s="71">
        <f>SUM(C69:C71)</f>
        <v>7</v>
      </c>
      <c r="D72" s="72">
        <f>SUM(D69:D71)</f>
        <v>26</v>
      </c>
      <c r="E72" s="72">
        <f>SUM(E69:E71)</f>
        <v>14</v>
      </c>
      <c r="F72" s="72">
        <f>SUM(F69:F71)</f>
        <v>12</v>
      </c>
      <c r="G72" s="73">
        <f>SUM(G69:G71)</f>
        <v>59</v>
      </c>
      <c r="J72" s="304"/>
      <c r="K72" s="304"/>
      <c r="L72" s="304"/>
      <c r="M72" s="304"/>
      <c r="N72" s="304"/>
      <c r="O72" s="304"/>
      <c r="P72" s="125"/>
      <c r="S72" s="530"/>
    </row>
    <row r="73" spans="1:21" ht="15.75" customHeight="1" thickBot="1">
      <c r="A73" s="3"/>
      <c r="B73" s="3"/>
      <c r="C73" s="3"/>
      <c r="D73" s="3"/>
      <c r="E73" s="3"/>
      <c r="F73" s="3"/>
      <c r="I73" s="137"/>
      <c r="J73" s="304"/>
      <c r="K73" s="304"/>
      <c r="L73" s="304"/>
      <c r="M73" s="304"/>
      <c r="N73" s="304"/>
      <c r="O73" s="304"/>
      <c r="P73" s="125"/>
      <c r="S73" s="530"/>
      <c r="T73" s="530"/>
      <c r="U73" s="530"/>
    </row>
    <row r="74" spans="1:21" ht="15" customHeight="1">
      <c r="A74" s="1901" t="s">
        <v>142</v>
      </c>
      <c r="B74" s="1902"/>
      <c r="C74" s="62" t="s">
        <v>144</v>
      </c>
      <c r="D74" s="62" t="s">
        <v>90</v>
      </c>
      <c r="E74" s="62" t="s">
        <v>91</v>
      </c>
      <c r="F74" s="62" t="s">
        <v>89</v>
      </c>
      <c r="G74" s="49" t="s">
        <v>141</v>
      </c>
      <c r="J74" s="304"/>
      <c r="K74" s="304"/>
      <c r="L74" s="304"/>
      <c r="M74" s="304"/>
      <c r="N74" s="304"/>
      <c r="O74" s="304"/>
      <c r="P74" s="125"/>
    </row>
    <row r="75" spans="1:21" ht="15" customHeight="1">
      <c r="A75" s="1903" t="s">
        <v>258</v>
      </c>
      <c r="B75" s="1904"/>
      <c r="C75" s="75">
        <f>AVERAGEIFS(R2:R60,J2:J60,A75,C2:C60,C74)</f>
        <v>2371.7140336175994</v>
      </c>
      <c r="D75" s="51">
        <f>AVERAGEIFS(R2:R60,J2:J60,A75,C2:C60,D74)</f>
        <v>1809.4344331875504</v>
      </c>
      <c r="E75" s="51">
        <f>AVERAGEIFS(R2:R60,J2:J60,A75,C2:C60,E74)</f>
        <v>2323.0478321463029</v>
      </c>
      <c r="F75" s="51">
        <f>AVERAGEIFS(R2:R60,J2:J60,A75,C2:C60,F74)</f>
        <v>2179.5558219386726</v>
      </c>
      <c r="G75" s="76">
        <f>AVERAGEIF(J2:J60,A75,R2:R60)</f>
        <v>2073.2988646018948</v>
      </c>
      <c r="J75" s="304"/>
      <c r="K75" s="304"/>
      <c r="L75" s="304"/>
      <c r="M75" s="304"/>
      <c r="N75" s="304"/>
      <c r="O75" s="304"/>
      <c r="P75" s="125"/>
    </row>
    <row r="76" spans="1:21" ht="15" customHeight="1">
      <c r="A76" s="1905" t="s">
        <v>102</v>
      </c>
      <c r="B76" s="1906"/>
      <c r="C76" s="77" t="e">
        <f>AVERAGEIFS(R2:R60,J2:J60,A76,C2:C60,C74)</f>
        <v>#DIV/0!</v>
      </c>
      <c r="D76" s="54" t="e">
        <f>AVERAGEIFS(R2:R60,J2:J60,A76,C2:C60,D74)</f>
        <v>#DIV/0!</v>
      </c>
      <c r="E76" s="54" t="e">
        <f>AVERAGEIFS(R2:R60,J2:J60,A76,C2:C60,E74)</f>
        <v>#DIV/0!</v>
      </c>
      <c r="F76" s="54" t="e">
        <f>AVERAGEIFS(R2:R60,J2:J60,A76,C2:C60,F74)</f>
        <v>#DIV/0!</v>
      </c>
      <c r="G76" s="78" t="e">
        <f>AVERAGEIF(J2:J60,A76,R2:R60)</f>
        <v>#DIV/0!</v>
      </c>
      <c r="J76" s="304"/>
      <c r="K76" s="304"/>
      <c r="L76" s="304"/>
      <c r="M76" s="304"/>
      <c r="N76" s="304"/>
      <c r="O76" s="304"/>
      <c r="P76" s="125"/>
    </row>
    <row r="77" spans="1:21" ht="15.75" customHeight="1" thickBot="1">
      <c r="A77" s="1907" t="s">
        <v>138</v>
      </c>
      <c r="B77" s="1908"/>
      <c r="C77" s="84" t="e">
        <f>AVERAGEIFS(R2:R60,J2:J60,"",C2:C60,C74)</f>
        <v>#DIV/0!</v>
      </c>
      <c r="D77" s="85" t="e">
        <f>AVERAGEIFS(R2:R60,J2:J60,"",C2:C60,D74)</f>
        <v>#DIV/0!</v>
      </c>
      <c r="E77" s="85" t="e">
        <f>AVERAGEIFS(R2:R60,J2:J60,"",C2:C60,E74)</f>
        <v>#DIV/0!</v>
      </c>
      <c r="F77" s="85" t="e">
        <f>AVERAGEIFS(R2:R60,J2:J60,"",C2:C60,F74)</f>
        <v>#DIV/0!</v>
      </c>
      <c r="G77" s="86" t="e">
        <f>AVERAGEIF(J2:J60,"",R2:R60)</f>
        <v>#DIV/0!</v>
      </c>
      <c r="J77" s="304"/>
      <c r="K77" s="304"/>
      <c r="L77" s="304"/>
      <c r="M77" s="304"/>
      <c r="N77" s="304"/>
      <c r="O77" s="304"/>
      <c r="P77" s="125"/>
    </row>
    <row r="78" spans="1:21" ht="15.75" customHeight="1" thickBot="1">
      <c r="J78" s="304"/>
      <c r="K78" s="304"/>
      <c r="L78" s="304"/>
      <c r="M78" s="304"/>
      <c r="N78" s="304"/>
      <c r="O78" s="304"/>
    </row>
    <row r="79" spans="1:21" ht="15" customHeight="1">
      <c r="A79" s="1901" t="s">
        <v>192</v>
      </c>
      <c r="B79" s="1902"/>
      <c r="C79" s="62" t="s">
        <v>144</v>
      </c>
      <c r="D79" s="62" t="s">
        <v>90</v>
      </c>
      <c r="E79" s="62" t="s">
        <v>91</v>
      </c>
      <c r="F79" s="62" t="s">
        <v>89</v>
      </c>
      <c r="G79" s="49" t="s">
        <v>141</v>
      </c>
      <c r="J79" s="304"/>
      <c r="K79" s="304"/>
      <c r="L79" s="304"/>
      <c r="M79" s="304"/>
      <c r="N79" s="304"/>
      <c r="O79" s="304"/>
    </row>
    <row r="80" spans="1:21" ht="15" customHeight="1">
      <c r="A80" s="1903" t="s">
        <v>258</v>
      </c>
      <c r="B80" s="1904"/>
      <c r="C80" s="75">
        <f>AVERAGEIFS(O2:O60,J2:J60,A80,C2:C60,C79)</f>
        <v>114214.28571428571</v>
      </c>
      <c r="D80" s="51">
        <f>AVERAGEIFS(O2:O60,J2:J60,A80,C2:C60,D79)</f>
        <v>117230.76923076923</v>
      </c>
      <c r="E80" s="51">
        <f>AVERAGEIFS(O2:O60,J2:J60,A80,C2:C60,E79)</f>
        <v>223000</v>
      </c>
      <c r="F80" s="51">
        <f>AVERAGEIFS(O2:O60,J2:J60,A80,C2:C60,F79)</f>
        <v>289750</v>
      </c>
      <c r="G80" s="76">
        <f>AVERAGEIF(J2:J60,A80,O2:O60)</f>
        <v>177059.32203389829</v>
      </c>
      <c r="J80" s="304"/>
      <c r="K80" s="304"/>
      <c r="L80" s="304"/>
      <c r="M80" s="304"/>
      <c r="N80" s="304"/>
      <c r="O80" s="304"/>
    </row>
    <row r="81" spans="1:7">
      <c r="A81" s="1905" t="s">
        <v>102</v>
      </c>
      <c r="B81" s="1906"/>
      <c r="C81" s="77" t="e">
        <f>AVERAGEIFS(O2:O60,J2:J60,A81,C2:C60,C79)</f>
        <v>#DIV/0!</v>
      </c>
      <c r="D81" s="54" t="e">
        <f>AVERAGEIFS(O2:O60,J2:J60,A81,C2:C60,D79)</f>
        <v>#DIV/0!</v>
      </c>
      <c r="E81" s="54" t="e">
        <f>AVERAGEIFS(O2:O60,J2:J60,A81,C2:C60,E79)</f>
        <v>#DIV/0!</v>
      </c>
      <c r="F81" s="54" t="e">
        <f>AVERAGEIFS(O2:O60,J2:J60,A81,C2:C60,F79)</f>
        <v>#DIV/0!</v>
      </c>
      <c r="G81" s="78" t="e">
        <f>AVERAGEIF(J2:J60,A81,O2:O60)</f>
        <v>#DIV/0!</v>
      </c>
    </row>
    <row r="82" spans="1:7" ht="13.5" thickBot="1">
      <c r="A82" s="1907" t="s">
        <v>138</v>
      </c>
      <c r="B82" s="1908"/>
      <c r="C82" s="84" t="e">
        <f>AVERAGEIFS(O2:O60,J2:J60,"",C2:C60,C79)</f>
        <v>#DIV/0!</v>
      </c>
      <c r="D82" s="85" t="e">
        <f>AVERAGEIFS(O2:O60,J2:J60,"",C2:C60,D79)</f>
        <v>#DIV/0!</v>
      </c>
      <c r="E82" s="85" t="e">
        <f>AVERAGEIFS(O2:O60,J2:J60,"",C2:C60,E79)</f>
        <v>#DIV/0!</v>
      </c>
      <c r="F82" s="85" t="e">
        <f>AVERAGEIFS(O2:O60,J2:J60,"",C2:C60,F79)</f>
        <v>#DIV/0!</v>
      </c>
      <c r="G82" s="86" t="e">
        <f>AVERAGEIF(J2:J60,"",O2:O60)</f>
        <v>#DIV/0!</v>
      </c>
    </row>
  </sheetData>
  <autoFilter ref="A1:X65" xr:uid="{8F28F9B9-35C9-4D10-A135-6BCF54BF9A8B}"/>
  <mergeCells count="18">
    <mergeCell ref="G62:H62"/>
    <mergeCell ref="A70:B70"/>
    <mergeCell ref="A63:B63"/>
    <mergeCell ref="A64:B64"/>
    <mergeCell ref="A65:B65"/>
    <mergeCell ref="A68:B68"/>
    <mergeCell ref="A69:B69"/>
    <mergeCell ref="A66:B66"/>
    <mergeCell ref="A71:B71"/>
    <mergeCell ref="A72:B72"/>
    <mergeCell ref="A74:B74"/>
    <mergeCell ref="A75:B75"/>
    <mergeCell ref="A76:B76"/>
    <mergeCell ref="A79:B79"/>
    <mergeCell ref="A80:B80"/>
    <mergeCell ref="A81:B81"/>
    <mergeCell ref="A82:B82"/>
    <mergeCell ref="A77:B77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824B96-79A3-4252-B1CD-0ADCF2D125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sales report - general</vt:lpstr>
      <vt:lpstr>VERDE VALE H1 (MAIA)</vt:lpstr>
      <vt:lpstr>VERDE VALE H3 A&amp;B (MAIA)</vt:lpstr>
      <vt:lpstr>VERDE VALE H2 (MAIA)</vt:lpstr>
      <vt:lpstr>VERDE VALE H4 A&amp;B (MAIA)</vt:lpstr>
      <vt:lpstr>SAL D'OURO OCEAN (8)</vt:lpstr>
      <vt:lpstr>SAL D'OURO PARK (12,2)</vt:lpstr>
      <vt:lpstr>SAL D'OURO RESERVE (6)</vt:lpstr>
      <vt:lpstr>SAL D'OURO HORIZON (9)</vt:lpstr>
      <vt:lpstr>SAL D'OURO COAST (10)</vt:lpstr>
      <vt:lpstr>SAL D'OURO 17.2</vt:lpstr>
      <vt:lpstr>PANORAMA (SETUBAL)</vt:lpstr>
      <vt:lpstr>ELEVEN (CITY HALL)</vt:lpstr>
      <vt:lpstr>PARKVIEW 5</vt:lpstr>
      <vt:lpstr>SETUBAL SEA VIEW</vt:lpstr>
      <vt:lpstr>CELAS PARQUE 9 &amp; 8</vt:lpstr>
      <vt:lpstr>RED CLIP</vt:lpstr>
      <vt:lpstr>URBAN INFANTE 10 A</vt:lpstr>
      <vt:lpstr>URBAN INFANTE 10B</vt:lpstr>
      <vt:lpstr>PARKVIEW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Daniel Imanov</cp:lastModifiedBy>
  <cp:lastPrinted>2025-04-07T14:07:38Z</cp:lastPrinted>
  <dcterms:created xsi:type="dcterms:W3CDTF">2022-02-27T12:46:18Z</dcterms:created>
  <dcterms:modified xsi:type="dcterms:W3CDTF">2025-12-09T16:18:14Z</dcterms:modified>
</cp:coreProperties>
</file>